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<sst xmlns="http://schemas.openxmlformats.org/spreadsheetml/2006/main" count="710" uniqueCount="286">
  <si>
    <t>Key</t>
  </si>
  <si>
    <t>Default</t>
  </si>
  <si>
    <t>Translate Value</t>
  </si>
  <si>
    <t>Afrikaans (af)</t>
  </si>
  <si>
    <t>Arabic (ar)</t>
  </si>
  <si>
    <t>Armenian (hy)</t>
  </si>
  <si>
    <t>Vietnamese (vi)</t>
  </si>
  <si>
    <t>Azerbaijani (az)</t>
  </si>
  <si>
    <t>Basque (eu)</t>
  </si>
  <si>
    <t>Belarusian (be)</t>
  </si>
  <si>
    <t>Bengali (bn)</t>
  </si>
  <si>
    <t>Bulgarian (bg)</t>
  </si>
  <si>
    <t>Burmese (my)</t>
  </si>
  <si>
    <t>Catalan (ca)</t>
  </si>
  <si>
    <t>Chinese (zh-rCN)</t>
  </si>
  <si>
    <t>Taiwanese (zh-rTW)</t>
  </si>
  <si>
    <t>Croatian (hr)</t>
  </si>
  <si>
    <t>Czech (cs)</t>
  </si>
  <si>
    <t>Danish (da)</t>
  </si>
  <si>
    <t>Dutch (nl)</t>
  </si>
  <si>
    <t>Estonian (et)</t>
  </si>
  <si>
    <t>English (en)</t>
  </si>
  <si>
    <t>Finnish (fi)</t>
  </si>
  <si>
    <t>French (fr)</t>
  </si>
  <si>
    <t>German (de)</t>
  </si>
  <si>
    <t>Greek (el)</t>
  </si>
  <si>
    <t>Herbew (iw)</t>
  </si>
  <si>
    <t>Hindi (hi)</t>
  </si>
  <si>
    <t>Hungarian (hu)</t>
  </si>
  <si>
    <t>Icelandic (is)</t>
  </si>
  <si>
    <t>Indonesian (id)</t>
  </si>
  <si>
    <t>Indonesian (in)</t>
  </si>
  <si>
    <t>Italian  (it)</t>
  </si>
  <si>
    <t>Japanese (ja)</t>
  </si>
  <si>
    <t>Kannada (kn)</t>
  </si>
  <si>
    <t>Khmer (km)</t>
  </si>
  <si>
    <t>Korean (ko)</t>
  </si>
  <si>
    <t>Lao (lo)</t>
  </si>
  <si>
    <t>Latvian (lv)</t>
  </si>
  <si>
    <t>Lithuanian (lt)</t>
  </si>
  <si>
    <t>Macedonian (mk)</t>
  </si>
  <si>
    <t>Malay (ms)</t>
  </si>
  <si>
    <t>Malayalam (ml)</t>
  </si>
  <si>
    <t>Marathi (mr)</t>
  </si>
  <si>
    <t>Mongolian (mn)</t>
  </si>
  <si>
    <t>Nepali (ne)</t>
  </si>
  <si>
    <t>Norwegian Bokmal (nb)</t>
  </si>
  <si>
    <t>Persian (fa)</t>
  </si>
  <si>
    <t>Polish (pl)</t>
  </si>
  <si>
    <t>Portuguese (pt)</t>
  </si>
  <si>
    <t>Romanian (ro)</t>
  </si>
  <si>
    <t>Russian (ru)</t>
  </si>
  <si>
    <t>Serbian (sr)</t>
  </si>
  <si>
    <t>Sinhala (si)</t>
  </si>
  <si>
    <t>Slovak (sk)</t>
  </si>
  <si>
    <t>Slovenian (sl)</t>
  </si>
  <si>
    <t>Spanish (es)</t>
  </si>
  <si>
    <t>Swahili (sw)</t>
  </si>
  <si>
    <t>Swedish (sv)</t>
  </si>
  <si>
    <t>Telugu (te)</t>
  </si>
  <si>
    <t>Thai (th)</t>
  </si>
  <si>
    <t>Turkish (tr)</t>
  </si>
  <si>
    <t>Ukrainian (uk)</t>
  </si>
  <si>
    <t>Zulu (zu)</t>
  </si>
  <si>
    <t>Local time</t>
  </si>
  <si>
    <t>Recent Locations</t>
  </si>
  <si>
    <t>Search location</t>
  </si>
  <si>
    <t>Real Feel</t>
  </si>
  <si>
    <t>Province/City</t>
  </si>
  <si>
    <t>Introduce</t>
  </si>
  <si>
    <t>Widget</t>
  </si>
  <si>
    <t>Your City</t>
  </si>
  <si>
    <t>Weather forecast {name}</t>
  </si>
  <si>
    <t>Weather in {number} provinces</t>
  </si>
  <si>
    <t>See more</t>
  </si>
  <si>
    <t>Weather Radar</t>
  </si>
  <si>
    <t>Hide</t>
  </si>
  <si>
    <t>Weather forecast on your website</t>
  </si>
  <si>
    <t>Create a custom code for your website and copy the embed code and add it to the location you want to display on your website.</t>
  </si>
  <si>
    <t>Location</t>
  </si>
  <si>
    <t>Width</t>
  </si>
  <si>
    <t>Sampling</t>
  </si>
  <si>
    <t>Sample {number}</t>
  </si>
  <si>
    <t>Number of days</t>
  </si>
  <si>
    <t>{number} days</t>
  </si>
  <si>
    <t>Color change panel</t>
  </si>
  <si>
    <t>Background color</t>
  </si>
  <si>
    <t>Color description</t>
  </si>
  <si>
    <t>Title color</t>
  </si>
  <si>
    <t>Text color</t>
  </si>
  <si>
    <t>Line color</t>
  </si>
  <si>
    <t>Add Widget</t>
  </si>
  <si>
    <t>Copy code</t>
  </si>
  <si>
    <t>Home Page</t>
  </si>
  <si>
    <t>Present</t>
  </si>
  <si>
    <t>Hourly</t>
  </si>
  <si>
    <t>Current parameters</t>
  </si>
  <si>
    <t>Tomorrow</t>
  </si>
  <si>
    <t>Next 3 days</t>
  </si>
  <si>
    <t>Next 7 days</t>
  </si>
  <si>
    <t>Next 30 days</t>
  </si>
  <si>
    <t>Radar</t>
  </si>
  <si>
    <t>Air quality</t>
  </si>
  <si>
    <t>Moon phase</t>
  </si>
  <si>
    <t>Uv Index</t>
  </si>
  <si>
    <t>Temperature {name}</t>
  </si>
  <si>
    <t>Low</t>
  </si>
  <si>
    <t>High</t>
  </si>
  <si>
    <t>Humidity</t>
  </si>
  <si>
    <t>Pressure</t>
  </si>
  <si>
    <t>Sunrise</t>
  </si>
  <si>
    <t>Sunset</t>
  </si>
  <si>
    <t>Day</t>
  </si>
  <si>
    <t>Night</t>
  </si>
  <si>
    <t>Bright</t>
  </si>
  <si>
    <t>Dark</t>
  </si>
  <si>
    <t>Temperature &amp; chance of rain in {name} in the coming hours</t>
  </si>
  <si>
    <t>Chance of rain</t>
  </si>
  <si>
    <t>Chance of snow</t>
  </si>
  <si>
    <t>Precipitation</t>
  </si>
  <si>
    <t>Wind Speed</t>
  </si>
  <si>
    <t>Feels like</t>
  </si>
  <si>
    <t>Cloud cover</t>
  </si>
  <si>
    <t>Moonphase</t>
  </si>
  <si>
    <t>Temperature and chance of rain in {name} in the next 30 days</t>
  </si>
  <si>
    <t>Hourly weather forecast {name}</t>
  </si>
  <si>
    <t>Weather {name}</t>
  </si>
  <si>
    <t>Weather information for {name} in the coming hours</t>
  </si>
  <si>
    <t>Dew point</t>
  </si>
  <si>
    <t>Wind direction</t>
  </si>
  <si>
    <t>Forecast wind speed and wind direction in {name}</t>
  </si>
  <si>
    <t>Humidity in the coming hours in {name}</t>
  </si>
  <si>
    <t>Cloud cover in the coming hours in {name}</t>
  </si>
  <si>
    <t>Pressure in the coming times in {name}</t>
  </si>
  <si>
    <t>Sun rise &amp; sun set in the coming hours in {name}</t>
  </si>
  <si>
    <t>Rainfall and chance of rain in the coming hours in {name}</t>
  </si>
  <si>
    <t>month</t>
  </si>
  <si>
    <t>day</t>
  </si>
  <si>
    <t>year</t>
  </si>
  <si>
    <t>Altitude</t>
  </si>
  <si>
    <t>Azimuth</t>
  </si>
  <si>
    <t>Time</t>
  </si>
  <si>
    <t>Current altitude</t>
  </si>
  <si>
    <t>Current Azimuth</t>
  </si>
  <si>
    <t>Total daylight</t>
  </si>
  <si>
    <t>hours</t>
  </si>
  <si>
    <t>minute</t>
  </si>
  <si>
    <t>Total in the next {number} hours</t>
  </si>
  <si>
    <t>Weather forecast {name} tomorrow</t>
  </si>
  <si>
    <t>Weather {name} tomorrow hourly</t>
  </si>
  <si>
    <t>Chance of rain in {name} tomorrow by the hour</t>
  </si>
  <si>
    <t>Temperature in {name} tomorrow by hour</t>
  </si>
  <si>
    <t>Uv index {name} tomorrow hourly</t>
  </si>
  <si>
    <t>Short</t>
  </si>
  <si>
    <t>Low UV levels, no need for special protection when outdoors.</t>
  </si>
  <si>
    <t>Medium</t>
  </si>
  <si>
    <t>There is a moderate risk from UV rays. Sunglasses and sunscreen are recommended.</t>
  </si>
  <si>
    <t>UV rays are highly intense. You should limit going out during the middle of the day, use protective clothing, sunglasses, and sunscreen.</t>
  </si>
  <si>
    <t>Very high</t>
  </si>
  <si>
    <t>The risk from UV rays is very high. Increase protective measures such as wearing a wide-brimmed hat, using high SPF sunscreen, and seeking shade when outdoors.</t>
  </si>
  <si>
    <t>Extremely high</t>
  </si>
  <si>
    <t>UV rays are extremely dangerous. Avoid going outdoors during this time if possible, and if you must go out, take all possible protective measures.</t>
  </si>
  <si>
    <t>Weather forecast {name} for the next 7 days.</t>
  </si>
  <si>
    <t>Temperature and chance of rain in {name} in the next 7 days</t>
  </si>
  <si>
    <t>Chance of rain {name} next {number} days.</t>
  </si>
  <si>
    <t>Average temperature {name} next {number} days.</t>
  </si>
  <si>
    <t>Uv index {name} next {number} days.</t>
  </si>
  <si>
    <t>Weather forecast {name} next {number} days</t>
  </si>
  <si>
    <t>Temperature and chance of rain in {name} the next {number} days</t>
  </si>
  <si>
    <t>Mon</t>
  </si>
  <si>
    <t>Tue</t>
  </si>
  <si>
    <t>Wed</t>
  </si>
  <si>
    <t>Thu</t>
  </si>
  <si>
    <t>Fri</t>
  </si>
  <si>
    <t>Sat</t>
  </si>
  <si>
    <t>Sun</t>
  </si>
  <si>
    <t>{name} weather radar</t>
  </si>
  <si>
    <t>Rain</t>
  </si>
  <si>
    <t>Cloudy</t>
  </si>
  <si>
    <t>Snow</t>
  </si>
  <si>
    <t>Speed</t>
  </si>
  <si>
    <t>Good</t>
  </si>
  <si>
    <t>Moderate</t>
  </si>
  <si>
    <t>Unhealthy for Sensitive Groups</t>
  </si>
  <si>
    <t>Unhealthy</t>
  </si>
  <si>
    <t>Very Unhealthy</t>
  </si>
  <si>
    <t>Hazardous</t>
  </si>
  <si>
    <t>US AQI Level</t>
  </si>
  <si>
    <t>Healthy Recomendation</t>
  </si>
  <si>
    <t>Air quality is satisfactory and poses little or no risk</t>
  </si>
  <si>
    <t>Sensitive individuals should avoid outdoor activity as they may experience respiraory symtoms.</t>
  </si>
  <si>
    <t>General public and sensitive individuals in particular are at risk to experience irritation and respiratory problems.</t>
  </si>
  <si>
    <t>Increased likelihood of adverse effects and aggravation to the heart and lungs among general public.</t>
  </si>
  <si>
    <t>General public will be noticwably affected. Sensitive groups should restrict outdoor activities.</t>
  </si>
  <si>
    <t>General public at high risk of experiencing strong irritations and adverse healthy effects. Should avoid outdoor activities.</t>
  </si>
  <si>
    <t>Healthy Information</t>
  </si>
  <si>
    <t>Air quality is acceptable. However, there may be a risk for some people, particularly those who are unusually sensitive to air pollution.</t>
  </si>
  <si>
    <t>Recommended Precautions</t>
  </si>
  <si>
    <t>Unusually sensitive people should consider reducing prolonged or heavy exertion.</t>
  </si>
  <si>
    <t>Primary Pollutant</t>
  </si>
  <si>
    <t>PM2.5 (Particles matter under 2.5μm)</t>
  </si>
  <si>
    <t>PM2.5 particles are small enough to enter the bloodstream and typically result from wildfires, smoke ashes, bacteria or small dust particles</t>
  </si>
  <si>
    <t>Ari station list</t>
  </si>
  <si>
    <t>Moon phase infor</t>
  </si>
  <si>
    <t>Illumination</t>
  </si>
  <si>
    <t>Moonset</t>
  </si>
  <si>
    <t>Moonrise</t>
  </si>
  <si>
    <t>Next Full Moon</t>
  </si>
  <si>
    <t>Next New Moon</t>
  </si>
  <si>
    <t>Distance</t>
  </si>
  <si>
    <t>New Moon</t>
  </si>
  <si>
    <t>Waxing Crescent</t>
  </si>
  <si>
    <t>First Quarter</t>
  </si>
  <si>
    <t>Waxing Gibbous</t>
  </si>
  <si>
    <t>Full Moon</t>
  </si>
  <si>
    <t>Waning Gibbous</t>
  </si>
  <si>
    <t>Third Quarter</t>
  </si>
  <si>
    <t>Waning Crescent</t>
  </si>
  <si>
    <t>Uv index {name} today</t>
  </si>
  <si>
    <t>World Health Organization UVI</t>
  </si>
  <si>
    <t>Uv index {name} {number} days</t>
  </si>
  <si>
    <t>Settings</t>
  </si>
  <si>
    <t>Unit preferences settings</t>
  </si>
  <si>
    <t>We want to make sure you have the best experiences while using out app</t>
  </si>
  <si>
    <t>Please choose your preference</t>
  </si>
  <si>
    <t>Time Format</t>
  </si>
  <si>
    <t>Done</t>
  </si>
  <si>
    <t>Notification settings</t>
  </si>
  <si>
    <t>Get PRO version</t>
  </si>
  <si>
    <t>Languages</t>
  </si>
  <si>
    <t>Developers</t>
  </si>
  <si>
    <t>Rate me</t>
  </si>
  <si>
    <t>Report problem</t>
  </si>
  <si>
    <t>Privacy policy</t>
  </si>
  <si>
    <t>Company</t>
  </si>
  <si>
    <t>Proven Superior Accuracy</t>
  </si>
  <si>
    <t>About Weather</t>
  </si>
  <si>
    <t>Contact Us</t>
  </si>
  <si>
    <t>Press</t>
  </si>
  <si>
    <t>PRODUCTS &amp; SERVICES</t>
  </si>
  <si>
    <t>For Business</t>
  </si>
  <si>
    <t>APPS &amp; DOWNLOADS</t>
  </si>
  <si>
    <t>Iphone App</t>
  </si>
  <si>
    <t>Android App</t>
  </si>
  <si>
    <t>See all Apps &amp; Downloads</t>
  </si>
  <si>
    <t>MORE</t>
  </si>
  <si>
    <t>Severe Weather</t>
  </si>
  <si>
    <t>Terms of Use</t>
  </si>
  <si>
    <t>Privacy Policy</t>
  </si>
  <si>
    <t>Cookie Policy</t>
  </si>
  <si>
    <t>Very High</t>
  </si>
  <si>
    <t>Extreme</t>
  </si>
  <si>
    <t>Members of sensitive groups may experience health effects. The general public is less likely to be affected.</t>
  </si>
  <si>
    <t>Some members of the general public may experience health effects; members of sensitive groups may experience more serious health effects.</t>
  </si>
  <si>
    <t>Health alert: The risk of health effects is increased for everyone.</t>
  </si>
  <si>
    <t>Health warning of emergency conditions: everyone is more likely to be affected.</t>
  </si>
  <si>
    <t>People with respiratory or heart disease, the elderly and children should limit prolonged exertion.</t>
  </si>
  <si>
    <t>People with respiratory or heart disease, the elderly and children should avoid prolonged exertion; everyone else should limit prolonged exertion.</t>
  </si>
  <si>
    <t>People with respiratory or heart disease, the elderly and children should avoid any outdoor activity; everyone else should avoid prolonged exertion.</t>
  </si>
  <si>
    <t>Everyone should avoid any outdoor exertion; people with respiratory or heart disease, the elderly and children should remain indoors.</t>
  </si>
  <si>
    <t>Air quality is satisfactory</t>
  </si>
  <si>
    <t>Air quality is acceptable</t>
  </si>
  <si>
    <t>O3 (Ozone)</t>
  </si>
  <si>
    <t>SO2 (Sulphur dioxide)</t>
  </si>
  <si>
    <t>NO2 (Nitrogen dioxide)</t>
  </si>
  <si>
    <t>CO (Carbon monoxide)</t>
  </si>
  <si>
    <t>Pb (Lead)</t>
  </si>
  <si>
    <t>NH3 (Ammonia)</t>
  </si>
  <si>
    <t>PM10 (Particles matter under 10μm)</t>
  </si>
  <si>
    <t>Ozone in the air we breathe can harm our health, especially on hot sunny days when ozone can reach unhealthy levels. Even relatively low levels of ozone can cause health effects.</t>
  </si>
  <si>
    <t>Sulfur dioxide irritates the skin and mucous membranes of the eyes, nose, throat, and lungs. High concentrations of SO2 can cause inflammation and irritation of the respiratory system, especially during heavy physical activity.</t>
  </si>
  <si>
    <t>The main health effect of nitrogen dioxide is on the respiratory system. Inhalation of nitrogen dioxide by children increases their risk of respiratory infection and may lead to poorer lung function in later life.</t>
  </si>
  <si>
    <t>Breathing air with a high concentration of CO reduces the amount of oxygen that can be transported in the blood stream to critical organs like the heart and brain. At very high levels, which are possible indoors or in other enclosed environments, CO can cause dizziness, confusion, unconsciousness and death.</t>
  </si>
  <si>
    <t>Exposure to high levels of lead may cause anemia, weakness, and kidney and brain damage. Very high lead exposure can cause death.</t>
  </si>
  <si>
    <t>High levels of ammonia can irritate and burn the skin, mouth, throat, lungs, and eyes. Very high levels of ammonia can damage the lungs or cause death.</t>
  </si>
  <si>
    <t>PM10 particles are small enough to get into your throat and lungs. High levels of PM10 can make you cough, your nose run and eyes sting.</t>
  </si>
  <si>
    <t>Oops! The page your requested was not found!</t>
  </si>
  <si>
    <t>Now</t>
  </si>
  <si>
    <t>Precip Intensity</t>
  </si>
  <si>
    <t>Precip Probability</t>
  </si>
  <si>
    <t>Today</t>
  </si>
  <si>
    <t>The dew point is {number}° right now</t>
  </si>
  <si>
    <t>Unit settings</t>
  </si>
  <si>
    <t>Detail</t>
  </si>
  <si>
    <t>Moon Sign</t>
  </si>
  <si>
    <t>© 2024 BacHaWeather, Inc. "BacHaWeather" and sun design are registered trademarks of BacHaWeather, Inc. All Rights Reserved.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</si>
</sst>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horizontal="center" shrinkToFit="0" vertical="bottom" wrapText="1"/>
    </xf>
    <xf borderId="0" fillId="0" fontId="2" numFmtId="0" xfId="0" applyAlignment="1" applyFont="1">
      <alignment readingOrder="0" shrinkToFit="0" wrapText="1"/>
    </xf>
    <xf borderId="0" fillId="2" fontId="1" numFmtId="0" xfId="0" applyAlignment="1" applyFill="1" applyFont="1">
      <alignment shrinkToFit="0" vertical="bottom" wrapText="1"/>
    </xf>
    <xf borderId="0" fillId="2" fontId="2" numFmtId="0" xfId="0" applyAlignment="1" applyFont="1">
      <alignment readingOrder="0" shrinkToFit="0" wrapText="1"/>
    </xf>
    <xf borderId="0" fillId="2" fontId="1" numFmtId="0" xfId="0" applyAlignment="1" applyFont="1">
      <alignment horizontal="center" shrinkToFit="0" vertical="bottom"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 customWidth="1" min="3" max="3" width="36.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row>
    <row r="2">
      <c r="A2" s="1" t="str">
        <f t="shared" ref="A2:A244" si="1">SUBSTITUTE(B2, " ", "_")
</f>
        <v>Local_time</v>
      </c>
      <c r="B2" s="2" t="s">
        <v>64</v>
      </c>
      <c r="C2" s="1" t="str">
        <f t="shared" ref="C2:C196" si="2">SUBSTITUTE(SUBSTITUTE(B2, "%1$d", "98689"),"(s)","")</f>
        <v>Local time</v>
      </c>
      <c r="D2" s="3" t="str">
        <f>IFERROR(__xludf.DUMMYFUNCTION("GoogleTranslate(C2, ""en"", ""es"")"),"Hora local")</f>
        <v>Hora local</v>
      </c>
      <c r="E2" s="3" t="str">
        <f>IFERROR(__xludf.DUMMYFUNCTION("GoogleTranslate(C2, ""en"", ""ar"")"),"التوقيت المحلي")</f>
        <v>التوقيت المحلي</v>
      </c>
      <c r="F2" s="3" t="str">
        <f>IFERROR(__xludf.DUMMYFUNCTION("GoogleTranslate(C2, ""en"", ""hy"")"),"Տեղական ժամանակով")</f>
        <v>Տեղական ժամանակով</v>
      </c>
      <c r="G2" s="3" t="str">
        <f>IFERROR(__xludf.DUMMYFUNCTION("GoogleTranslate(C2, ""en"", ""vi"")"),"Giờ địa phương")</f>
        <v>Giờ địa phương</v>
      </c>
      <c r="H2" s="3" t="str">
        <f>IFERROR(__xludf.DUMMYFUNCTION("GoogleTranslate(C2, ""en"", ""az"")"),"Yerli vaxt")</f>
        <v>Yerli vaxt</v>
      </c>
      <c r="I2" s="3" t="str">
        <f>IFERROR(__xludf.DUMMYFUNCTION("GoogleTranslate(C2, ""en"", ""eu"")"),"Tokiko ordua")</f>
        <v>Tokiko ordua</v>
      </c>
      <c r="J2" s="3" t="str">
        <f>IFERROR(__xludf.DUMMYFUNCTION("GoogleTranslate(C2, ""en"", ""be"")"),"Мясцовы час")</f>
        <v>Мясцовы час</v>
      </c>
      <c r="K2" s="3" t="str">
        <f>IFERROR(__xludf.DUMMYFUNCTION("GoogleTranslate(C2, ""en"", ""bn"")"),"স্থানীয় সময়")</f>
        <v>স্থানীয় সময়</v>
      </c>
      <c r="L2" s="3" t="str">
        <f>IFERROR(__xludf.DUMMYFUNCTION("GoogleTranslate(C2, ""en"", ""bg"")"),"Местно време")</f>
        <v>Местно време</v>
      </c>
      <c r="M2" s="3" t="str">
        <f>IFERROR(__xludf.DUMMYFUNCTION("GoogleTranslate(C2, ""en"", ""my"")"),"ဒေသစံတော်ချိန်")</f>
        <v>ဒေသစံတော်ချိန်</v>
      </c>
      <c r="N2" s="3" t="str">
        <f>IFERROR(__xludf.DUMMYFUNCTION("GoogleTranslate(C2, ""en"", ""ca"")"),"Hora local")</f>
        <v>Hora local</v>
      </c>
      <c r="O2" s="3" t="str">
        <f>IFERROR(__xludf.DUMMYFUNCTION("GoogleTranslate(C2, ""en"", ""zh-cn"")"),"当地时间")</f>
        <v>当地时间</v>
      </c>
      <c r="P2" s="3" t="str">
        <f>IFERROR(__xludf.DUMMYFUNCTION("GoogleTranslate(C2, ""en"", ""zh-TW"")"),"當地時間")</f>
        <v>當地時間</v>
      </c>
      <c r="Q2" s="3" t="str">
        <f>IFERROR(__xludf.DUMMYFUNCTION("GoogleTranslate(C2, ""en"", ""hr"")"),"Lokalno vrijeme")</f>
        <v>Lokalno vrijeme</v>
      </c>
      <c r="R2" s="3" t="str">
        <f>IFERROR(__xludf.DUMMYFUNCTION("GoogleTranslate(C2, ""en"", ""cs"")"),"Místní čas")</f>
        <v>Místní čas</v>
      </c>
      <c r="S2" s="3" t="str">
        <f>IFERROR(__xludf.DUMMYFUNCTION("GoogleTranslate(C2, ""en"", ""da"")"),"Lokal tid")</f>
        <v>Lokal tid</v>
      </c>
      <c r="T2" s="3" t="str">
        <f>IFERROR(__xludf.DUMMYFUNCTION("GoogleTranslate(C2, ""en"", ""nl"")"),"Lokale tijd")</f>
        <v>Lokale tijd</v>
      </c>
      <c r="U2" s="3" t="str">
        <f>IFERROR(__xludf.DUMMYFUNCTION("GoogleTranslate(C2, ""en"", ""et"")"),"Kohalik aeg")</f>
        <v>Kohalik aeg</v>
      </c>
      <c r="V2" s="1" t="str">
        <f t="shared" ref="V2:V244" si="3">B2</f>
        <v>Local time</v>
      </c>
      <c r="W2" s="3" t="str">
        <f>IFERROR(__xludf.DUMMYFUNCTION("GoogleTranslate(C2, ""en"", ""fi"")"),"Paikallista aikaa")</f>
        <v>Paikallista aikaa</v>
      </c>
      <c r="X2" s="3" t="str">
        <f>IFERROR(__xludf.DUMMYFUNCTION("GoogleTranslate(C2, ""en"", ""fr"")"),"Heure locale")</f>
        <v>Heure locale</v>
      </c>
      <c r="Y2" s="3" t="str">
        <f>IFERROR(__xludf.DUMMYFUNCTION("GoogleTranslate(C2, ""en"", ""de"")"),"Ortszeit")</f>
        <v>Ortszeit</v>
      </c>
      <c r="Z2" s="3" t="str">
        <f>IFERROR(__xludf.DUMMYFUNCTION("GoogleTranslate(C2, ""en"", ""el"")"),"Τοπική ώρα")</f>
        <v>Τοπική ώρα</v>
      </c>
      <c r="AA2" s="3" t="str">
        <f>IFERROR(__xludf.DUMMYFUNCTION("GoogleTranslate(C2, ""en"", ""iw"")"),"זמן מקומי")</f>
        <v>זמן מקומי</v>
      </c>
      <c r="AB2" s="3" t="str">
        <f>IFERROR(__xludf.DUMMYFUNCTION("GoogleTranslate(C2, ""en"", ""hi"")"),"स्थानीय समय")</f>
        <v>स्थानीय समय</v>
      </c>
      <c r="AC2" s="3" t="str">
        <f>IFERROR(__xludf.DUMMYFUNCTION("GoogleTranslate(C2, ""en"", ""hu"")"),"Helyi idő")</f>
        <v>Helyi idő</v>
      </c>
      <c r="AD2" s="3" t="str">
        <f>IFERROR(__xludf.DUMMYFUNCTION("GoogleTranslate(C2, ""en"", ""is"")"),"Staðartími")</f>
        <v>Staðartími</v>
      </c>
      <c r="AE2" s="3" t="str">
        <f>IFERROR(__xludf.DUMMYFUNCTION("GoogleTranslate(C2, ""en"", ""id"")"),"Waktu setempat")</f>
        <v>Waktu setempat</v>
      </c>
      <c r="AF2" s="3" t="str">
        <f>IFERROR(__xludf.DUMMYFUNCTION("GoogleTranslate(C2, ""en"", ""in"")"),"Waktu setempat")</f>
        <v>Waktu setempat</v>
      </c>
      <c r="AG2" s="3" t="str">
        <f>IFERROR(__xludf.DUMMYFUNCTION("GoogleTranslate(C2, ""en"", ""it"")"),"Ora locale")</f>
        <v>Ora locale</v>
      </c>
      <c r="AH2" s="3" t="str">
        <f>IFERROR(__xludf.DUMMYFUNCTION("GoogleTranslate(C2, ""en"", ""ja"")"),"現地時間")</f>
        <v>現地時間</v>
      </c>
      <c r="AI2" s="3" t="str">
        <f>IFERROR(__xludf.DUMMYFUNCTION("GoogleTranslate(C2, ""en"", ""kn"")"),"ಸ್ಥಳೀಯ ಸಮಯ")</f>
        <v>ಸ್ಥಳೀಯ ಸಮಯ</v>
      </c>
      <c r="AJ2" s="3" t="str">
        <f>IFERROR(__xludf.DUMMYFUNCTION("GoogleTranslate(C2, ""en"", ""km"")"),"ម៉ោងក្នុងស្រុក")</f>
        <v>ម៉ោងក្នុងស្រុក</v>
      </c>
      <c r="AK2" s="3" t="str">
        <f>IFERROR(__xludf.DUMMYFUNCTION("GoogleTranslate(C2, ""en"", ""ko"")"),"현지 시간")</f>
        <v>현지 시간</v>
      </c>
      <c r="AL2" s="3" t="str">
        <f>IFERROR(__xludf.DUMMYFUNCTION("GoogleTranslate(C2, ""en"", ""lo"")"),"ເວລາທ້ອງຖິ່ນ")</f>
        <v>ເວລາທ້ອງຖິ່ນ</v>
      </c>
      <c r="AM2" s="3" t="str">
        <f>IFERROR(__xludf.DUMMYFUNCTION("GoogleTranslate(C2, ""en"", ""lv"")"),"Vietējais laiks")</f>
        <v>Vietējais laiks</v>
      </c>
      <c r="AN2" s="3" t="str">
        <f>IFERROR(__xludf.DUMMYFUNCTION("GoogleTranslate(C2, ""en"", ""lt"")"),"vietos laiku")</f>
        <v>vietos laiku</v>
      </c>
      <c r="AO2" s="3" t="str">
        <f>IFERROR(__xludf.DUMMYFUNCTION("GoogleTranslate(C2, ""en"", ""mk"")"),"локално време")</f>
        <v>локално време</v>
      </c>
      <c r="AP2" s="3" t="str">
        <f>IFERROR(__xludf.DUMMYFUNCTION("GoogleTranslate(C2, ""en"", ""ms"")"),"Waktu tempatan")</f>
        <v>Waktu tempatan</v>
      </c>
      <c r="AQ2" s="3" t="str">
        <f>IFERROR(__xludf.DUMMYFUNCTION("GoogleTranslate(C2, ""en"", ""ml"")"),"പ്രാദേശിക സമയം")</f>
        <v>പ്രാദേശിക സമയം</v>
      </c>
      <c r="AR2" s="3" t="str">
        <f>IFERROR(__xludf.DUMMYFUNCTION("GoogleTranslate(C2, ""en"", ""mr"")"),"स्थानिक वेळ")</f>
        <v>स्थानिक वेळ</v>
      </c>
      <c r="AS2" s="3" t="str">
        <f>IFERROR(__xludf.DUMMYFUNCTION("GoogleTranslate(C2, ""en"", ""mn"")"),"Орон нутгийн цаг")</f>
        <v>Орон нутгийн цаг</v>
      </c>
      <c r="AT2" s="3" t="str">
        <f>IFERROR(__xludf.DUMMYFUNCTION("GoogleTranslate(C2, ""en"", ""ne"")"),"स्थानीय समय")</f>
        <v>स्थानीय समय</v>
      </c>
      <c r="AU2" s="3" t="str">
        <f>IFERROR(__xludf.DUMMYFUNCTION("GoogleTranslate(C2, ""en"", ""nb"")"),"Lokal tid")</f>
        <v>Lokal tid</v>
      </c>
      <c r="AV2" s="3" t="str">
        <f>IFERROR(__xludf.DUMMYFUNCTION("GoogleTranslate(C2, ""en"", ""fa"")"),"به وقت محلی")</f>
        <v>به وقت محلی</v>
      </c>
      <c r="AW2" s="3" t="str">
        <f>IFERROR(__xludf.DUMMYFUNCTION("GoogleTranslate(C2, ""en"", ""pl"")"),"Czas lokalny")</f>
        <v>Czas lokalny</v>
      </c>
      <c r="AX2" s="3" t="str">
        <f>IFERROR(__xludf.DUMMYFUNCTION("GoogleTranslate(C2, ""en"", ""pt"")"),"Hora local")</f>
        <v>Hora local</v>
      </c>
      <c r="AY2" s="3" t="str">
        <f>IFERROR(__xludf.DUMMYFUNCTION("GoogleTranslate(C2, ""en"", ""ro"")"),"Ora locală")</f>
        <v>Ora locală</v>
      </c>
      <c r="AZ2" s="3" t="str">
        <f>IFERROR(__xludf.DUMMYFUNCTION("GoogleTranslate(C2, ""en"", ""ru"")"),"Местное время")</f>
        <v>Местное время</v>
      </c>
      <c r="BA2" s="3" t="str">
        <f>IFERROR(__xludf.DUMMYFUNCTION("GoogleTranslate(C2, ""en"", ""sr"")"),"Локално време")</f>
        <v>Локално време</v>
      </c>
      <c r="BB2" s="3" t="str">
        <f>IFERROR(__xludf.DUMMYFUNCTION("GoogleTranslate(C2, ""en"", ""si"")"),"දේශීය වේලාව")</f>
        <v>දේශීය වේලාව</v>
      </c>
      <c r="BC2" s="3" t="str">
        <f>IFERROR(__xludf.DUMMYFUNCTION("GoogleTranslate(C2, ""en"", ""sk"")"),"Miestny čas")</f>
        <v>Miestny čas</v>
      </c>
      <c r="BD2" s="3" t="str">
        <f>IFERROR(__xludf.DUMMYFUNCTION("GoogleTranslate(C2, ""en"", ""sl"")"),"Lokalni čas")</f>
        <v>Lokalni čas</v>
      </c>
      <c r="BE2" s="3" t="str">
        <f>IFERROR(__xludf.DUMMYFUNCTION("GoogleTranslate(C2, ""en"", ""es"")"),"Hora local")</f>
        <v>Hora local</v>
      </c>
      <c r="BF2" s="3" t="str">
        <f>IFERROR(__xludf.DUMMYFUNCTION("GoogleTranslate(C2, ""en"", ""sw"")"),"Wakati wa ndani")</f>
        <v>Wakati wa ndani</v>
      </c>
      <c r="BG2" s="3" t="str">
        <f>IFERROR(__xludf.DUMMYFUNCTION("GoogleTranslate(C2, ""en"", ""sv"")"),"Lokaltid")</f>
        <v>Lokaltid</v>
      </c>
      <c r="BH2" s="3" t="str">
        <f>IFERROR(__xludf.DUMMYFUNCTION("GoogleTranslate(C2, ""en"", ""te"")"),"స్థానిక సమయం")</f>
        <v>స్థానిక సమయం</v>
      </c>
      <c r="BI2" s="3" t="str">
        <f>IFERROR(__xludf.DUMMYFUNCTION("GoogleTranslate(C2, ""en"", ""th"")"),"เวลาท้องถิ่น")</f>
        <v>เวลาท้องถิ่น</v>
      </c>
      <c r="BJ2" s="3" t="str">
        <f>IFERROR(__xludf.DUMMYFUNCTION("GoogleTranslate(C2, ""en"", ""tr"")"),"Yerel saat")</f>
        <v>Yerel saat</v>
      </c>
      <c r="BK2" s="3" t="str">
        <f>IFERROR(__xludf.DUMMYFUNCTION("GoogleTranslate(C2, ""en"", ""uk"")"),"Місцевий час")</f>
        <v>Місцевий час</v>
      </c>
      <c r="BL2" s="3" t="str">
        <f>IFERROR(__xludf.DUMMYFUNCTION("GoogleTranslate(C2, ""en"", ""zu"")"),"Isikhathi sendawo")</f>
        <v>Isikhathi sendawo</v>
      </c>
    </row>
    <row r="3">
      <c r="A3" s="1" t="str">
        <f t="shared" si="1"/>
        <v>Recent_Locations</v>
      </c>
      <c r="B3" s="4" t="s">
        <v>65</v>
      </c>
      <c r="C3" s="1" t="str">
        <f t="shared" si="2"/>
        <v>Recent Locations</v>
      </c>
      <c r="D3" s="3" t="str">
        <f>IFERROR(__xludf.DUMMYFUNCTION("GoogleTranslate(C3, ""en"", ""es"")"),"Ubicaciones recientes")</f>
        <v>Ubicaciones recientes</v>
      </c>
      <c r="E3" s="3" t="str">
        <f>IFERROR(__xludf.DUMMYFUNCTION("GoogleTranslate(C3, ""en"", ""ar"")"),"المواقع الأخيرة")</f>
        <v>المواقع الأخيرة</v>
      </c>
      <c r="F3" s="3" t="str">
        <f>IFERROR(__xludf.DUMMYFUNCTION("GoogleTranslate(C3, ""en"", ""hy"")"),"Վերջին վայրերը")</f>
        <v>Վերջին վայրերը</v>
      </c>
      <c r="G3" s="3" t="str">
        <f>IFERROR(__xludf.DUMMYFUNCTION("GoogleTranslate(C3, ""en"", ""vi"")"),"Vị trí gần đây")</f>
        <v>Vị trí gần đây</v>
      </c>
      <c r="H3" s="3" t="str">
        <f>IFERROR(__xludf.DUMMYFUNCTION("GoogleTranslate(C3, ""en"", ""az"")"),"Son Məkanlar")</f>
        <v>Son Məkanlar</v>
      </c>
      <c r="I3" s="3" t="str">
        <f>IFERROR(__xludf.DUMMYFUNCTION("GoogleTranslate(C3, ""en"", ""eu"")"),"Azken kokapenak")</f>
        <v>Azken kokapenak</v>
      </c>
      <c r="J3" s="3" t="str">
        <f>IFERROR(__xludf.DUMMYFUNCTION("GoogleTranslate(C3, ""en"", ""be"")"),"Апошнія месцы")</f>
        <v>Апошнія месцы</v>
      </c>
      <c r="K3" s="3" t="str">
        <f>IFERROR(__xludf.DUMMYFUNCTION("GoogleTranslate(C3, ""en"", ""bn"")"),"সাম্প্রতিক অবস্থান")</f>
        <v>সাম্প্রতিক অবস্থান</v>
      </c>
      <c r="L3" s="3" t="str">
        <f>IFERROR(__xludf.DUMMYFUNCTION("GoogleTranslate(C3, ""en"", ""bg"")"),"Скорошни местоположения")</f>
        <v>Скорошни местоположения</v>
      </c>
      <c r="M3" s="3" t="str">
        <f>IFERROR(__xludf.DUMMYFUNCTION("GoogleTranslate(C3, ""en"", ""my"")"),"လတ်တလောတည်နေရာများ")</f>
        <v>လတ်တလောတည်နေရာများ</v>
      </c>
      <c r="N3" s="3" t="str">
        <f>IFERROR(__xludf.DUMMYFUNCTION("GoogleTranslate(C3, ""en"", ""ca"")"),"Ubicacions recents")</f>
        <v>Ubicacions recents</v>
      </c>
      <c r="O3" s="3" t="str">
        <f>IFERROR(__xludf.DUMMYFUNCTION("GoogleTranslate(C3, ""en"", ""zh-cn"")"),"最近的地点")</f>
        <v>最近的地点</v>
      </c>
      <c r="P3" s="3" t="str">
        <f>IFERROR(__xludf.DUMMYFUNCTION("GoogleTranslate(C3, ""en"", ""zh-TW"")"),"最近的地點")</f>
        <v>最近的地點</v>
      </c>
      <c r="Q3" s="3" t="str">
        <f>IFERROR(__xludf.DUMMYFUNCTION("GoogleTranslate(C3, ""en"", ""hr"")"),"Nedavne lokacije")</f>
        <v>Nedavne lokacije</v>
      </c>
      <c r="R3" s="3" t="str">
        <f>IFERROR(__xludf.DUMMYFUNCTION("GoogleTranslate(C3, ""en"", ""cs"")"),"Nedávná umístění")</f>
        <v>Nedávná umístění</v>
      </c>
      <c r="S3" s="3" t="str">
        <f>IFERROR(__xludf.DUMMYFUNCTION("GoogleTranslate(C3, ""en"", ""da"")"),"Seneste steder")</f>
        <v>Seneste steder</v>
      </c>
      <c r="T3" s="3" t="str">
        <f>IFERROR(__xludf.DUMMYFUNCTION("GoogleTranslate(C3, ""en"", ""nl"")"),"Recente locaties")</f>
        <v>Recente locaties</v>
      </c>
      <c r="U3" s="3" t="str">
        <f>IFERROR(__xludf.DUMMYFUNCTION("GoogleTranslate(C3, ""en"", ""et"")"),"Viimased asukohad")</f>
        <v>Viimased asukohad</v>
      </c>
      <c r="V3" s="1" t="str">
        <f t="shared" si="3"/>
        <v>Recent Locations</v>
      </c>
      <c r="W3" s="3" t="str">
        <f>IFERROR(__xludf.DUMMYFUNCTION("GoogleTranslate(C3, ""en"", ""fi"")"),"Viimeaikaiset paikat")</f>
        <v>Viimeaikaiset paikat</v>
      </c>
      <c r="X3" s="3" t="str">
        <f>IFERROR(__xludf.DUMMYFUNCTION("GoogleTranslate(C3, ""en"", ""fr"")"),"Emplacements récents")</f>
        <v>Emplacements récents</v>
      </c>
      <c r="Y3" s="3" t="str">
        <f>IFERROR(__xludf.DUMMYFUNCTION("GoogleTranslate(C3, ""en"", ""de"")"),"Aktuelle Standorte")</f>
        <v>Aktuelle Standorte</v>
      </c>
      <c r="Z3" s="3" t="str">
        <f>IFERROR(__xludf.DUMMYFUNCTION("GoogleTranslate(C3, ""en"", ""el"")"),"Πρόσφατες τοποθεσίες")</f>
        <v>Πρόσφατες τοποθεσίες</v>
      </c>
      <c r="AA3" s="3" t="str">
        <f>IFERROR(__xludf.DUMMYFUNCTION("GoogleTranslate(C3, ""en"", ""iw"")"),"מיקומים אחרונים")</f>
        <v>מיקומים אחרונים</v>
      </c>
      <c r="AB3" s="3" t="str">
        <f>IFERROR(__xludf.DUMMYFUNCTION("GoogleTranslate(C3, ""en"", ""hi"")"),"हाल के स्थान")</f>
        <v>हाल के स्थान</v>
      </c>
      <c r="AC3" s="3" t="str">
        <f>IFERROR(__xludf.DUMMYFUNCTION("GoogleTranslate(C3, ""en"", ""hu"")"),"Legutóbbi helyek")</f>
        <v>Legutóbbi helyek</v>
      </c>
      <c r="AD3" s="3" t="str">
        <f>IFERROR(__xludf.DUMMYFUNCTION("GoogleTranslate(C3, ""en"", ""is"")"),"Nýlegar staðsetningar")</f>
        <v>Nýlegar staðsetningar</v>
      </c>
      <c r="AE3" s="3" t="str">
        <f>IFERROR(__xludf.DUMMYFUNCTION("GoogleTranslate(C3, ""en"", ""id"")"),"Lokasi Terkini")</f>
        <v>Lokasi Terkini</v>
      </c>
      <c r="AF3" s="3" t="str">
        <f>IFERROR(__xludf.DUMMYFUNCTION("GoogleTranslate(C3, ""en"", ""in"")"),"Lokasi Terkini")</f>
        <v>Lokasi Terkini</v>
      </c>
      <c r="AG3" s="3" t="str">
        <f>IFERROR(__xludf.DUMMYFUNCTION("GoogleTranslate(C3, ""en"", ""it"")"),"Posizioni recenti")</f>
        <v>Posizioni recenti</v>
      </c>
      <c r="AH3" s="3" t="str">
        <f>IFERROR(__xludf.DUMMYFUNCTION("GoogleTranslate(C3, ""en"", ""ja"")"),"最近の場所")</f>
        <v>最近の場所</v>
      </c>
      <c r="AI3" s="3" t="str">
        <f>IFERROR(__xludf.DUMMYFUNCTION("GoogleTranslate(C3, ""en"", ""kn"")"),"ಇತ್ತೀಚಿನ ಸ್ಥಳಗಳು")</f>
        <v>ಇತ್ತೀಚಿನ ಸ್ಥಳಗಳು</v>
      </c>
      <c r="AJ3" s="3" t="str">
        <f>IFERROR(__xludf.DUMMYFUNCTION("GoogleTranslate(C3, ""en"", ""km"")"),"ទីតាំងថ្មីៗ")</f>
        <v>ទីតាំងថ្មីៗ</v>
      </c>
      <c r="AK3" s="3" t="str">
        <f>IFERROR(__xludf.DUMMYFUNCTION("GoogleTranslate(C3, ""en"", ""ko"")"),"최근 위치")</f>
        <v>최근 위치</v>
      </c>
      <c r="AL3" s="3" t="str">
        <f>IFERROR(__xludf.DUMMYFUNCTION("GoogleTranslate(C3, ""en"", ""lo"")"),"ສະຖານທີ່ຫຼ້າສຸດ")</f>
        <v>ສະຖານທີ່ຫຼ້າສຸດ</v>
      </c>
      <c r="AM3" s="3" t="str">
        <f>IFERROR(__xludf.DUMMYFUNCTION("GoogleTranslate(C3, ""en"", ""lv"")"),"Pēdējās atrašanās vietas")</f>
        <v>Pēdējās atrašanās vietas</v>
      </c>
      <c r="AN3" s="3" t="str">
        <f>IFERROR(__xludf.DUMMYFUNCTION("GoogleTranslate(C3, ""en"", ""lt"")"),"Naujausios vietos")</f>
        <v>Naujausios vietos</v>
      </c>
      <c r="AO3" s="3" t="str">
        <f>IFERROR(__xludf.DUMMYFUNCTION("GoogleTranslate(C3, ""en"", ""mk"")"),"Неодамнешни локации")</f>
        <v>Неодамнешни локации</v>
      </c>
      <c r="AP3" s="3" t="str">
        <f>IFERROR(__xludf.DUMMYFUNCTION("GoogleTranslate(C3, ""en"", ""ms"")"),"Lokasi Terkini")</f>
        <v>Lokasi Terkini</v>
      </c>
      <c r="AQ3" s="3" t="str">
        <f>IFERROR(__xludf.DUMMYFUNCTION("GoogleTranslate(C3, ""en"", ""ml"")"),"സമീപകാല സ്ഥാനങ്ങൾ")</f>
        <v>സമീപകാല സ്ഥാനങ്ങൾ</v>
      </c>
      <c r="AR3" s="3" t="str">
        <f>IFERROR(__xludf.DUMMYFUNCTION("GoogleTranslate(C3, ""en"", ""mr"")"),"अलीकडील स्थाने")</f>
        <v>अलीकडील स्थाने</v>
      </c>
      <c r="AS3" s="3" t="str">
        <f>IFERROR(__xludf.DUMMYFUNCTION("GoogleTranslate(C3, ""en"", ""mn"")"),"Сүүлийн үеийн байршил")</f>
        <v>Сүүлийн үеийн байршил</v>
      </c>
      <c r="AT3" s="3" t="str">
        <f>IFERROR(__xludf.DUMMYFUNCTION("GoogleTranslate(C3, ""en"", ""ne"")"),"भर्खरका स्थानहरू")</f>
        <v>भर्खरका स्थानहरू</v>
      </c>
      <c r="AU3" s="3" t="str">
        <f>IFERROR(__xludf.DUMMYFUNCTION("GoogleTranslate(C3, ""en"", ""nb"")"),"Nylige plasseringer")</f>
        <v>Nylige plasseringer</v>
      </c>
      <c r="AV3" s="3" t="str">
        <f>IFERROR(__xludf.DUMMYFUNCTION("GoogleTranslate(C3, ""en"", ""fa"")"),"مکان های اخیر")</f>
        <v>مکان های اخیر</v>
      </c>
      <c r="AW3" s="3" t="str">
        <f>IFERROR(__xludf.DUMMYFUNCTION("GoogleTranslate(C3, ""en"", ""pl"")"),"Ostatnie lokalizacje")</f>
        <v>Ostatnie lokalizacje</v>
      </c>
      <c r="AX3" s="3" t="str">
        <f>IFERROR(__xludf.DUMMYFUNCTION("GoogleTranslate(C3, ""en"", ""pt"")"),"Locais recentes")</f>
        <v>Locais recentes</v>
      </c>
      <c r="AY3" s="3" t="str">
        <f>IFERROR(__xludf.DUMMYFUNCTION("GoogleTranslate(C3, ""en"", ""ro"")"),"Locații recente")</f>
        <v>Locații recente</v>
      </c>
      <c r="AZ3" s="3" t="str">
        <f>IFERROR(__xludf.DUMMYFUNCTION("GoogleTranslate(C3, ""en"", ""ru"")"),"Недавние местоположения")</f>
        <v>Недавние местоположения</v>
      </c>
      <c r="BA3" s="3" t="str">
        <f>IFERROR(__xludf.DUMMYFUNCTION("GoogleTranslate(C3, ""en"", ""sr"")"),"Недавне локације")</f>
        <v>Недавне локације</v>
      </c>
      <c r="BB3" s="3" t="str">
        <f>IFERROR(__xludf.DUMMYFUNCTION("GoogleTranslate(C3, ""en"", ""si"")"),"මෑත ස්ථාන")</f>
        <v>මෑත ස්ථාන</v>
      </c>
      <c r="BC3" s="3" t="str">
        <f>IFERROR(__xludf.DUMMYFUNCTION("GoogleTranslate(C3, ""en"", ""sk"")"),"Nedávne miesta")</f>
        <v>Nedávne miesta</v>
      </c>
      <c r="BD3" s="3" t="str">
        <f>IFERROR(__xludf.DUMMYFUNCTION("GoogleTranslate(C3, ""en"", ""sl"")"),"Nedavne lokacije")</f>
        <v>Nedavne lokacije</v>
      </c>
      <c r="BE3" s="3" t="str">
        <f>IFERROR(__xludf.DUMMYFUNCTION("GoogleTranslate(C3, ""en"", ""es"")"),"Ubicaciones recientes")</f>
        <v>Ubicaciones recientes</v>
      </c>
      <c r="BF3" s="3" t="str">
        <f>IFERROR(__xludf.DUMMYFUNCTION("GoogleTranslate(C3, ""en"", ""sw"")"),"Maeneo ya Hivi Karibuni")</f>
        <v>Maeneo ya Hivi Karibuni</v>
      </c>
      <c r="BG3" s="3" t="str">
        <f>IFERROR(__xludf.DUMMYFUNCTION("GoogleTranslate(C3, ""en"", ""sv"")"),"Senaste platser")</f>
        <v>Senaste platser</v>
      </c>
      <c r="BH3" s="3" t="str">
        <f>IFERROR(__xludf.DUMMYFUNCTION("GoogleTranslate(C3, ""en"", ""te"")"),"ఇటీవలి స్థానాలు")</f>
        <v>ఇటీవలి స్థానాలు</v>
      </c>
      <c r="BI3" s="3" t="str">
        <f>IFERROR(__xludf.DUMMYFUNCTION("GoogleTranslate(C3, ""en"", ""th"")"),"สถานที่ล่าสุด")</f>
        <v>สถานที่ล่าสุด</v>
      </c>
      <c r="BJ3" s="3" t="str">
        <f>IFERROR(__xludf.DUMMYFUNCTION("GoogleTranslate(C3, ""en"", ""tr"")"),"Son Konumlar")</f>
        <v>Son Konumlar</v>
      </c>
      <c r="BK3" s="3" t="str">
        <f>IFERROR(__xludf.DUMMYFUNCTION("GoogleTranslate(C3, ""en"", ""uk"")"),"Останні місця розташування")</f>
        <v>Останні місця розташування</v>
      </c>
      <c r="BL3" s="3" t="str">
        <f>IFERROR(__xludf.DUMMYFUNCTION("GoogleTranslate(C3, ""en"", ""zu"")"),"Izindawo Zakamuva")</f>
        <v>Izindawo Zakamuva</v>
      </c>
    </row>
    <row r="4">
      <c r="A4" s="1" t="str">
        <f t="shared" si="1"/>
        <v>Search_location</v>
      </c>
      <c r="B4" s="4" t="s">
        <v>66</v>
      </c>
      <c r="C4" s="1" t="str">
        <f t="shared" si="2"/>
        <v>Search location</v>
      </c>
      <c r="D4" s="3" t="str">
        <f>IFERROR(__xludf.DUMMYFUNCTION("GoogleTranslate(C4, ""en"", ""es"")"),"Ubicación de búsqueda")</f>
        <v>Ubicación de búsqueda</v>
      </c>
      <c r="E4" s="3" t="str">
        <f>IFERROR(__xludf.DUMMYFUNCTION("GoogleTranslate(C4, ""en"", ""ar"")"),"موقع البحث")</f>
        <v>موقع البحث</v>
      </c>
      <c r="F4" s="3" t="str">
        <f>IFERROR(__xludf.DUMMYFUNCTION("GoogleTranslate(C4, ""en"", ""hy"")"),"Որոնել գտնվելու վայրը")</f>
        <v>Որոնել գտնվելու վայրը</v>
      </c>
      <c r="G4" s="3" t="str">
        <f>IFERROR(__xludf.DUMMYFUNCTION("GoogleTranslate(C4, ""en"", ""vi"")"),"Tìm kiếm vị trí")</f>
        <v>Tìm kiếm vị trí</v>
      </c>
      <c r="H4" s="3" t="str">
        <f>IFERROR(__xludf.DUMMYFUNCTION("GoogleTranslate(C4, ""en"", ""az"")"),"Məkanı axtarın")</f>
        <v>Məkanı axtarın</v>
      </c>
      <c r="I4" s="3" t="str">
        <f>IFERROR(__xludf.DUMMYFUNCTION("GoogleTranslate(C4, ""en"", ""eu"")"),"Bilatu kokapena")</f>
        <v>Bilatu kokapena</v>
      </c>
      <c r="J4" s="3" t="str">
        <f>IFERROR(__xludf.DUMMYFUNCTION("GoogleTranslate(C4, ""en"", ""be"")"),"Месца пошуку")</f>
        <v>Месца пошуку</v>
      </c>
      <c r="K4" s="3" t="str">
        <f>IFERROR(__xludf.DUMMYFUNCTION("GoogleTranslate(C4, ""en"", ""bn"")"),"অবস্থান অনুসন্ধান করুন")</f>
        <v>অবস্থান অনুসন্ধান করুন</v>
      </c>
      <c r="L4" s="3" t="str">
        <f>IFERROR(__xludf.DUMMYFUNCTION("GoogleTranslate(C4, ""en"", ""bg"")"),"Търсете местоположение")</f>
        <v>Търсете местоположение</v>
      </c>
      <c r="M4" s="3" t="str">
        <f>IFERROR(__xludf.DUMMYFUNCTION("GoogleTranslate(C4, ""en"", ""my"")"),"တည်နေရာကို ရှာဖွေပါ။")</f>
        <v>တည်နေရာကို ရှာဖွေပါ။</v>
      </c>
      <c r="N4" s="3" t="str">
        <f>IFERROR(__xludf.DUMMYFUNCTION("GoogleTranslate(C4, ""en"", ""ca"")"),"Cerca la ubicació")</f>
        <v>Cerca la ubicació</v>
      </c>
      <c r="O4" s="3" t="str">
        <f>IFERROR(__xludf.DUMMYFUNCTION("GoogleTranslate(C4, ""en"", ""zh-cn"")"),"搜索地点")</f>
        <v>搜索地点</v>
      </c>
      <c r="P4" s="3" t="str">
        <f>IFERROR(__xludf.DUMMYFUNCTION("GoogleTranslate(C4, ""en"", ""zh-TW"")"),"搜尋地點")</f>
        <v>搜尋地點</v>
      </c>
      <c r="Q4" s="3" t="str">
        <f>IFERROR(__xludf.DUMMYFUNCTION("GoogleTranslate(C4, ""en"", ""hr"")"),"Lokacija traženja")</f>
        <v>Lokacija traženja</v>
      </c>
      <c r="R4" s="3" t="str">
        <f>IFERROR(__xludf.DUMMYFUNCTION("GoogleTranslate(C4, ""en"", ""cs"")"),"Vyhledat místo")</f>
        <v>Vyhledat místo</v>
      </c>
      <c r="S4" s="3" t="str">
        <f>IFERROR(__xludf.DUMMYFUNCTION("GoogleTranslate(C4, ""en"", ""da"")"),"Søg efter placering")</f>
        <v>Søg efter placering</v>
      </c>
      <c r="T4" s="3" t="str">
        <f>IFERROR(__xludf.DUMMYFUNCTION("GoogleTranslate(C4, ""en"", ""nl"")"),"Zoek locatie")</f>
        <v>Zoek locatie</v>
      </c>
      <c r="U4" s="3" t="str">
        <f>IFERROR(__xludf.DUMMYFUNCTION("GoogleTranslate(C4, ""en"", ""et"")"),"Otsi asukohta")</f>
        <v>Otsi asukohta</v>
      </c>
      <c r="V4" s="1" t="str">
        <f t="shared" si="3"/>
        <v>Search location</v>
      </c>
      <c r="W4" s="3" t="str">
        <f>IFERROR(__xludf.DUMMYFUNCTION("GoogleTranslate(C4, ""en"", ""fi"")"),"Hae sijaintia")</f>
        <v>Hae sijaintia</v>
      </c>
      <c r="X4" s="3" t="str">
        <f>IFERROR(__xludf.DUMMYFUNCTION("GoogleTranslate(C4, ""en"", ""fr"")"),"Localisation de recherche")</f>
        <v>Localisation de recherche</v>
      </c>
      <c r="Y4" s="3" t="str">
        <f>IFERROR(__xludf.DUMMYFUNCTION("GoogleTranslate(C4, ""en"", ""de"")"),"Standort suchen")</f>
        <v>Standort suchen</v>
      </c>
      <c r="Z4" s="3" t="str">
        <f>IFERROR(__xludf.DUMMYFUNCTION("GoogleTranslate(C4, ""en"", ""el"")"),"Αναζήτηση τοποθεσίας")</f>
        <v>Αναζήτηση τοποθεσίας</v>
      </c>
      <c r="AA4" s="3" t="str">
        <f>IFERROR(__xludf.DUMMYFUNCTION("GoogleTranslate(C4, ""en"", ""iw"")"),"חיפוש מיקום")</f>
        <v>חיפוש מיקום</v>
      </c>
      <c r="AB4" s="3" t="str">
        <f>IFERROR(__xludf.DUMMYFUNCTION("GoogleTranslate(C4, ""en"", ""hi"")"),"स्थान खोजें")</f>
        <v>स्थान खोजें</v>
      </c>
      <c r="AC4" s="3" t="str">
        <f>IFERROR(__xludf.DUMMYFUNCTION("GoogleTranslate(C4, ""en"", ""hu"")"),"Hely keresése")</f>
        <v>Hely keresése</v>
      </c>
      <c r="AD4" s="3" t="str">
        <f>IFERROR(__xludf.DUMMYFUNCTION("GoogleTranslate(C4, ""en"", ""is"")"),"Leitaðu að staðsetningu")</f>
        <v>Leitaðu að staðsetningu</v>
      </c>
      <c r="AE4" s="3" t="str">
        <f>IFERROR(__xludf.DUMMYFUNCTION("GoogleTranslate(C4, ""en"", ""id"")"),"Lokasi pencarian")</f>
        <v>Lokasi pencarian</v>
      </c>
      <c r="AF4" s="3" t="str">
        <f>IFERROR(__xludf.DUMMYFUNCTION("GoogleTranslate(C4, ""en"", ""in"")"),"Lokasi pencarian")</f>
        <v>Lokasi pencarian</v>
      </c>
      <c r="AG4" s="3" t="str">
        <f>IFERROR(__xludf.DUMMYFUNCTION("GoogleTranslate(C4, ""en"", ""it"")"),"Cerca posizione")</f>
        <v>Cerca posizione</v>
      </c>
      <c r="AH4" s="3" t="str">
        <f>IFERROR(__xludf.DUMMYFUNCTION("GoogleTranslate(C4, ""en"", ""ja"")"),"検索場所")</f>
        <v>検索場所</v>
      </c>
      <c r="AI4" s="3" t="str">
        <f>IFERROR(__xludf.DUMMYFUNCTION("GoogleTranslate(C4, ""en"", ""kn"")"),"ಸ್ಥಳವನ್ನು ಹುಡುಕಿ")</f>
        <v>ಸ್ಥಳವನ್ನು ಹುಡುಕಿ</v>
      </c>
      <c r="AJ4" s="3" t="str">
        <f>IFERROR(__xludf.DUMMYFUNCTION("GoogleTranslate(C4, ""en"", ""km"")"),"ស្វែងរកទីតាំង")</f>
        <v>ស្វែងរកទីតាំង</v>
      </c>
      <c r="AK4" s="3" t="str">
        <f>IFERROR(__xludf.DUMMYFUNCTION("GoogleTranslate(C4, ""en"", ""ko"")"),"위치 검색")</f>
        <v>위치 검색</v>
      </c>
      <c r="AL4" s="3" t="str">
        <f>IFERROR(__xludf.DUMMYFUNCTION("GoogleTranslate(C4, ""en"", ""lo"")"),"ຊອກຫາສະຖານທີ່")</f>
        <v>ຊອກຫາສະຖານທີ່</v>
      </c>
      <c r="AM4" s="3" t="str">
        <f>IFERROR(__xludf.DUMMYFUNCTION("GoogleTranslate(C4, ""en"", ""lv"")"),"Meklēt atrašanās vietu")</f>
        <v>Meklēt atrašanās vietu</v>
      </c>
      <c r="AN4" s="3" t="str">
        <f>IFERROR(__xludf.DUMMYFUNCTION("GoogleTranslate(C4, ""en"", ""lt"")"),"Ieškokite vietos")</f>
        <v>Ieškokite vietos</v>
      </c>
      <c r="AO4" s="3" t="str">
        <f>IFERROR(__xludf.DUMMYFUNCTION("GoogleTranslate(C4, ""en"", ""mk"")"),"Пребарајте локација")</f>
        <v>Пребарајте локација</v>
      </c>
      <c r="AP4" s="3" t="str">
        <f>IFERROR(__xludf.DUMMYFUNCTION("GoogleTranslate(C4, ""en"", ""ms"")"),"Cari lokasi")</f>
        <v>Cari lokasi</v>
      </c>
      <c r="AQ4" s="3" t="str">
        <f>IFERROR(__xludf.DUMMYFUNCTION("GoogleTranslate(C4, ""en"", ""ml"")"),"ലൊക്കേഷൻ തിരയുക")</f>
        <v>ലൊക്കേഷൻ തിരയുക</v>
      </c>
      <c r="AR4" s="3" t="str">
        <f>IFERROR(__xludf.DUMMYFUNCTION("GoogleTranslate(C4, ""en"", ""mr"")"),"स्थान शोधा")</f>
        <v>स्थान शोधा</v>
      </c>
      <c r="AS4" s="3" t="str">
        <f>IFERROR(__xludf.DUMMYFUNCTION("GoogleTranslate(C4, ""en"", ""mn"")"),"Байршлыг хайх")</f>
        <v>Байршлыг хайх</v>
      </c>
      <c r="AT4" s="3" t="str">
        <f>IFERROR(__xludf.DUMMYFUNCTION("GoogleTranslate(C4, ""en"", ""ne"")"),"स्थान खोज्नुहोस्")</f>
        <v>स्थान खोज्नुहोस्</v>
      </c>
      <c r="AU4" s="3" t="str">
        <f>IFERROR(__xludf.DUMMYFUNCTION("GoogleTranslate(C4, ""en"", ""nb"")"),"Søk plassering")</f>
        <v>Søk plassering</v>
      </c>
      <c r="AV4" s="3" t="str">
        <f>IFERROR(__xludf.DUMMYFUNCTION("GoogleTranslate(C4, ""en"", ""fa"")"),"جستجوی مکان")</f>
        <v>جستجوی مکان</v>
      </c>
      <c r="AW4" s="3" t="str">
        <f>IFERROR(__xludf.DUMMYFUNCTION("GoogleTranslate(C4, ""en"", ""pl"")"),"Wyszukaj lokalizację")</f>
        <v>Wyszukaj lokalizację</v>
      </c>
      <c r="AX4" s="3" t="str">
        <f>IFERROR(__xludf.DUMMYFUNCTION("GoogleTranslate(C4, ""en"", ""pt"")"),"Local de pesquisa")</f>
        <v>Local de pesquisa</v>
      </c>
      <c r="AY4" s="3" t="str">
        <f>IFERROR(__xludf.DUMMYFUNCTION("GoogleTranslate(C4, ""en"", ""ro"")"),"Căutați locația")</f>
        <v>Căutați locația</v>
      </c>
      <c r="AZ4" s="3" t="str">
        <f>IFERROR(__xludf.DUMMYFUNCTION("GoogleTranslate(C4, ""en"", ""ru"")"),"Поиск местоположения")</f>
        <v>Поиск местоположения</v>
      </c>
      <c r="BA4" s="3" t="str">
        <f>IFERROR(__xludf.DUMMYFUNCTION("GoogleTranslate(C4, ""en"", ""sr"")"),"Претражите локацију")</f>
        <v>Претражите локацију</v>
      </c>
      <c r="BB4" s="3" t="str">
        <f>IFERROR(__xludf.DUMMYFUNCTION("GoogleTranslate(C4, ""en"", ""si"")"),"ස්ථානය සොයන්න")</f>
        <v>ස්ථානය සොයන්න</v>
      </c>
      <c r="BC4" s="3" t="str">
        <f>IFERROR(__xludf.DUMMYFUNCTION("GoogleTranslate(C4, ""en"", ""sk"")"),"Vyhľadajte miesto")</f>
        <v>Vyhľadajte miesto</v>
      </c>
      <c r="BD4" s="3" t="str">
        <f>IFERROR(__xludf.DUMMYFUNCTION("GoogleTranslate(C4, ""en"", ""sl"")"),"Lokacija iskanja")</f>
        <v>Lokacija iskanja</v>
      </c>
      <c r="BE4" s="3" t="str">
        <f>IFERROR(__xludf.DUMMYFUNCTION("GoogleTranslate(C4, ""en"", ""es"")"),"Ubicación de búsqueda")</f>
        <v>Ubicación de búsqueda</v>
      </c>
      <c r="BF4" s="3" t="str">
        <f>IFERROR(__xludf.DUMMYFUNCTION("GoogleTranslate(C4, ""en"", ""sw"")"),"Tafuta eneo")</f>
        <v>Tafuta eneo</v>
      </c>
      <c r="BG4" s="3" t="str">
        <f>IFERROR(__xludf.DUMMYFUNCTION("GoogleTranslate(C4, ""en"", ""sv"")"),"Sök plats")</f>
        <v>Sök plats</v>
      </c>
      <c r="BH4" s="3" t="str">
        <f>IFERROR(__xludf.DUMMYFUNCTION("GoogleTranslate(C4, ""en"", ""te"")"),"స్థానాన్ని శోధించండి")</f>
        <v>స్థానాన్ని శోధించండి</v>
      </c>
      <c r="BI4" s="3" t="str">
        <f>IFERROR(__xludf.DUMMYFUNCTION("GoogleTranslate(C4, ""en"", ""th"")"),"ค้นหาตำแหน่ง")</f>
        <v>ค้นหาตำแหน่ง</v>
      </c>
      <c r="BJ4" s="3" t="str">
        <f>IFERROR(__xludf.DUMMYFUNCTION("GoogleTranslate(C4, ""en"", ""tr"")"),"Konum ara")</f>
        <v>Konum ara</v>
      </c>
      <c r="BK4" s="3" t="str">
        <f>IFERROR(__xludf.DUMMYFUNCTION("GoogleTranslate(C4, ""en"", ""uk"")"),"Місце пошуку")</f>
        <v>Місце пошуку</v>
      </c>
      <c r="BL4" s="3" t="str">
        <f>IFERROR(__xludf.DUMMYFUNCTION("GoogleTranslate(C4, ""en"", ""zu"")"),"Sesha indawo")</f>
        <v>Sesha indawo</v>
      </c>
    </row>
    <row r="5">
      <c r="A5" s="1" t="str">
        <f t="shared" si="1"/>
        <v>Real_Feel</v>
      </c>
      <c r="B5" s="4" t="s">
        <v>67</v>
      </c>
      <c r="C5" s="1" t="str">
        <f t="shared" si="2"/>
        <v>Real Feel</v>
      </c>
      <c r="D5" s="3" t="str">
        <f>IFERROR(__xludf.DUMMYFUNCTION("GoogleTranslate(C5, ""en"", ""es"")"),"sensación real")</f>
        <v>sensación real</v>
      </c>
      <c r="E5" s="3" t="str">
        <f>IFERROR(__xludf.DUMMYFUNCTION("GoogleTranslate(C5, ""en"", ""ar"")"),"يشعر الحقيقي")</f>
        <v>يشعر الحقيقي</v>
      </c>
      <c r="F5" s="3" t="str">
        <f>IFERROR(__xludf.DUMMYFUNCTION("GoogleTranslate(C5, ""en"", ""hy"")"),"Իրական զգացում")</f>
        <v>Իրական զգացում</v>
      </c>
      <c r="G5" s="3" t="str">
        <f>IFERROR(__xludf.DUMMYFUNCTION("GoogleTranslate(C5, ""en"", ""vi"")"),"Cảm giác thực sự")</f>
        <v>Cảm giác thực sự</v>
      </c>
      <c r="H5" s="3" t="str">
        <f>IFERROR(__xludf.DUMMYFUNCTION("GoogleTranslate(C5, ""en"", ""az"")"),"Real Hiss")</f>
        <v>Real Hiss</v>
      </c>
      <c r="I5" s="3" t="str">
        <f>IFERROR(__xludf.DUMMYFUNCTION("GoogleTranslate(C5, ""en"", ""eu"")"),"Benetako Sentimendua")</f>
        <v>Benetako Sentimendua</v>
      </c>
      <c r="J5" s="3" t="str">
        <f>IFERROR(__xludf.DUMMYFUNCTION("GoogleTranslate(C5, ""en"", ""be"")"),"Рэальнае пачуццё")</f>
        <v>Рэальнае пачуццё</v>
      </c>
      <c r="K5" s="3" t="str">
        <f>IFERROR(__xludf.DUMMYFUNCTION("GoogleTranslate(C5, ""en"", ""bn"")"),"বাস্তব অনুভূতি")</f>
        <v>বাস্তব অনুভূতি</v>
      </c>
      <c r="L5" s="3" t="str">
        <f>IFERROR(__xludf.DUMMYFUNCTION("GoogleTranslate(C5, ""en"", ""bg"")"),"Истинско усещане")</f>
        <v>Истинско усещане</v>
      </c>
      <c r="M5" s="3" t="str">
        <f>IFERROR(__xludf.DUMMYFUNCTION("GoogleTranslate(C5, ""en"", ""my"")"),"တကယ့်ခံစားချက်")</f>
        <v>တကယ့်ခံစားချက်</v>
      </c>
      <c r="N5" s="3" t="str">
        <f>IFERROR(__xludf.DUMMYFUNCTION("GoogleTranslate(C5, ""en"", ""ca"")"),"Sensació real")</f>
        <v>Sensació real</v>
      </c>
      <c r="O5" s="3" t="str">
        <f>IFERROR(__xludf.DUMMYFUNCTION("GoogleTranslate(C5, ""en"", ""zh-cn"")"),"真实的感觉")</f>
        <v>真实的感觉</v>
      </c>
      <c r="P5" s="3" t="str">
        <f>IFERROR(__xludf.DUMMYFUNCTION("GoogleTranslate(C5, ""en"", ""zh-TW"")"),"真實的感覺")</f>
        <v>真實的感覺</v>
      </c>
      <c r="Q5" s="3" t="str">
        <f>IFERROR(__xludf.DUMMYFUNCTION("GoogleTranslate(C5, ""en"", ""hr"")"),"Pravi osjećaj")</f>
        <v>Pravi osjećaj</v>
      </c>
      <c r="R5" s="3" t="str">
        <f>IFERROR(__xludf.DUMMYFUNCTION("GoogleTranslate(C5, ""en"", ""cs"")"),"Skutečný pocit")</f>
        <v>Skutečný pocit</v>
      </c>
      <c r="S5" s="3" t="str">
        <f>IFERROR(__xludf.DUMMYFUNCTION("GoogleTranslate(C5, ""en"", ""da"")"),"Rigtig Følelse")</f>
        <v>Rigtig Følelse</v>
      </c>
      <c r="T5" s="3" t="str">
        <f>IFERROR(__xludf.DUMMYFUNCTION("GoogleTranslate(C5, ""en"", ""nl"")"),"Echt gevoel")</f>
        <v>Echt gevoel</v>
      </c>
      <c r="U5" s="3" t="str">
        <f>IFERROR(__xludf.DUMMYFUNCTION("GoogleTranslate(C5, ""en"", ""et"")"),"Tõeline tunne")</f>
        <v>Tõeline tunne</v>
      </c>
      <c r="V5" s="1" t="str">
        <f t="shared" si="3"/>
        <v>Real Feel</v>
      </c>
      <c r="W5" s="3" t="str">
        <f>IFERROR(__xludf.DUMMYFUNCTION("GoogleTranslate(C5, ""en"", ""fi"")"),"Todellinen fiilis")</f>
        <v>Todellinen fiilis</v>
      </c>
      <c r="X5" s="3" t="str">
        <f>IFERROR(__xludf.DUMMYFUNCTION("GoogleTranslate(C5, ""en"", ""fr"")"),"Sensation réelle")</f>
        <v>Sensation réelle</v>
      </c>
      <c r="Y5" s="3" t="str">
        <f>IFERROR(__xludf.DUMMYFUNCTION("GoogleTranslate(C5, ""en"", ""de"")"),"Echtes Gefühl")</f>
        <v>Echtes Gefühl</v>
      </c>
      <c r="Z5" s="3" t="str">
        <f>IFERROR(__xludf.DUMMYFUNCTION("GoogleTranslate(C5, ""en"", ""el"")"),"Πραγματική αίσθηση")</f>
        <v>Πραγματική αίσθηση</v>
      </c>
      <c r="AA5" s="3" t="str">
        <f>IFERROR(__xludf.DUMMYFUNCTION("GoogleTranslate(C5, ""en"", ""iw"")"),"תחושה אמיתית")</f>
        <v>תחושה אמיתית</v>
      </c>
      <c r="AB5" s="3" t="str">
        <f>IFERROR(__xludf.DUMMYFUNCTION("GoogleTranslate(C5, ""en"", ""hi"")"),"असली लग रहा है")</f>
        <v>असली लग रहा है</v>
      </c>
      <c r="AC5" s="3" t="str">
        <f>IFERROR(__xludf.DUMMYFUNCTION("GoogleTranslate(C5, ""en"", ""hu"")"),"Igazi Feel")</f>
        <v>Igazi Feel</v>
      </c>
      <c r="AD5" s="3" t="str">
        <f>IFERROR(__xludf.DUMMYFUNCTION("GoogleTranslate(C5, ""en"", ""is"")"),"Raunveruleg tilfinning")</f>
        <v>Raunveruleg tilfinning</v>
      </c>
      <c r="AE5" s="3" t="str">
        <f>IFERROR(__xludf.DUMMYFUNCTION("GoogleTranslate(C5, ""en"", ""id"")"),"Rasa Nyata")</f>
        <v>Rasa Nyata</v>
      </c>
      <c r="AF5" s="3" t="str">
        <f>IFERROR(__xludf.DUMMYFUNCTION("GoogleTranslate(C5, ""en"", ""in"")"),"Rasa Nyata")</f>
        <v>Rasa Nyata</v>
      </c>
      <c r="AG5" s="3" t="str">
        <f>IFERROR(__xludf.DUMMYFUNCTION("GoogleTranslate(C5, ""en"", ""it"")"),"Sensazione reale")</f>
        <v>Sensazione reale</v>
      </c>
      <c r="AH5" s="3" t="str">
        <f>IFERROR(__xludf.DUMMYFUNCTION("GoogleTranslate(C5, ""en"", ""ja"")"),"リアルな感触")</f>
        <v>リアルな感触</v>
      </c>
      <c r="AI5" s="3" t="str">
        <f>IFERROR(__xludf.DUMMYFUNCTION("GoogleTranslate(C5, ""en"", ""kn"")"),"ರಿಯಲ್ ಫೀಲ್")</f>
        <v>ರಿಯಲ್ ಫೀಲ್</v>
      </c>
      <c r="AJ5" s="3" t="str">
        <f>IFERROR(__xludf.DUMMYFUNCTION("GoogleTranslate(C5, ""en"", ""km"")"),"អារម្មណ៍ពិត")</f>
        <v>អារម្មណ៍ពិត</v>
      </c>
      <c r="AK5" s="3" t="str">
        <f>IFERROR(__xludf.DUMMYFUNCTION("GoogleTranslate(C5, ""en"", ""ko"")"),"진짜 느낌")</f>
        <v>진짜 느낌</v>
      </c>
      <c r="AL5" s="3" t="str">
        <f>IFERROR(__xludf.DUMMYFUNCTION("GoogleTranslate(C5, ""en"", ""lo"")"),"ຄວາມຮູ້ສຶກທີ່ແທ້ຈິງ")</f>
        <v>ຄວາມຮູ້ສຶກທີ່ແທ້ຈິງ</v>
      </c>
      <c r="AM5" s="3" t="str">
        <f>IFERROR(__xludf.DUMMYFUNCTION("GoogleTranslate(C5, ""en"", ""lv"")"),"Īsta sajūta")</f>
        <v>Īsta sajūta</v>
      </c>
      <c r="AN5" s="3" t="str">
        <f>IFERROR(__xludf.DUMMYFUNCTION("GoogleTranslate(C5, ""en"", ""lt"")"),"Tikras jausmas")</f>
        <v>Tikras jausmas</v>
      </c>
      <c r="AO5" s="3" t="str">
        <f>IFERROR(__xludf.DUMMYFUNCTION("GoogleTranslate(C5, ""en"", ""mk"")"),"Вистинско чувство")</f>
        <v>Вистинско чувство</v>
      </c>
      <c r="AP5" s="3" t="str">
        <f>IFERROR(__xludf.DUMMYFUNCTION("GoogleTranslate(C5, ""en"", ""ms"")"),"Rasa Sebenar")</f>
        <v>Rasa Sebenar</v>
      </c>
      <c r="AQ5" s="3" t="str">
        <f>IFERROR(__xludf.DUMMYFUNCTION("GoogleTranslate(C5, ""en"", ""ml"")"),"യഥാർത്ഥ ഫീൽ")</f>
        <v>യഥാർത്ഥ ഫീൽ</v>
      </c>
      <c r="AR5" s="3" t="str">
        <f>IFERROR(__xludf.DUMMYFUNCTION("GoogleTranslate(C5, ""en"", ""mr"")"),"खरा फील")</f>
        <v>खरा फील</v>
      </c>
      <c r="AS5" s="3" t="str">
        <f>IFERROR(__xludf.DUMMYFUNCTION("GoogleTranslate(C5, ""en"", ""mn"")"),"Жинхэнэ мэдрэмж")</f>
        <v>Жинхэнэ мэдрэмж</v>
      </c>
      <c r="AT5" s="3" t="str">
        <f>IFERROR(__xludf.DUMMYFUNCTION("GoogleTranslate(C5, ""en"", ""ne"")"),"वास्तविक अनुभूति")</f>
        <v>वास्तविक अनुभूति</v>
      </c>
      <c r="AU5" s="3" t="str">
        <f>IFERROR(__xludf.DUMMYFUNCTION("GoogleTranslate(C5, ""en"", ""nb"")"),"Virkelig følelse")</f>
        <v>Virkelig følelse</v>
      </c>
      <c r="AV5" s="3" t="str">
        <f>IFERROR(__xludf.DUMMYFUNCTION("GoogleTranslate(C5, ""en"", ""fa"")"),"احساس واقعی")</f>
        <v>احساس واقعی</v>
      </c>
      <c r="AW5" s="3" t="str">
        <f>IFERROR(__xludf.DUMMYFUNCTION("GoogleTranslate(C5, ""en"", ""pl"")"),"Prawdziwe uczucie")</f>
        <v>Prawdziwe uczucie</v>
      </c>
      <c r="AX5" s="3" t="str">
        <f>IFERROR(__xludf.DUMMYFUNCTION("GoogleTranslate(C5, ""en"", ""pt"")"),"Sensação Real")</f>
        <v>Sensação Real</v>
      </c>
      <c r="AY5" s="3" t="str">
        <f>IFERROR(__xludf.DUMMYFUNCTION("GoogleTranslate(C5, ""en"", ""ro"")"),"Senzație reală")</f>
        <v>Senzație reală</v>
      </c>
      <c r="AZ5" s="3" t="str">
        <f>IFERROR(__xludf.DUMMYFUNCTION("GoogleTranslate(C5, ""en"", ""ru"")"),"Настоящее чувство")</f>
        <v>Настоящее чувство</v>
      </c>
      <c r="BA5" s="3" t="str">
        <f>IFERROR(__xludf.DUMMYFUNCTION("GoogleTranslate(C5, ""en"", ""sr"")"),"Реал Феел")</f>
        <v>Реал Феел</v>
      </c>
      <c r="BB5" s="3" t="str">
        <f>IFERROR(__xludf.DUMMYFUNCTION("GoogleTranslate(C5, ""en"", ""si"")"),"සැබෑ හැඟීම")</f>
        <v>සැබෑ හැඟීම</v>
      </c>
      <c r="BC5" s="3" t="str">
        <f>IFERROR(__xludf.DUMMYFUNCTION("GoogleTranslate(C5, ""en"", ""sk"")"),"Skutočný pocit")</f>
        <v>Skutočný pocit</v>
      </c>
      <c r="BD5" s="3" t="str">
        <f>IFERROR(__xludf.DUMMYFUNCTION("GoogleTranslate(C5, ""en"", ""sl"")"),"Real Feel")</f>
        <v>Real Feel</v>
      </c>
      <c r="BE5" s="3" t="str">
        <f>IFERROR(__xludf.DUMMYFUNCTION("GoogleTranslate(C5, ""en"", ""es"")"),"sensación real")</f>
        <v>sensación real</v>
      </c>
      <c r="BF5" s="3" t="str">
        <f>IFERROR(__xludf.DUMMYFUNCTION("GoogleTranslate(C5, ""en"", ""sw"")"),"Hisia ya Kweli")</f>
        <v>Hisia ya Kweli</v>
      </c>
      <c r="BG5" s="3" t="str">
        <f>IFERROR(__xludf.DUMMYFUNCTION("GoogleTranslate(C5, ""en"", ""sv"")"),"Riktig känsla")</f>
        <v>Riktig känsla</v>
      </c>
      <c r="BH5" s="3" t="str">
        <f>IFERROR(__xludf.DUMMYFUNCTION("GoogleTranslate(C5, ""en"", ""te"")"),"రియల్ ఫీల్")</f>
        <v>రియల్ ఫీల్</v>
      </c>
      <c r="BI5" s="3" t="str">
        <f>IFERROR(__xludf.DUMMYFUNCTION("GoogleTranslate(C5, ""en"", ""th"")"),"ความรู้สึกที่แท้จริง")</f>
        <v>ความรู้สึกที่แท้จริง</v>
      </c>
      <c r="BJ5" s="3" t="str">
        <f>IFERROR(__xludf.DUMMYFUNCTION("GoogleTranslate(C5, ""en"", ""tr"")"),"Gerçek Hissi")</f>
        <v>Gerçek Hissi</v>
      </c>
      <c r="BK5" s="3" t="str">
        <f>IFERROR(__xludf.DUMMYFUNCTION("GoogleTranslate(C5, ""en"", ""uk"")"),"Справжнє відчуття")</f>
        <v>Справжнє відчуття</v>
      </c>
      <c r="BL5" s="3" t="str">
        <f>IFERROR(__xludf.DUMMYFUNCTION("GoogleTranslate(C5, ""en"", ""zu"")"),"Umuzwa Wangempela")</f>
        <v>Umuzwa Wangempela</v>
      </c>
    </row>
    <row r="6">
      <c r="A6" s="1" t="str">
        <f t="shared" si="1"/>
        <v>Province/City</v>
      </c>
      <c r="B6" s="4" t="s">
        <v>68</v>
      </c>
      <c r="C6" s="1" t="str">
        <f t="shared" si="2"/>
        <v>Province/City</v>
      </c>
      <c r="D6" s="3" t="str">
        <f>IFERROR(__xludf.DUMMYFUNCTION("GoogleTranslate(C6, ""en"", ""es"")"),"Provincia/Ciudad")</f>
        <v>Provincia/Ciudad</v>
      </c>
      <c r="E6" s="3" t="str">
        <f>IFERROR(__xludf.DUMMYFUNCTION("GoogleTranslate(C6, ""en"", ""ar"")"),"المقاطعة/المدينة")</f>
        <v>المقاطعة/المدينة</v>
      </c>
      <c r="F6" s="3" t="str">
        <f>IFERROR(__xludf.DUMMYFUNCTION("GoogleTranslate(C6, ""en"", ""hy"")"),"Նահանգ/Քաղաք")</f>
        <v>Նահանգ/Քաղաք</v>
      </c>
      <c r="G6" s="3" t="str">
        <f>IFERROR(__xludf.DUMMYFUNCTION("GoogleTranslate(C6, ""en"", ""vi"")"),"Tỉnh/Thành phố")</f>
        <v>Tỉnh/Thành phố</v>
      </c>
      <c r="H6" s="3" t="str">
        <f>IFERROR(__xludf.DUMMYFUNCTION("GoogleTranslate(C6, ""en"", ""az"")"),"Vilayət/Şəhər")</f>
        <v>Vilayət/Şəhər</v>
      </c>
      <c r="I6" s="3" t="str">
        <f>IFERROR(__xludf.DUMMYFUNCTION("GoogleTranslate(C6, ""en"", ""eu"")"),"Probintzia/Herria")</f>
        <v>Probintzia/Herria</v>
      </c>
      <c r="J6" s="3" t="str">
        <f>IFERROR(__xludf.DUMMYFUNCTION("GoogleTranslate(C6, ""en"", ""be"")"),"Правінцыя/Горад")</f>
        <v>Правінцыя/Горад</v>
      </c>
      <c r="K6" s="3" t="str">
        <f>IFERROR(__xludf.DUMMYFUNCTION("GoogleTranslate(C6, ""en"", ""bn"")"),"প্রদেশ/শহর")</f>
        <v>প্রদেশ/শহর</v>
      </c>
      <c r="L6" s="3" t="str">
        <f>IFERROR(__xludf.DUMMYFUNCTION("GoogleTranslate(C6, ""en"", ""bg"")"),"Област/Град")</f>
        <v>Област/Град</v>
      </c>
      <c r="M6" s="3" t="str">
        <f>IFERROR(__xludf.DUMMYFUNCTION("GoogleTranslate(C6, ""en"", ""my"")"),"ပြည်နယ်/မြို့")</f>
        <v>ပြည်နယ်/မြို့</v>
      </c>
      <c r="N6" s="3" t="str">
        <f>IFERROR(__xludf.DUMMYFUNCTION("GoogleTranslate(C6, ""en"", ""ca"")"),"Província/ciutat")</f>
        <v>Província/ciutat</v>
      </c>
      <c r="O6" s="3" t="str">
        <f>IFERROR(__xludf.DUMMYFUNCTION("GoogleTranslate(C6, ""en"", ""zh-cn"")"),"省/市")</f>
        <v>省/市</v>
      </c>
      <c r="P6" s="3" t="str">
        <f>IFERROR(__xludf.DUMMYFUNCTION("GoogleTranslate(C6, ""en"", ""zh-TW"")"),"省/市")</f>
        <v>省/市</v>
      </c>
      <c r="Q6" s="3" t="str">
        <f>IFERROR(__xludf.DUMMYFUNCTION("GoogleTranslate(C6, ""en"", ""hr"")"),"Pokrajina/grad")</f>
        <v>Pokrajina/grad</v>
      </c>
      <c r="R6" s="3" t="str">
        <f>IFERROR(__xludf.DUMMYFUNCTION("GoogleTranslate(C6, ""en"", ""cs"")"),"Provincie/město")</f>
        <v>Provincie/město</v>
      </c>
      <c r="S6" s="3" t="str">
        <f>IFERROR(__xludf.DUMMYFUNCTION("GoogleTranslate(C6, ""en"", ""da"")"),"Provins/by")</f>
        <v>Provins/by</v>
      </c>
      <c r="T6" s="3" t="str">
        <f>IFERROR(__xludf.DUMMYFUNCTION("GoogleTranslate(C6, ""en"", ""nl"")"),"Provincie/Stad")</f>
        <v>Provincie/Stad</v>
      </c>
      <c r="U6" s="3" t="str">
        <f>IFERROR(__xludf.DUMMYFUNCTION("GoogleTranslate(C6, ""en"", ""et"")"),"Provints/linn")</f>
        <v>Provints/linn</v>
      </c>
      <c r="V6" s="1" t="str">
        <f t="shared" si="3"/>
        <v>Province/City</v>
      </c>
      <c r="W6" s="3" t="str">
        <f>IFERROR(__xludf.DUMMYFUNCTION("GoogleTranslate(C6, ""en"", ""fi"")"),"Maakunta/Kaupunki")</f>
        <v>Maakunta/Kaupunki</v>
      </c>
      <c r="X6" s="3" t="str">
        <f>IFERROR(__xludf.DUMMYFUNCTION("GoogleTranslate(C6, ""en"", ""fr"")"),"Province/Ville")</f>
        <v>Province/Ville</v>
      </c>
      <c r="Y6" s="3" t="str">
        <f>IFERROR(__xludf.DUMMYFUNCTION("GoogleTranslate(C6, ""en"", ""de"")"),"Provinz/Stadt")</f>
        <v>Provinz/Stadt</v>
      </c>
      <c r="Z6" s="3" t="str">
        <f>IFERROR(__xludf.DUMMYFUNCTION("GoogleTranslate(C6, ""en"", ""el"")"),"Επαρχία/Πόλη")</f>
        <v>Επαρχία/Πόλη</v>
      </c>
      <c r="AA6" s="3" t="str">
        <f>IFERROR(__xludf.DUMMYFUNCTION("GoogleTranslate(C6, ""en"", ""iw"")"),"מחוז/עיר")</f>
        <v>מחוז/עיר</v>
      </c>
      <c r="AB6" s="3" t="str">
        <f>IFERROR(__xludf.DUMMYFUNCTION("GoogleTranslate(C6, ""en"", ""hi"")"),"प्रांत/शहर")</f>
        <v>प्रांत/शहर</v>
      </c>
      <c r="AC6" s="3" t="str">
        <f>IFERROR(__xludf.DUMMYFUNCTION("GoogleTranslate(C6, ""en"", ""hu"")"),"Tartomány/város")</f>
        <v>Tartomány/város</v>
      </c>
      <c r="AD6" s="3" t="str">
        <f>IFERROR(__xludf.DUMMYFUNCTION("GoogleTranslate(C6, ""en"", ""is"")"),"Hérað/borg")</f>
        <v>Hérað/borg</v>
      </c>
      <c r="AE6" s="3" t="str">
        <f>IFERROR(__xludf.DUMMYFUNCTION("GoogleTranslate(C6, ""en"", ""id"")"),"Provinsi/Kota")</f>
        <v>Provinsi/Kota</v>
      </c>
      <c r="AF6" s="3" t="str">
        <f>IFERROR(__xludf.DUMMYFUNCTION("GoogleTranslate(C6, ""en"", ""in"")"),"Provinsi/Kota")</f>
        <v>Provinsi/Kota</v>
      </c>
      <c r="AG6" s="3" t="str">
        <f>IFERROR(__xludf.DUMMYFUNCTION("GoogleTranslate(C6, ""en"", ""it"")"),"Provincia/Città")</f>
        <v>Provincia/Città</v>
      </c>
      <c r="AH6" s="3" t="str">
        <f>IFERROR(__xludf.DUMMYFUNCTION("GoogleTranslate(C6, ""en"", ""ja"")"),"県/市")</f>
        <v>県/市</v>
      </c>
      <c r="AI6" s="3" t="str">
        <f>IFERROR(__xludf.DUMMYFUNCTION("GoogleTranslate(C6, ""en"", ""kn"")"),"ಪ್ರಾಂತ್ಯ/ನಗರ")</f>
        <v>ಪ್ರಾಂತ್ಯ/ನಗರ</v>
      </c>
      <c r="AJ6" s="3" t="str">
        <f>IFERROR(__xludf.DUMMYFUNCTION("GoogleTranslate(C6, ""en"", ""km"")"),"ខេត្ត/ក្រុង")</f>
        <v>ខេត្ត/ក្រុង</v>
      </c>
      <c r="AK6" s="3" t="str">
        <f>IFERROR(__xludf.DUMMYFUNCTION("GoogleTranslate(C6, ""en"", ""ko"")"),"지방/시")</f>
        <v>지방/시</v>
      </c>
      <c r="AL6" s="3" t="str">
        <f>IFERROR(__xludf.DUMMYFUNCTION("GoogleTranslate(C6, ""en"", ""lo"")"),"ແຂວງ/ເມືອງ")</f>
        <v>ແຂວງ/ເມືອງ</v>
      </c>
      <c r="AM6" s="3" t="str">
        <f>IFERROR(__xludf.DUMMYFUNCTION("GoogleTranslate(C6, ""en"", ""lv"")"),"Province/Pilsēta")</f>
        <v>Province/Pilsēta</v>
      </c>
      <c r="AN6" s="3" t="str">
        <f>IFERROR(__xludf.DUMMYFUNCTION("GoogleTranslate(C6, ""en"", ""lt"")"),"Provincija/miestas")</f>
        <v>Provincija/miestas</v>
      </c>
      <c r="AO6" s="3" t="str">
        <f>IFERROR(__xludf.DUMMYFUNCTION("GoogleTranslate(C6, ""en"", ""mk"")"),"Провинција/Град")</f>
        <v>Провинција/Град</v>
      </c>
      <c r="AP6" s="3" t="str">
        <f>IFERROR(__xludf.DUMMYFUNCTION("GoogleTranslate(C6, ""en"", ""ms"")"),"Wilayah/Bandar")</f>
        <v>Wilayah/Bandar</v>
      </c>
      <c r="AQ6" s="3" t="str">
        <f>IFERROR(__xludf.DUMMYFUNCTION("GoogleTranslate(C6, ""en"", ""ml"")"),"പ്രവിശ്യ/നഗരം")</f>
        <v>പ്രവിശ്യ/നഗരം</v>
      </c>
      <c r="AR6" s="3" t="str">
        <f>IFERROR(__xludf.DUMMYFUNCTION("GoogleTranslate(C6, ""en"", ""mr"")"),"प्रांत/शहर")</f>
        <v>प्रांत/शहर</v>
      </c>
      <c r="AS6" s="3" t="str">
        <f>IFERROR(__xludf.DUMMYFUNCTION("GoogleTranslate(C6, ""en"", ""mn"")"),"Муж/Хот")</f>
        <v>Муж/Хот</v>
      </c>
      <c r="AT6" s="3" t="str">
        <f>IFERROR(__xludf.DUMMYFUNCTION("GoogleTranslate(C6, ""en"", ""ne"")"),"प्रान्त/नगर")</f>
        <v>प्रान्त/नगर</v>
      </c>
      <c r="AU6" s="3" t="str">
        <f>IFERROR(__xludf.DUMMYFUNCTION("GoogleTranslate(C6, ""en"", ""nb"")"),"Provins/by")</f>
        <v>Provins/by</v>
      </c>
      <c r="AV6" s="3" t="str">
        <f>IFERROR(__xludf.DUMMYFUNCTION("GoogleTranslate(C6, ""en"", ""fa"")"),"استان/شهر")</f>
        <v>استان/شهر</v>
      </c>
      <c r="AW6" s="3" t="str">
        <f>IFERROR(__xludf.DUMMYFUNCTION("GoogleTranslate(C6, ""en"", ""pl"")"),"Prowincja/miasto")</f>
        <v>Prowincja/miasto</v>
      </c>
      <c r="AX6" s="3" t="str">
        <f>IFERROR(__xludf.DUMMYFUNCTION("GoogleTranslate(C6, ""en"", ""pt"")"),"Província/Cidade")</f>
        <v>Província/Cidade</v>
      </c>
      <c r="AY6" s="3" t="str">
        <f>IFERROR(__xludf.DUMMYFUNCTION("GoogleTranslate(C6, ""en"", ""ro"")"),"provincie/oraș")</f>
        <v>provincie/oraș</v>
      </c>
      <c r="AZ6" s="3" t="str">
        <f>IFERROR(__xludf.DUMMYFUNCTION("GoogleTranslate(C6, ""en"", ""ru"")"),"Провинция/Город")</f>
        <v>Провинция/Город</v>
      </c>
      <c r="BA6" s="3" t="str">
        <f>IFERROR(__xludf.DUMMYFUNCTION("GoogleTranslate(C6, ""en"", ""sr"")"),"Покрајина/Град")</f>
        <v>Покрајина/Град</v>
      </c>
      <c r="BB6" s="3" t="str">
        <f>IFERROR(__xludf.DUMMYFUNCTION("GoogleTranslate(C6, ""en"", ""si"")"),"පළාත/නගරය")</f>
        <v>පළාත/නගරය</v>
      </c>
      <c r="BC6" s="3" t="str">
        <f>IFERROR(__xludf.DUMMYFUNCTION("GoogleTranslate(C6, ""en"", ""sk"")"),"Provincia/mesto")</f>
        <v>Provincia/mesto</v>
      </c>
      <c r="BD6" s="3" t="str">
        <f>IFERROR(__xludf.DUMMYFUNCTION("GoogleTranslate(C6, ""en"", ""sl"")"),"Pokrajina/mesto")</f>
        <v>Pokrajina/mesto</v>
      </c>
      <c r="BE6" s="3" t="str">
        <f>IFERROR(__xludf.DUMMYFUNCTION("GoogleTranslate(C6, ""en"", ""es"")"),"Provincia/Ciudad")</f>
        <v>Provincia/Ciudad</v>
      </c>
      <c r="BF6" s="3" t="str">
        <f>IFERROR(__xludf.DUMMYFUNCTION("GoogleTranslate(C6, ""en"", ""sw"")"),"Mkoa/Jiji")</f>
        <v>Mkoa/Jiji</v>
      </c>
      <c r="BG6" s="3" t="str">
        <f>IFERROR(__xludf.DUMMYFUNCTION("GoogleTranslate(C6, ""en"", ""sv"")"),"Provins/stad")</f>
        <v>Provins/stad</v>
      </c>
      <c r="BH6" s="3" t="str">
        <f>IFERROR(__xludf.DUMMYFUNCTION("GoogleTranslate(C6, ""en"", ""te"")"),"ప్రావిన్స్/నగరం")</f>
        <v>ప్రావిన్స్/నగరం</v>
      </c>
      <c r="BI6" s="3" t="str">
        <f>IFERROR(__xludf.DUMMYFUNCTION("GoogleTranslate(C6, ""en"", ""th"")"),"จังหวัด/เมือง")</f>
        <v>จังหวัด/เมือง</v>
      </c>
      <c r="BJ6" s="3" t="str">
        <f>IFERROR(__xludf.DUMMYFUNCTION("GoogleTranslate(C6, ""en"", ""tr"")"),"İl/Şehir")</f>
        <v>İl/Şehir</v>
      </c>
      <c r="BK6" s="3" t="str">
        <f>IFERROR(__xludf.DUMMYFUNCTION("GoogleTranslate(C6, ""en"", ""uk"")"),"Провінція/місто")</f>
        <v>Провінція/місто</v>
      </c>
      <c r="BL6" s="3" t="str">
        <f>IFERROR(__xludf.DUMMYFUNCTION("GoogleTranslate(C6, ""en"", ""zu"")"),"Isifundazwe/Idolobha")</f>
        <v>Isifundazwe/Idolobha</v>
      </c>
    </row>
    <row r="7">
      <c r="A7" s="1" t="str">
        <f t="shared" si="1"/>
        <v>Introduce</v>
      </c>
      <c r="B7" s="4" t="s">
        <v>69</v>
      </c>
      <c r="C7" s="1" t="str">
        <f t="shared" si="2"/>
        <v>Introduce</v>
      </c>
      <c r="D7" s="3" t="str">
        <f>IFERROR(__xludf.DUMMYFUNCTION("GoogleTranslate(C7, ""en"", ""es"")"),"Introducir")</f>
        <v>Introducir</v>
      </c>
      <c r="E7" s="3" t="str">
        <f>IFERROR(__xludf.DUMMYFUNCTION("GoogleTranslate(C7, ""en"", ""ar"")"),"يقدم")</f>
        <v>يقدم</v>
      </c>
      <c r="F7" s="3" t="str">
        <f>IFERROR(__xludf.DUMMYFUNCTION("GoogleTranslate(C7, ""en"", ""hy"")"),"Ներկայացրե՛ք")</f>
        <v>Ներկայացրե՛ք</v>
      </c>
      <c r="G7" s="3" t="str">
        <f>IFERROR(__xludf.DUMMYFUNCTION("GoogleTranslate(C7, ""en"", ""vi"")"),"Giới thiệu")</f>
        <v>Giới thiệu</v>
      </c>
      <c r="H7" s="3" t="str">
        <f>IFERROR(__xludf.DUMMYFUNCTION("GoogleTranslate(C7, ""en"", ""az"")"),"təqdim etmək")</f>
        <v>təqdim etmək</v>
      </c>
      <c r="I7" s="3" t="str">
        <f>IFERROR(__xludf.DUMMYFUNCTION("GoogleTranslate(C7, ""en"", ""eu"")"),"Aurkeztu")</f>
        <v>Aurkeztu</v>
      </c>
      <c r="J7" s="3" t="str">
        <f>IFERROR(__xludf.DUMMYFUNCTION("GoogleTranslate(C7, ""en"", ""be"")"),"Прадстаўляць")</f>
        <v>Прадстаўляць</v>
      </c>
      <c r="K7" s="3" t="str">
        <f>IFERROR(__xludf.DUMMYFUNCTION("GoogleTranslate(C7, ""en"", ""bn"")"),"পরিচয় করিয়ে দিন")</f>
        <v>পরিচয় করিয়ে দিন</v>
      </c>
      <c r="L7" s="3" t="str">
        <f>IFERROR(__xludf.DUMMYFUNCTION("GoogleTranslate(C7, ""en"", ""bg"")"),"Представяне")</f>
        <v>Представяне</v>
      </c>
      <c r="M7" s="3" t="str">
        <f>IFERROR(__xludf.DUMMYFUNCTION("GoogleTranslate(C7, ""en"", ""my"")"),"မိတ်​ဆက်​သည်​")</f>
        <v>မိတ်​ဆက်​သည်​</v>
      </c>
      <c r="N7" s="3" t="str">
        <f>IFERROR(__xludf.DUMMYFUNCTION("GoogleTranslate(C7, ""en"", ""ca"")"),"Presentar")</f>
        <v>Presentar</v>
      </c>
      <c r="O7" s="3" t="str">
        <f>IFERROR(__xludf.DUMMYFUNCTION("GoogleTranslate(C7, ""en"", ""zh-cn"")"),"介绍")</f>
        <v>介绍</v>
      </c>
      <c r="P7" s="3" t="str">
        <f>IFERROR(__xludf.DUMMYFUNCTION("GoogleTranslate(C7, ""en"", ""zh-TW"")"),"介紹")</f>
        <v>介紹</v>
      </c>
      <c r="Q7" s="3" t="str">
        <f>IFERROR(__xludf.DUMMYFUNCTION("GoogleTranslate(C7, ""en"", ""hr"")"),"Predstaviti")</f>
        <v>Predstaviti</v>
      </c>
      <c r="R7" s="3" t="str">
        <f>IFERROR(__xludf.DUMMYFUNCTION("GoogleTranslate(C7, ""en"", ""cs"")"),"Představit")</f>
        <v>Představit</v>
      </c>
      <c r="S7" s="3" t="str">
        <f>IFERROR(__xludf.DUMMYFUNCTION("GoogleTranslate(C7, ""en"", ""da"")"),"Indføre")</f>
        <v>Indføre</v>
      </c>
      <c r="T7" s="3" t="str">
        <f>IFERROR(__xludf.DUMMYFUNCTION("GoogleTranslate(C7, ""en"", ""nl"")"),"Introduceren")</f>
        <v>Introduceren</v>
      </c>
      <c r="U7" s="3" t="str">
        <f>IFERROR(__xludf.DUMMYFUNCTION("GoogleTranslate(C7, ""en"", ""et"")"),"Tutvustage")</f>
        <v>Tutvustage</v>
      </c>
      <c r="V7" s="1" t="str">
        <f t="shared" si="3"/>
        <v>Introduce</v>
      </c>
      <c r="W7" s="3" t="str">
        <f>IFERROR(__xludf.DUMMYFUNCTION("GoogleTranslate(C7, ""en"", ""fi"")"),"Esitellä")</f>
        <v>Esitellä</v>
      </c>
      <c r="X7" s="3" t="str">
        <f>IFERROR(__xludf.DUMMYFUNCTION("GoogleTranslate(C7, ""en"", ""fr"")"),"Introduire")</f>
        <v>Introduire</v>
      </c>
      <c r="Y7" s="3" t="str">
        <f>IFERROR(__xludf.DUMMYFUNCTION("GoogleTranslate(C7, ""en"", ""de"")"),"Einführen")</f>
        <v>Einführen</v>
      </c>
      <c r="Z7" s="3" t="str">
        <f>IFERROR(__xludf.DUMMYFUNCTION("GoogleTranslate(C7, ""en"", ""el"")"),"Παρουσιάζω")</f>
        <v>Παρουσιάζω</v>
      </c>
      <c r="AA7" s="3" t="str">
        <f>IFERROR(__xludf.DUMMYFUNCTION("GoogleTranslate(C7, ""en"", ""iw"")"),"לְהַצִיג")</f>
        <v>לְהַצִיג</v>
      </c>
      <c r="AB7" s="3" t="str">
        <f>IFERROR(__xludf.DUMMYFUNCTION("GoogleTranslate(C7, ""en"", ""hi"")"),"परिचय देना")</f>
        <v>परिचय देना</v>
      </c>
      <c r="AC7" s="3" t="str">
        <f>IFERROR(__xludf.DUMMYFUNCTION("GoogleTranslate(C7, ""en"", ""hu"")"),"bevezetni")</f>
        <v>bevezetni</v>
      </c>
      <c r="AD7" s="3" t="str">
        <f>IFERROR(__xludf.DUMMYFUNCTION("GoogleTranslate(C7, ""en"", ""is"")"),"Kynna")</f>
        <v>Kynna</v>
      </c>
      <c r="AE7" s="3" t="str">
        <f>IFERROR(__xludf.DUMMYFUNCTION("GoogleTranslate(C7, ""en"", ""id"")"),"Memperkenalkan")</f>
        <v>Memperkenalkan</v>
      </c>
      <c r="AF7" s="3" t="str">
        <f>IFERROR(__xludf.DUMMYFUNCTION("GoogleTranslate(C7, ""en"", ""in"")"),"Memperkenalkan")</f>
        <v>Memperkenalkan</v>
      </c>
      <c r="AG7" s="3" t="str">
        <f>IFERROR(__xludf.DUMMYFUNCTION("GoogleTranslate(C7, ""en"", ""it"")"),"Introdurre")</f>
        <v>Introdurre</v>
      </c>
      <c r="AH7" s="3" t="str">
        <f>IFERROR(__xludf.DUMMYFUNCTION("GoogleTranslate(C7, ""en"", ""ja"")"),"導入")</f>
        <v>導入</v>
      </c>
      <c r="AI7" s="3" t="str">
        <f>IFERROR(__xludf.DUMMYFUNCTION("GoogleTranslate(C7, ""en"", ""kn"")"),"ಪರಿಚಯಿಸಿ")</f>
        <v>ಪರಿಚಯಿಸಿ</v>
      </c>
      <c r="AJ7" s="3" t="str">
        <f>IFERROR(__xludf.DUMMYFUNCTION("GoogleTranslate(C7, ""en"", ""km"")"),"ណែនាំ")</f>
        <v>ណែនាំ</v>
      </c>
      <c r="AK7" s="3" t="str">
        <f>IFERROR(__xludf.DUMMYFUNCTION("GoogleTranslate(C7, ""en"", ""ko"")"),"소개하다")</f>
        <v>소개하다</v>
      </c>
      <c r="AL7" s="3" t="str">
        <f>IFERROR(__xludf.DUMMYFUNCTION("GoogleTranslate(C7, ""en"", ""lo"")"),"ແນະນຳ")</f>
        <v>ແນະນຳ</v>
      </c>
      <c r="AM7" s="3" t="str">
        <f>IFERROR(__xludf.DUMMYFUNCTION("GoogleTranslate(C7, ""en"", ""lv"")"),"Iepazīstināt")</f>
        <v>Iepazīstināt</v>
      </c>
      <c r="AN7" s="3" t="str">
        <f>IFERROR(__xludf.DUMMYFUNCTION("GoogleTranslate(C7, ""en"", ""lt"")"),"Pristatykite")</f>
        <v>Pristatykite</v>
      </c>
      <c r="AO7" s="3" t="str">
        <f>IFERROR(__xludf.DUMMYFUNCTION("GoogleTranslate(C7, ""en"", ""mk"")"),"Воведи")</f>
        <v>Воведи</v>
      </c>
      <c r="AP7" s="3" t="str">
        <f>IFERROR(__xludf.DUMMYFUNCTION("GoogleTranslate(C7, ""en"", ""ms"")"),"perkenalkan")</f>
        <v>perkenalkan</v>
      </c>
      <c r="AQ7" s="3" t="str">
        <f>IFERROR(__xludf.DUMMYFUNCTION("GoogleTranslate(C7, ""en"", ""ml"")"),"പരിചയപ്പെടുത്തുക")</f>
        <v>പരിചയപ്പെടുത്തുക</v>
      </c>
      <c r="AR7" s="3" t="str">
        <f>IFERROR(__xludf.DUMMYFUNCTION("GoogleTranslate(C7, ""en"", ""mr"")"),"परिचय द्या")</f>
        <v>परिचय द्या</v>
      </c>
      <c r="AS7" s="3" t="str">
        <f>IFERROR(__xludf.DUMMYFUNCTION("GoogleTranslate(C7, ""en"", ""mn"")"),"Танилцуулах")</f>
        <v>Танилцуулах</v>
      </c>
      <c r="AT7" s="3" t="str">
        <f>IFERROR(__xludf.DUMMYFUNCTION("GoogleTranslate(C7, ""en"", ""ne"")"),"परिचय दिनुहोस्")</f>
        <v>परिचय दिनुहोस्</v>
      </c>
      <c r="AU7" s="3" t="str">
        <f>IFERROR(__xludf.DUMMYFUNCTION("GoogleTranslate(C7, ""en"", ""nb"")"),"Introdusere")</f>
        <v>Introdusere</v>
      </c>
      <c r="AV7" s="3" t="str">
        <f>IFERROR(__xludf.DUMMYFUNCTION("GoogleTranslate(C7, ""en"", ""fa"")"),"معرفی کنید")</f>
        <v>معرفی کنید</v>
      </c>
      <c r="AW7" s="3" t="str">
        <f>IFERROR(__xludf.DUMMYFUNCTION("GoogleTranslate(C7, ""en"", ""pl"")"),"Wprowadzić")</f>
        <v>Wprowadzić</v>
      </c>
      <c r="AX7" s="3" t="str">
        <f>IFERROR(__xludf.DUMMYFUNCTION("GoogleTranslate(C7, ""en"", ""pt"")"),"Introduzir")</f>
        <v>Introduzir</v>
      </c>
      <c r="AY7" s="3" t="str">
        <f>IFERROR(__xludf.DUMMYFUNCTION("GoogleTranslate(C7, ""en"", ""ro"")"),"Introduce")</f>
        <v>Introduce</v>
      </c>
      <c r="AZ7" s="3" t="str">
        <f>IFERROR(__xludf.DUMMYFUNCTION("GoogleTranslate(C7, ""en"", ""ru"")"),"Представлять")</f>
        <v>Представлять</v>
      </c>
      <c r="BA7" s="3" t="str">
        <f>IFERROR(__xludf.DUMMYFUNCTION("GoogleTranslate(C7, ""en"", ""sr"")"),"Увести")</f>
        <v>Увести</v>
      </c>
      <c r="BB7" s="3" t="str">
        <f>IFERROR(__xludf.DUMMYFUNCTION("GoogleTranslate(C7, ""en"", ""si"")"),"හඳුන්වා දෙන්න")</f>
        <v>හඳුන්වා දෙන්න</v>
      </c>
      <c r="BC7" s="3" t="str">
        <f>IFERROR(__xludf.DUMMYFUNCTION("GoogleTranslate(C7, ""en"", ""sk"")"),"Predstaviť")</f>
        <v>Predstaviť</v>
      </c>
      <c r="BD7" s="3" t="str">
        <f>IFERROR(__xludf.DUMMYFUNCTION("GoogleTranslate(C7, ""en"", ""sl"")"),"Predstavite")</f>
        <v>Predstavite</v>
      </c>
      <c r="BE7" s="3" t="str">
        <f>IFERROR(__xludf.DUMMYFUNCTION("GoogleTranslate(C7, ""en"", ""es"")"),"Introducir")</f>
        <v>Introducir</v>
      </c>
      <c r="BF7" s="3" t="str">
        <f>IFERROR(__xludf.DUMMYFUNCTION("GoogleTranslate(C7, ""en"", ""sw"")"),"Tambulisha")</f>
        <v>Tambulisha</v>
      </c>
      <c r="BG7" s="3" t="str">
        <f>IFERROR(__xludf.DUMMYFUNCTION("GoogleTranslate(C7, ""en"", ""sv"")"),"Införa")</f>
        <v>Införa</v>
      </c>
      <c r="BH7" s="3" t="str">
        <f>IFERROR(__xludf.DUMMYFUNCTION("GoogleTranslate(C7, ""en"", ""te"")"),"పరిచయం చేయండి")</f>
        <v>పరిచయం చేయండి</v>
      </c>
      <c r="BI7" s="3" t="str">
        <f>IFERROR(__xludf.DUMMYFUNCTION("GoogleTranslate(C7, ""en"", ""th"")"),"แนะนำ")</f>
        <v>แนะนำ</v>
      </c>
      <c r="BJ7" s="3" t="str">
        <f>IFERROR(__xludf.DUMMYFUNCTION("GoogleTranslate(C7, ""en"", ""tr"")"),"Tanıtmak")</f>
        <v>Tanıtmak</v>
      </c>
      <c r="BK7" s="3" t="str">
        <f>IFERROR(__xludf.DUMMYFUNCTION("GoogleTranslate(C7, ""en"", ""uk"")"),"Представити")</f>
        <v>Представити</v>
      </c>
      <c r="BL7" s="3" t="str">
        <f>IFERROR(__xludf.DUMMYFUNCTION("GoogleTranslate(C7, ""en"", ""zu"")"),"Ngenisa")</f>
        <v>Ngenisa</v>
      </c>
    </row>
    <row r="8">
      <c r="A8" s="1" t="str">
        <f t="shared" si="1"/>
        <v>Widget</v>
      </c>
      <c r="B8" s="4" t="s">
        <v>70</v>
      </c>
      <c r="C8" s="1" t="str">
        <f t="shared" si="2"/>
        <v>Widget</v>
      </c>
      <c r="D8" s="3" t="str">
        <f>IFERROR(__xludf.DUMMYFUNCTION("GoogleTranslate(C8, ""en"", ""es"")"),"widget")</f>
        <v>widget</v>
      </c>
      <c r="E8" s="3" t="str">
        <f>IFERROR(__xludf.DUMMYFUNCTION("GoogleTranslate(C8, ""en"", ""ar"")"),"القطعة")</f>
        <v>القطعة</v>
      </c>
      <c r="F8" s="3" t="str">
        <f>IFERROR(__xludf.DUMMYFUNCTION("GoogleTranslate(C8, ""en"", ""hy"")"),"Վիջեթ")</f>
        <v>Վիջեթ</v>
      </c>
      <c r="G8" s="3" t="str">
        <f>IFERROR(__xludf.DUMMYFUNCTION("GoogleTranslate(C8, ""en"", ""vi"")"),"Tiện ích")</f>
        <v>Tiện ích</v>
      </c>
      <c r="H8" s="3" t="str">
        <f>IFERROR(__xludf.DUMMYFUNCTION("GoogleTranslate(C8, ""en"", ""az"")"),"Vidcet")</f>
        <v>Vidcet</v>
      </c>
      <c r="I8" s="3" t="str">
        <f>IFERROR(__xludf.DUMMYFUNCTION("GoogleTranslate(C8, ""en"", ""eu"")"),"Widget-a")</f>
        <v>Widget-a</v>
      </c>
      <c r="J8" s="3" t="str">
        <f>IFERROR(__xludf.DUMMYFUNCTION("GoogleTranslate(C8, ""en"", ""be"")"),"Віджэт")</f>
        <v>Віджэт</v>
      </c>
      <c r="K8" s="3" t="str">
        <f>IFERROR(__xludf.DUMMYFUNCTION("GoogleTranslate(C8, ""en"", ""bn"")"),"উইজেট")</f>
        <v>উইজেট</v>
      </c>
      <c r="L8" s="3" t="str">
        <f>IFERROR(__xludf.DUMMYFUNCTION("GoogleTranslate(C8, ""en"", ""bg"")"),"Widget")</f>
        <v>Widget</v>
      </c>
      <c r="M8" s="3" t="str">
        <f>IFERROR(__xludf.DUMMYFUNCTION("GoogleTranslate(C8, ""en"", ""my"")"),"ဝစ်")</f>
        <v>ဝစ်</v>
      </c>
      <c r="N8" s="3" t="str">
        <f>IFERROR(__xludf.DUMMYFUNCTION("GoogleTranslate(C8, ""en"", ""ca"")"),"Giny")</f>
        <v>Giny</v>
      </c>
      <c r="O8" s="3" t="str">
        <f>IFERROR(__xludf.DUMMYFUNCTION("GoogleTranslate(C8, ""en"", ""zh-cn"")"),"小工具")</f>
        <v>小工具</v>
      </c>
      <c r="P8" s="3" t="str">
        <f>IFERROR(__xludf.DUMMYFUNCTION("GoogleTranslate(C8, ""en"", ""zh-TW"")"),"小工具")</f>
        <v>小工具</v>
      </c>
      <c r="Q8" s="3" t="str">
        <f>IFERROR(__xludf.DUMMYFUNCTION("GoogleTranslate(C8, ""en"", ""hr"")"),"Widget")</f>
        <v>Widget</v>
      </c>
      <c r="R8" s="3" t="str">
        <f>IFERROR(__xludf.DUMMYFUNCTION("GoogleTranslate(C8, ""en"", ""cs"")"),"Widget")</f>
        <v>Widget</v>
      </c>
      <c r="S8" s="3" t="str">
        <f>IFERROR(__xludf.DUMMYFUNCTION("GoogleTranslate(C8, ""en"", ""da"")"),"Widget")</f>
        <v>Widget</v>
      </c>
      <c r="T8" s="3" t="str">
        <f>IFERROR(__xludf.DUMMYFUNCTION("GoogleTranslate(C8, ""en"", ""nl"")"),"Widget")</f>
        <v>Widget</v>
      </c>
      <c r="U8" s="3" t="str">
        <f>IFERROR(__xludf.DUMMYFUNCTION("GoogleTranslate(C8, ""en"", ""et"")"),"Vidin")</f>
        <v>Vidin</v>
      </c>
      <c r="V8" s="1" t="str">
        <f t="shared" si="3"/>
        <v>Widget</v>
      </c>
      <c r="W8" s="3" t="str">
        <f>IFERROR(__xludf.DUMMYFUNCTION("GoogleTranslate(C8, ""en"", ""fi"")"),"Widget")</f>
        <v>Widget</v>
      </c>
      <c r="X8" s="3" t="str">
        <f>IFERROR(__xludf.DUMMYFUNCTION("GoogleTranslate(C8, ""en"", ""fr"")"),"Widget")</f>
        <v>Widget</v>
      </c>
      <c r="Y8" s="3" t="str">
        <f>IFERROR(__xludf.DUMMYFUNCTION("GoogleTranslate(C8, ""en"", ""de"")"),"Widget")</f>
        <v>Widget</v>
      </c>
      <c r="Z8" s="3" t="str">
        <f>IFERROR(__xludf.DUMMYFUNCTION("GoogleTranslate(C8, ""en"", ""el"")"),"Γραφικό στοιχείο")</f>
        <v>Γραφικό στοιχείο</v>
      </c>
      <c r="AA8" s="3" t="str">
        <f>IFERROR(__xludf.DUMMYFUNCTION("GoogleTranslate(C8, ""en"", ""iw"")"),"יישומון")</f>
        <v>יישומון</v>
      </c>
      <c r="AB8" s="3" t="str">
        <f>IFERROR(__xludf.DUMMYFUNCTION("GoogleTranslate(C8, ""en"", ""hi"")"),"विजेट")</f>
        <v>विजेट</v>
      </c>
      <c r="AC8" s="3" t="str">
        <f>IFERROR(__xludf.DUMMYFUNCTION("GoogleTranslate(C8, ""en"", ""hu"")"),"Widget")</f>
        <v>Widget</v>
      </c>
      <c r="AD8" s="3" t="str">
        <f>IFERROR(__xludf.DUMMYFUNCTION("GoogleTranslate(C8, ""en"", ""is"")"),"Græja")</f>
        <v>Græja</v>
      </c>
      <c r="AE8" s="3" t="str">
        <f>IFERROR(__xludf.DUMMYFUNCTION("GoogleTranslate(C8, ""en"", ""id"")"),"Widget")</f>
        <v>Widget</v>
      </c>
      <c r="AF8" s="3" t="str">
        <f>IFERROR(__xludf.DUMMYFUNCTION("GoogleTranslate(C8, ""en"", ""in"")"),"Widget")</f>
        <v>Widget</v>
      </c>
      <c r="AG8" s="3" t="str">
        <f>IFERROR(__xludf.DUMMYFUNCTION("GoogleTranslate(C8, ""en"", ""it"")"),"widget")</f>
        <v>widget</v>
      </c>
      <c r="AH8" s="3" t="str">
        <f>IFERROR(__xludf.DUMMYFUNCTION("GoogleTranslate(C8, ""en"", ""ja"")"),"ウィジェット")</f>
        <v>ウィジェット</v>
      </c>
      <c r="AI8" s="3" t="str">
        <f>IFERROR(__xludf.DUMMYFUNCTION("GoogleTranslate(C8, ""en"", ""kn"")"),"ವಿಜೆಟ್")</f>
        <v>ವಿಜೆಟ್</v>
      </c>
      <c r="AJ8" s="3" t="str">
        <f>IFERROR(__xludf.DUMMYFUNCTION("GoogleTranslate(C8, ""en"", ""km"")"),"ធាតុក្រាហ្វិក")</f>
        <v>ធាតុក្រាហ្វិក</v>
      </c>
      <c r="AK8" s="3" t="str">
        <f>IFERROR(__xludf.DUMMYFUNCTION("GoogleTranslate(C8, ""en"", ""ko"")"),"위젯")</f>
        <v>위젯</v>
      </c>
      <c r="AL8" s="3" t="str">
        <f>IFERROR(__xludf.DUMMYFUNCTION("GoogleTranslate(C8, ""en"", ""lo"")"),"ວິດເຈັດ")</f>
        <v>ວິດເຈັດ</v>
      </c>
      <c r="AM8" s="3" t="str">
        <f>IFERROR(__xludf.DUMMYFUNCTION("GoogleTranslate(C8, ""en"", ""lv"")"),"Logrīks")</f>
        <v>Logrīks</v>
      </c>
      <c r="AN8" s="3" t="str">
        <f>IFERROR(__xludf.DUMMYFUNCTION("GoogleTranslate(C8, ""en"", ""lt"")"),"Valdiklis")</f>
        <v>Valdiklis</v>
      </c>
      <c r="AO8" s="3" t="str">
        <f>IFERROR(__xludf.DUMMYFUNCTION("GoogleTranslate(C8, ""en"", ""mk"")"),"Виџет")</f>
        <v>Виџет</v>
      </c>
      <c r="AP8" s="3" t="str">
        <f>IFERROR(__xludf.DUMMYFUNCTION("GoogleTranslate(C8, ""en"", ""ms"")"),"Widget")</f>
        <v>Widget</v>
      </c>
      <c r="AQ8" s="3" t="str">
        <f>IFERROR(__xludf.DUMMYFUNCTION("GoogleTranslate(C8, ""en"", ""ml"")"),"വിജറ്റ്")</f>
        <v>വിജറ്റ്</v>
      </c>
      <c r="AR8" s="3" t="str">
        <f>IFERROR(__xludf.DUMMYFUNCTION("GoogleTranslate(C8, ""en"", ""mr"")"),"विजेट")</f>
        <v>विजेट</v>
      </c>
      <c r="AS8" s="3" t="str">
        <f>IFERROR(__xludf.DUMMYFUNCTION("GoogleTranslate(C8, ""en"", ""mn"")"),"Виджет")</f>
        <v>Виджет</v>
      </c>
      <c r="AT8" s="3" t="str">
        <f>IFERROR(__xludf.DUMMYFUNCTION("GoogleTranslate(C8, ""en"", ""ne"")"),"विजेट")</f>
        <v>विजेट</v>
      </c>
      <c r="AU8" s="3" t="str">
        <f>IFERROR(__xludf.DUMMYFUNCTION("GoogleTranslate(C8, ""en"", ""nb"")"),"Widget")</f>
        <v>Widget</v>
      </c>
      <c r="AV8" s="3" t="str">
        <f>IFERROR(__xludf.DUMMYFUNCTION("GoogleTranslate(C8, ""en"", ""fa"")"),"ویجت")</f>
        <v>ویجت</v>
      </c>
      <c r="AW8" s="3" t="str">
        <f>IFERROR(__xludf.DUMMYFUNCTION("GoogleTranslate(C8, ""en"", ""pl"")"),"Widżet")</f>
        <v>Widżet</v>
      </c>
      <c r="AX8" s="3" t="str">
        <f>IFERROR(__xludf.DUMMYFUNCTION("GoogleTranslate(C8, ""en"", ""pt"")"),"Widget")</f>
        <v>Widget</v>
      </c>
      <c r="AY8" s="3" t="str">
        <f>IFERROR(__xludf.DUMMYFUNCTION("GoogleTranslate(C8, ""en"", ""ro"")"),"Widget")</f>
        <v>Widget</v>
      </c>
      <c r="AZ8" s="3" t="str">
        <f>IFERROR(__xludf.DUMMYFUNCTION("GoogleTranslate(C8, ""en"", ""ru"")"),"Виджет")</f>
        <v>Виджет</v>
      </c>
      <c r="BA8" s="3" t="str">
        <f>IFERROR(__xludf.DUMMYFUNCTION("GoogleTranslate(C8, ""en"", ""sr"")"),"Видгет")</f>
        <v>Видгет</v>
      </c>
      <c r="BB8" s="3" t="str">
        <f>IFERROR(__xludf.DUMMYFUNCTION("GoogleTranslate(C8, ""en"", ""si"")"),"විජට්")</f>
        <v>විජට්</v>
      </c>
      <c r="BC8" s="3" t="str">
        <f>IFERROR(__xludf.DUMMYFUNCTION("GoogleTranslate(C8, ""en"", ""sk"")"),"Widget")</f>
        <v>Widget</v>
      </c>
      <c r="BD8" s="3" t="str">
        <f>IFERROR(__xludf.DUMMYFUNCTION("GoogleTranslate(C8, ""en"", ""sl"")"),"Widget")</f>
        <v>Widget</v>
      </c>
      <c r="BE8" s="3" t="str">
        <f>IFERROR(__xludf.DUMMYFUNCTION("GoogleTranslate(C8, ""en"", ""es"")"),"widget")</f>
        <v>widget</v>
      </c>
      <c r="BF8" s="3" t="str">
        <f>IFERROR(__xludf.DUMMYFUNCTION("GoogleTranslate(C8, ""en"", ""sw"")"),"Wijeti")</f>
        <v>Wijeti</v>
      </c>
      <c r="BG8" s="3" t="str">
        <f>IFERROR(__xludf.DUMMYFUNCTION("GoogleTranslate(C8, ""en"", ""sv"")"),"Widget")</f>
        <v>Widget</v>
      </c>
      <c r="BH8" s="3" t="str">
        <f>IFERROR(__xludf.DUMMYFUNCTION("GoogleTranslate(C8, ""en"", ""te"")"),"విడ్జెట్")</f>
        <v>విడ్జెట్</v>
      </c>
      <c r="BI8" s="3" t="str">
        <f>IFERROR(__xludf.DUMMYFUNCTION("GoogleTranslate(C8, ""en"", ""th"")"),"วิดเจ็ต")</f>
        <v>วิดเจ็ต</v>
      </c>
      <c r="BJ8" s="3" t="str">
        <f>IFERROR(__xludf.DUMMYFUNCTION("GoogleTranslate(C8, ""en"", ""tr"")"),"Widget")</f>
        <v>Widget</v>
      </c>
      <c r="BK8" s="3" t="str">
        <f>IFERROR(__xludf.DUMMYFUNCTION("GoogleTranslate(C8, ""en"", ""uk"")"),"Віджет")</f>
        <v>Віджет</v>
      </c>
      <c r="BL8" s="3" t="str">
        <f>IFERROR(__xludf.DUMMYFUNCTION("GoogleTranslate(C8, ""en"", ""zu"")"),"Iwijethi")</f>
        <v>Iwijethi</v>
      </c>
    </row>
    <row r="9">
      <c r="A9" s="1" t="str">
        <f t="shared" si="1"/>
        <v>Your_City</v>
      </c>
      <c r="B9" s="4" t="s">
        <v>71</v>
      </c>
      <c r="C9" s="1" t="str">
        <f t="shared" si="2"/>
        <v>Your City</v>
      </c>
      <c r="D9" s="3" t="str">
        <f>IFERROR(__xludf.DUMMYFUNCTION("GoogleTranslate(C9, ""en"", ""es"")"),"Tu ciudad")</f>
        <v>Tu ciudad</v>
      </c>
      <c r="E9" s="3" t="str">
        <f>IFERROR(__xludf.DUMMYFUNCTION("GoogleTranslate(C9, ""en"", ""ar"")"),"مدينتك")</f>
        <v>مدينتك</v>
      </c>
      <c r="F9" s="3" t="str">
        <f>IFERROR(__xludf.DUMMYFUNCTION("GoogleTranslate(C9, ""en"", ""hy"")"),"Ձեր քաղաքը")</f>
        <v>Ձեր քաղաքը</v>
      </c>
      <c r="G9" s="3" t="str">
        <f>IFERROR(__xludf.DUMMYFUNCTION("GoogleTranslate(C9, ""en"", ""vi"")"),"Thành phố của bạn")</f>
        <v>Thành phố của bạn</v>
      </c>
      <c r="H9" s="3" t="str">
        <f>IFERROR(__xludf.DUMMYFUNCTION("GoogleTranslate(C9, ""en"", ""az"")"),"Sizin Şəhər")</f>
        <v>Sizin Şəhər</v>
      </c>
      <c r="I9" s="3" t="str">
        <f>IFERROR(__xludf.DUMMYFUNCTION("GoogleTranslate(C9, ""en"", ""eu"")"),"Zure hiria")</f>
        <v>Zure hiria</v>
      </c>
      <c r="J9" s="3" t="str">
        <f>IFERROR(__xludf.DUMMYFUNCTION("GoogleTranslate(C9, ""en"", ""be"")"),"Ваш горад")</f>
        <v>Ваш горад</v>
      </c>
      <c r="K9" s="3" t="str">
        <f>IFERROR(__xludf.DUMMYFUNCTION("GoogleTranslate(C9, ""en"", ""bn"")"),"আপনার শহর")</f>
        <v>আপনার শহর</v>
      </c>
      <c r="L9" s="3" t="str">
        <f>IFERROR(__xludf.DUMMYFUNCTION("GoogleTranslate(C9, ""en"", ""bg"")"),"Вашият град")</f>
        <v>Вашият град</v>
      </c>
      <c r="M9" s="3" t="str">
        <f>IFERROR(__xludf.DUMMYFUNCTION("GoogleTranslate(C9, ""en"", ""my"")"),"မင်းရဲ့မြို့")</f>
        <v>မင်းရဲ့မြို့</v>
      </c>
      <c r="N9" s="3" t="str">
        <f>IFERROR(__xludf.DUMMYFUNCTION("GoogleTranslate(C9, ""en"", ""ca"")"),"La teva ciutat")</f>
        <v>La teva ciutat</v>
      </c>
      <c r="O9" s="3" t="str">
        <f>IFERROR(__xludf.DUMMYFUNCTION("GoogleTranslate(C9, ""en"", ""zh-cn"")"),"你的城市")</f>
        <v>你的城市</v>
      </c>
      <c r="P9" s="3" t="str">
        <f>IFERROR(__xludf.DUMMYFUNCTION("GoogleTranslate(C9, ""en"", ""zh-TW"")"),"你的城市")</f>
        <v>你的城市</v>
      </c>
      <c r="Q9" s="3" t="str">
        <f>IFERROR(__xludf.DUMMYFUNCTION("GoogleTranslate(C9, ""en"", ""hr"")"),"Vaš Grad")</f>
        <v>Vaš Grad</v>
      </c>
      <c r="R9" s="3" t="str">
        <f>IFERROR(__xludf.DUMMYFUNCTION("GoogleTranslate(C9, ""en"", ""cs"")"),"Vaše město")</f>
        <v>Vaše město</v>
      </c>
      <c r="S9" s="3" t="str">
        <f>IFERROR(__xludf.DUMMYFUNCTION("GoogleTranslate(C9, ""en"", ""da"")"),"Din by")</f>
        <v>Din by</v>
      </c>
      <c r="T9" s="3" t="str">
        <f>IFERROR(__xludf.DUMMYFUNCTION("GoogleTranslate(C9, ""en"", ""nl"")"),"Jouw stad")</f>
        <v>Jouw stad</v>
      </c>
      <c r="U9" s="3" t="str">
        <f>IFERROR(__xludf.DUMMYFUNCTION("GoogleTranslate(C9, ""en"", ""et"")"),"Sinu linn")</f>
        <v>Sinu linn</v>
      </c>
      <c r="V9" s="1" t="str">
        <f t="shared" si="3"/>
        <v>Your City</v>
      </c>
      <c r="W9" s="3" t="str">
        <f>IFERROR(__xludf.DUMMYFUNCTION("GoogleTranslate(C9, ""en"", ""fi"")"),"Sinun kaupunkisi")</f>
        <v>Sinun kaupunkisi</v>
      </c>
      <c r="X9" s="3" t="str">
        <f>IFERROR(__xludf.DUMMYFUNCTION("GoogleTranslate(C9, ""en"", ""fr"")"),"Votre ville")</f>
        <v>Votre ville</v>
      </c>
      <c r="Y9" s="3" t="str">
        <f>IFERROR(__xludf.DUMMYFUNCTION("GoogleTranslate(C9, ""en"", ""de"")"),"Deine Stadt")</f>
        <v>Deine Stadt</v>
      </c>
      <c r="Z9" s="3" t="str">
        <f>IFERROR(__xludf.DUMMYFUNCTION("GoogleTranslate(C9, ""en"", ""el"")"),"Η πόλη σας")</f>
        <v>Η πόλη σας</v>
      </c>
      <c r="AA9" s="3" t="str">
        <f>IFERROR(__xludf.DUMMYFUNCTION("GoogleTranslate(C9, ""en"", ""iw"")"),"העיר שלך")</f>
        <v>העיר שלך</v>
      </c>
      <c r="AB9" s="3" t="str">
        <f>IFERROR(__xludf.DUMMYFUNCTION("GoogleTranslate(C9, ""en"", ""hi"")"),"आपका सिटि")</f>
        <v>आपका सिटि</v>
      </c>
      <c r="AC9" s="3" t="str">
        <f>IFERROR(__xludf.DUMMYFUNCTION("GoogleTranslate(C9, ""en"", ""hu"")"),"Az Ön városa")</f>
        <v>Az Ön városa</v>
      </c>
      <c r="AD9" s="3" t="str">
        <f>IFERROR(__xludf.DUMMYFUNCTION("GoogleTranslate(C9, ""en"", ""is"")"),"Borgin þín")</f>
        <v>Borgin þín</v>
      </c>
      <c r="AE9" s="3" t="str">
        <f>IFERROR(__xludf.DUMMYFUNCTION("GoogleTranslate(C9, ""en"", ""id"")"),"Kota Anda")</f>
        <v>Kota Anda</v>
      </c>
      <c r="AF9" s="3" t="str">
        <f>IFERROR(__xludf.DUMMYFUNCTION("GoogleTranslate(C9, ""en"", ""in"")"),"Kota Anda")</f>
        <v>Kota Anda</v>
      </c>
      <c r="AG9" s="3" t="str">
        <f>IFERROR(__xludf.DUMMYFUNCTION("GoogleTranslate(C9, ""en"", ""it"")"),"La tua città")</f>
        <v>La tua città</v>
      </c>
      <c r="AH9" s="3" t="str">
        <f>IFERROR(__xludf.DUMMYFUNCTION("GoogleTranslate(C9, ""en"", ""ja"")"),"あなたの街")</f>
        <v>あなたの街</v>
      </c>
      <c r="AI9" s="3" t="str">
        <f>IFERROR(__xludf.DUMMYFUNCTION("GoogleTranslate(C9, ""en"", ""kn"")"),"ನಿಮ್ಮ ನಗರ")</f>
        <v>ನಿಮ್ಮ ನಗರ</v>
      </c>
      <c r="AJ9" s="3" t="str">
        <f>IFERROR(__xludf.DUMMYFUNCTION("GoogleTranslate(C9, ""en"", ""km"")"),"ទីក្រុងរបស់អ្នក។")</f>
        <v>ទីក្រុងរបស់អ្នក។</v>
      </c>
      <c r="AK9" s="3" t="str">
        <f>IFERROR(__xludf.DUMMYFUNCTION("GoogleTranslate(C9, ""en"", ""ko"")"),"귀하의 도시")</f>
        <v>귀하의 도시</v>
      </c>
      <c r="AL9" s="3" t="str">
        <f>IFERROR(__xludf.DUMMYFUNCTION("GoogleTranslate(C9, ""en"", ""lo"")"),"ເມືອງຂອງເຈົ້າ")</f>
        <v>ເມືອງຂອງເຈົ້າ</v>
      </c>
      <c r="AM9" s="3" t="str">
        <f>IFERROR(__xludf.DUMMYFUNCTION("GoogleTranslate(C9, ""en"", ""lv"")"),"Tava pilsēta")</f>
        <v>Tava pilsēta</v>
      </c>
      <c r="AN9" s="3" t="str">
        <f>IFERROR(__xludf.DUMMYFUNCTION("GoogleTranslate(C9, ""en"", ""lt"")"),"Jūsų miestas")</f>
        <v>Jūsų miestas</v>
      </c>
      <c r="AO9" s="3" t="str">
        <f>IFERROR(__xludf.DUMMYFUNCTION("GoogleTranslate(C9, ""en"", ""mk"")"),"Вашиот град")</f>
        <v>Вашиот град</v>
      </c>
      <c r="AP9" s="3" t="str">
        <f>IFERROR(__xludf.DUMMYFUNCTION("GoogleTranslate(C9, ""en"", ""ms"")"),"Bandar anda")</f>
        <v>Bandar anda</v>
      </c>
      <c r="AQ9" s="3" t="str">
        <f>IFERROR(__xludf.DUMMYFUNCTION("GoogleTranslate(C9, ""en"", ""ml"")"),"നിങ്ങളുടെ നഗരം")</f>
        <v>നിങ്ങളുടെ നഗരം</v>
      </c>
      <c r="AR9" s="3" t="str">
        <f>IFERROR(__xludf.DUMMYFUNCTION("GoogleTranslate(C9, ""en"", ""mr"")"),"आपले शहर")</f>
        <v>आपले शहर</v>
      </c>
      <c r="AS9" s="3" t="str">
        <f>IFERROR(__xludf.DUMMYFUNCTION("GoogleTranslate(C9, ""en"", ""mn"")"),"Таны хот")</f>
        <v>Таны хот</v>
      </c>
      <c r="AT9" s="3" t="str">
        <f>IFERROR(__xludf.DUMMYFUNCTION("GoogleTranslate(C9, ""en"", ""ne"")"),"तपाईंको शहर")</f>
        <v>तपाईंको शहर</v>
      </c>
      <c r="AU9" s="3" t="str">
        <f>IFERROR(__xludf.DUMMYFUNCTION("GoogleTranslate(C9, ""en"", ""nb"")"),"Din by")</f>
        <v>Din by</v>
      </c>
      <c r="AV9" s="3" t="str">
        <f>IFERROR(__xludf.DUMMYFUNCTION("GoogleTranslate(C9, ""en"", ""fa"")"),"شهر شما")</f>
        <v>شهر شما</v>
      </c>
      <c r="AW9" s="3" t="str">
        <f>IFERROR(__xludf.DUMMYFUNCTION("GoogleTranslate(C9, ""en"", ""pl"")"),"Twoje miasto")</f>
        <v>Twoje miasto</v>
      </c>
      <c r="AX9" s="3" t="str">
        <f>IFERROR(__xludf.DUMMYFUNCTION("GoogleTranslate(C9, ""en"", ""pt"")"),"Sua cidade")</f>
        <v>Sua cidade</v>
      </c>
      <c r="AY9" s="3" t="str">
        <f>IFERROR(__xludf.DUMMYFUNCTION("GoogleTranslate(C9, ""en"", ""ro"")"),"Orașul tău")</f>
        <v>Orașul tău</v>
      </c>
      <c r="AZ9" s="3" t="str">
        <f>IFERROR(__xludf.DUMMYFUNCTION("GoogleTranslate(C9, ""en"", ""ru"")"),"Ваш город")</f>
        <v>Ваш город</v>
      </c>
      <c r="BA9" s="3" t="str">
        <f>IFERROR(__xludf.DUMMYFUNCTION("GoogleTranslate(C9, ""en"", ""sr"")"),"Ваш град")</f>
        <v>Ваш град</v>
      </c>
      <c r="BB9" s="3" t="str">
        <f>IFERROR(__xludf.DUMMYFUNCTION("GoogleTranslate(C9, ""en"", ""si"")"),"ඔබේ නගරය")</f>
        <v>ඔබේ නගරය</v>
      </c>
      <c r="BC9" s="3" t="str">
        <f>IFERROR(__xludf.DUMMYFUNCTION("GoogleTranslate(C9, ""en"", ""sk"")"),"Vaše Mesto")</f>
        <v>Vaše Mesto</v>
      </c>
      <c r="BD9" s="3" t="str">
        <f>IFERROR(__xludf.DUMMYFUNCTION("GoogleTranslate(C9, ""en"", ""sl"")"),"Vaše mesto")</f>
        <v>Vaše mesto</v>
      </c>
      <c r="BE9" s="3" t="str">
        <f>IFERROR(__xludf.DUMMYFUNCTION("GoogleTranslate(C9, ""en"", ""es"")"),"Tu ciudad")</f>
        <v>Tu ciudad</v>
      </c>
      <c r="BF9" s="3" t="str">
        <f>IFERROR(__xludf.DUMMYFUNCTION("GoogleTranslate(C9, ""en"", ""sw"")"),"Jiji lako")</f>
        <v>Jiji lako</v>
      </c>
      <c r="BG9" s="3" t="str">
        <f>IFERROR(__xludf.DUMMYFUNCTION("GoogleTranslate(C9, ""en"", ""sv"")"),"Din stad")</f>
        <v>Din stad</v>
      </c>
      <c r="BH9" s="3" t="str">
        <f>IFERROR(__xludf.DUMMYFUNCTION("GoogleTranslate(C9, ""en"", ""te"")"),"మీ నగరం")</f>
        <v>మీ నగరం</v>
      </c>
      <c r="BI9" s="3" t="str">
        <f>IFERROR(__xludf.DUMMYFUNCTION("GoogleTranslate(C9, ""en"", ""th"")"),"เมืองของคุณ")</f>
        <v>เมืองของคุณ</v>
      </c>
      <c r="BJ9" s="3" t="str">
        <f>IFERROR(__xludf.DUMMYFUNCTION("GoogleTranslate(C9, ""en"", ""tr"")"),"Şehriniz")</f>
        <v>Şehriniz</v>
      </c>
      <c r="BK9" s="3" t="str">
        <f>IFERROR(__xludf.DUMMYFUNCTION("GoogleTranslate(C9, ""en"", ""uk"")"),"Ваше місто")</f>
        <v>Ваше місто</v>
      </c>
      <c r="BL9" s="3" t="str">
        <f>IFERROR(__xludf.DUMMYFUNCTION("GoogleTranslate(C9, ""en"", ""zu"")"),"Idolobha Lakho")</f>
        <v>Idolobha Lakho</v>
      </c>
    </row>
    <row r="10">
      <c r="A10" s="1" t="str">
        <f t="shared" si="1"/>
        <v>Weather_forecast_{name}</v>
      </c>
      <c r="B10" s="4" t="s">
        <v>72</v>
      </c>
      <c r="C10" s="1" t="str">
        <f t="shared" si="2"/>
        <v>Weather forecast {name}</v>
      </c>
      <c r="D10" s="3" t="str">
        <f>IFERROR(__xludf.DUMMYFUNCTION("GoogleTranslate(C10, ""en"", ""es"")"),"Pronóstico del tiempo {nombre}")</f>
        <v>Pronóstico del tiempo {nombre}</v>
      </c>
      <c r="E10" s="3" t="str">
        <f>IFERROR(__xludf.DUMMYFUNCTION("GoogleTranslate(C10, ""en"", ""ar"")"),"توقعات الطقس {الاسم}")</f>
        <v>توقعات الطقس {الاسم}</v>
      </c>
      <c r="F10" s="3" t="str">
        <f>IFERROR(__xludf.DUMMYFUNCTION("GoogleTranslate(C10, ""en"", ""hy"")"),"Եղանակի կանխատեսում {name}")</f>
        <v>Եղանակի կանխատեսում {name}</v>
      </c>
      <c r="G10" s="3" t="str">
        <f>IFERROR(__xludf.DUMMYFUNCTION("GoogleTranslate(C10, ""en"", ""vi"")"),"Dự báo thời tiết {name}")</f>
        <v>Dự báo thời tiết {name}</v>
      </c>
      <c r="H10" s="3" t="str">
        <f>IFERROR(__xludf.DUMMYFUNCTION("GoogleTranslate(C10, ""en"", ""az"")"),"Hava proqnozu {name}")</f>
        <v>Hava proqnozu {name}</v>
      </c>
      <c r="I10" s="3" t="str">
        <f>IFERROR(__xludf.DUMMYFUNCTION("GoogleTranslate(C10, ""en"", ""eu"")"),"Eguraldi iragarpena {name}")</f>
        <v>Eguraldi iragarpena {name}</v>
      </c>
      <c r="J10" s="3" t="str">
        <f>IFERROR(__xludf.DUMMYFUNCTION("GoogleTranslate(C10, ""en"", ""be"")"),"Прагноз надвор'я {name}")</f>
        <v>Прагноз надвор'я {name}</v>
      </c>
      <c r="K10" s="3" t="str">
        <f>IFERROR(__xludf.DUMMYFUNCTION("GoogleTranslate(C10, ""en"", ""bn"")"),"আবহাওয়ার পূর্বাভাস {name}")</f>
        <v>আবহাওয়ার পূর্বাভাস {name}</v>
      </c>
      <c r="L10" s="3" t="str">
        <f>IFERROR(__xludf.DUMMYFUNCTION("GoogleTranslate(C10, ""en"", ""bg"")"),"Прогноза за времето {name}")</f>
        <v>Прогноза за времето {name}</v>
      </c>
      <c r="M10" s="3" t="str">
        <f>IFERROR(__xludf.DUMMYFUNCTION("GoogleTranslate(C10, ""en"", ""my"")"),"မိုးလေဝသ ခန့်မှန်းချက် {name}")</f>
        <v>မိုးလေဝသ ခန့်မှန်းချက် {name}</v>
      </c>
      <c r="N10" s="3" t="str">
        <f>IFERROR(__xludf.DUMMYFUNCTION("GoogleTranslate(C10, ""en"", ""ca"")"),"Previsió meteorològica {name}")</f>
        <v>Previsió meteorològica {name}</v>
      </c>
      <c r="O10" s="3" t="str">
        <f>IFERROR(__xludf.DUMMYFUNCTION("GoogleTranslate(C10, ""en"", ""zh-cn"")"),"天气预报{名称}")</f>
        <v>天气预报{名称}</v>
      </c>
      <c r="P10" s="3" t="str">
        <f>IFERROR(__xludf.DUMMYFUNCTION("GoogleTranslate(C10, ""en"", ""zh-TW"")"),"天氣預報{名稱}")</f>
        <v>天氣預報{名稱}</v>
      </c>
      <c r="Q10" s="3" t="str">
        <f>IFERROR(__xludf.DUMMYFUNCTION("GoogleTranslate(C10, ""en"", ""hr"")"),"Vremenska prognoza {name}")</f>
        <v>Vremenska prognoza {name}</v>
      </c>
      <c r="R10" s="3" t="str">
        <f>IFERROR(__xludf.DUMMYFUNCTION("GoogleTranslate(C10, ""en"", ""cs"")"),"Předpověď počasí {name}")</f>
        <v>Předpověď počasí {name}</v>
      </c>
      <c r="S10" s="3" t="str">
        <f>IFERROR(__xludf.DUMMYFUNCTION("GoogleTranslate(C10, ""en"", ""da"")"),"Vejrudsigt {name}")</f>
        <v>Vejrudsigt {name}</v>
      </c>
      <c r="T10" s="3" t="str">
        <f>IFERROR(__xludf.DUMMYFUNCTION("GoogleTranslate(C10, ""en"", ""nl"")"),"Weersvoorspelling {naam}")</f>
        <v>Weersvoorspelling {naam}</v>
      </c>
      <c r="U10" s="3" t="str">
        <f>IFERROR(__xludf.DUMMYFUNCTION("GoogleTranslate(C10, ""en"", ""et"")"),"Ilmateade {name}")</f>
        <v>Ilmateade {name}</v>
      </c>
      <c r="V10" s="1" t="str">
        <f t="shared" si="3"/>
        <v>Weather forecast {name}</v>
      </c>
      <c r="W10" s="3" t="str">
        <f>IFERROR(__xludf.DUMMYFUNCTION("GoogleTranslate(C10, ""en"", ""fi"")"),"Sääennuste {name}")</f>
        <v>Sääennuste {name}</v>
      </c>
      <c r="X10" s="3" t="str">
        <f>IFERROR(__xludf.DUMMYFUNCTION("GoogleTranslate(C10, ""en"", ""fr"")"),"Prévisions météo {nom}")</f>
        <v>Prévisions météo {nom}</v>
      </c>
      <c r="Y10" s="3" t="str">
        <f>IFERROR(__xludf.DUMMYFUNCTION("GoogleTranslate(C10, ""en"", ""de"")"),"Wettervorhersage {Name}")</f>
        <v>Wettervorhersage {Name}</v>
      </c>
      <c r="Z10" s="3" t="str">
        <f>IFERROR(__xludf.DUMMYFUNCTION("GoogleTranslate(C10, ""en"", ""el"")"),"Πρόγνωση καιρού {name}")</f>
        <v>Πρόγνωση καιρού {name}</v>
      </c>
      <c r="AA10" s="3" t="str">
        <f>IFERROR(__xludf.DUMMYFUNCTION("GoogleTranslate(C10, ""en"", ""iw"")"),"תחזית מזג האוויר {name}")</f>
        <v>תחזית מזג האוויר {name}</v>
      </c>
      <c r="AB10" s="3" t="str">
        <f>IFERROR(__xludf.DUMMYFUNCTION("GoogleTranslate(C10, ""en"", ""hi"")"),"मौसम पूर्वानुमान {नाम}")</f>
        <v>मौसम पूर्वानुमान {नाम}</v>
      </c>
      <c r="AC10" s="3" t="str">
        <f>IFERROR(__xludf.DUMMYFUNCTION("GoogleTranslate(C10, ""en"", ""hu"")"),"Időjárás előrejelzés {name}")</f>
        <v>Időjárás előrejelzés {name}</v>
      </c>
      <c r="AD10" s="3" t="str">
        <f>IFERROR(__xludf.DUMMYFUNCTION("GoogleTranslate(C10, ""en"", ""is"")"),"Veðurspá {name}")</f>
        <v>Veðurspá {name}</v>
      </c>
      <c r="AE10" s="3" t="str">
        <f>IFERROR(__xludf.DUMMYFUNCTION("GoogleTranslate(C10, ""en"", ""id"")"),"Prakiraan cuaca {name}")</f>
        <v>Prakiraan cuaca {name}</v>
      </c>
      <c r="AF10" s="3" t="str">
        <f>IFERROR(__xludf.DUMMYFUNCTION("GoogleTranslate(C10, ""en"", ""in"")"),"Prakiraan cuaca {name}")</f>
        <v>Prakiraan cuaca {name}</v>
      </c>
      <c r="AG10" s="3" t="str">
        <f>IFERROR(__xludf.DUMMYFUNCTION("GoogleTranslate(C10, ""en"", ""it"")"),"Previsioni del tempo {nome}")</f>
        <v>Previsioni del tempo {nome}</v>
      </c>
      <c r="AH10" s="3" t="str">
        <f>IFERROR(__xludf.DUMMYFUNCTION("GoogleTranslate(C10, ""en"", ""ja"")"),"天気予報 {名前}")</f>
        <v>天気予報 {名前}</v>
      </c>
      <c r="AI10" s="3" t="str">
        <f>IFERROR(__xludf.DUMMYFUNCTION("GoogleTranslate(C10, ""en"", ""kn"")"),"ಹವಾಮಾನ ಮುನ್ಸೂಚನೆ {name}")</f>
        <v>ಹವಾಮಾನ ಮುನ್ಸೂಚನೆ {name}</v>
      </c>
      <c r="AJ10" s="3" t="str">
        <f>IFERROR(__xludf.DUMMYFUNCTION("GoogleTranslate(C10, ""en"", ""km"")"),"ការព្យាករណ៍អាកាសធាតុ {name}")</f>
        <v>ការព្យាករណ៍អាកាសធាតុ {name}</v>
      </c>
      <c r="AK10" s="3" t="str">
        <f>IFERROR(__xludf.DUMMYFUNCTION("GoogleTranslate(C10, ""en"", ""ko"")"),"일기 예보 {이름}")</f>
        <v>일기 예보 {이름}</v>
      </c>
      <c r="AL10" s="3" t="str">
        <f>IFERROR(__xludf.DUMMYFUNCTION("GoogleTranslate(C10, ""en"", ""lo"")"),"ພະຍາກອນອາກາດ {name}")</f>
        <v>ພະຍາກອນອາກາດ {name}</v>
      </c>
      <c r="AM10" s="3" t="str">
        <f>IFERROR(__xludf.DUMMYFUNCTION("GoogleTranslate(C10, ""en"", ""lv"")"),"Laika prognoze {name}")</f>
        <v>Laika prognoze {name}</v>
      </c>
      <c r="AN10" s="3" t="str">
        <f>IFERROR(__xludf.DUMMYFUNCTION("GoogleTranslate(C10, ""en"", ""lt"")"),"Orų prognozė {name}")</f>
        <v>Orų prognozė {name}</v>
      </c>
      <c r="AO10" s="3" t="str">
        <f>IFERROR(__xludf.DUMMYFUNCTION("GoogleTranslate(C10, ""en"", ""mk"")"),"Временска прогноза {name}")</f>
        <v>Временска прогноза {name}</v>
      </c>
      <c r="AP10" s="3" t="str">
        <f>IFERROR(__xludf.DUMMYFUNCTION("GoogleTranslate(C10, ""en"", ""ms"")"),"Ramalan cuaca {nama}")</f>
        <v>Ramalan cuaca {nama}</v>
      </c>
      <c r="AQ10" s="3" t="str">
        <f>IFERROR(__xludf.DUMMYFUNCTION("GoogleTranslate(C10, ""en"", ""ml"")"),"കാലാവസ്ഥാ പ്രവചനം {name}")</f>
        <v>കാലാവസ്ഥാ പ്രവചനം {name}</v>
      </c>
      <c r="AR10" s="3" t="str">
        <f>IFERROR(__xludf.DUMMYFUNCTION("GoogleTranslate(C10, ""en"", ""mr"")"),"हवामान अंदाज {name}")</f>
        <v>हवामान अंदाज {name}</v>
      </c>
      <c r="AS10" s="3" t="str">
        <f>IFERROR(__xludf.DUMMYFUNCTION("GoogleTranslate(C10, ""en"", ""mn"")"),"Цаг агаарын мэдээ {name}")</f>
        <v>Цаг агаарын мэдээ {name}</v>
      </c>
      <c r="AT10" s="3" t="str">
        <f>IFERROR(__xludf.DUMMYFUNCTION("GoogleTranslate(C10, ""en"", ""ne"")"),"मौसम पूर्वानुमान {नाम}")</f>
        <v>मौसम पूर्वानुमान {नाम}</v>
      </c>
      <c r="AU10" s="3" t="str">
        <f>IFERROR(__xludf.DUMMYFUNCTION("GoogleTranslate(C10, ""en"", ""nb"")"),"Værmelding {name}")</f>
        <v>Værmelding {name}</v>
      </c>
      <c r="AV10" s="3" t="str">
        <f>IFERROR(__xludf.DUMMYFUNCTION("GoogleTranslate(C10, ""en"", ""fa"")"),"پیش بینی آب و هوا {name}")</f>
        <v>پیش بینی آب و هوا {name}</v>
      </c>
      <c r="AW10" s="3" t="str">
        <f>IFERROR(__xludf.DUMMYFUNCTION("GoogleTranslate(C10, ""en"", ""pl"")"),"Prognoza pogody {name}")</f>
        <v>Prognoza pogody {name}</v>
      </c>
      <c r="AX10" s="3" t="str">
        <f>IFERROR(__xludf.DUMMYFUNCTION("GoogleTranslate(C10, ""en"", ""pt"")"),"Previsão do tempo {nome}")</f>
        <v>Previsão do tempo {nome}</v>
      </c>
      <c r="AY10" s="3" t="str">
        <f>IFERROR(__xludf.DUMMYFUNCTION("GoogleTranslate(C10, ""en"", ""ro"")"),"Prognoza meteo {name}")</f>
        <v>Prognoza meteo {name}</v>
      </c>
      <c r="AZ10" s="3" t="str">
        <f>IFERROR(__xludf.DUMMYFUNCTION("GoogleTranslate(C10, ""en"", ""ru"")"),"Прогноз погоды {имя}")</f>
        <v>Прогноз погоды {имя}</v>
      </c>
      <c r="BA10" s="3" t="str">
        <f>IFERROR(__xludf.DUMMYFUNCTION("GoogleTranslate(C10, ""en"", ""sr"")"),"Временска прогноза {наме}")</f>
        <v>Временска прогноза {наме}</v>
      </c>
      <c r="BB10" s="3" t="str">
        <f>IFERROR(__xludf.DUMMYFUNCTION("GoogleTranslate(C10, ""en"", ""si"")"),"කාලගුණ අනාවැකිය {name}")</f>
        <v>කාලගුණ අනාවැකිය {name}</v>
      </c>
      <c r="BC10" s="3" t="str">
        <f>IFERROR(__xludf.DUMMYFUNCTION("GoogleTranslate(C10, ""en"", ""sk"")"),"Predpoveď počasia {name}")</f>
        <v>Predpoveď počasia {name}</v>
      </c>
      <c r="BD10" s="3" t="str">
        <f>IFERROR(__xludf.DUMMYFUNCTION("GoogleTranslate(C10, ""en"", ""sl"")"),"Vremenska napoved {name}")</f>
        <v>Vremenska napoved {name}</v>
      </c>
      <c r="BE10" s="3" t="str">
        <f>IFERROR(__xludf.DUMMYFUNCTION("GoogleTranslate(C10, ""en"", ""es"")"),"Pronóstico del tiempo {nombre}")</f>
        <v>Pronóstico del tiempo {nombre}</v>
      </c>
      <c r="BF10" s="3" t="str">
        <f>IFERROR(__xludf.DUMMYFUNCTION("GoogleTranslate(C10, ""en"", ""sw"")"),"Utabiri wa hali ya hewa {name}")</f>
        <v>Utabiri wa hali ya hewa {name}</v>
      </c>
      <c r="BG10" s="3" t="str">
        <f>IFERROR(__xludf.DUMMYFUNCTION("GoogleTranslate(C10, ""en"", ""sv"")"),"Väderprognos {name}")</f>
        <v>Väderprognos {name}</v>
      </c>
      <c r="BH10" s="3" t="str">
        <f>IFERROR(__xludf.DUMMYFUNCTION("GoogleTranslate(C10, ""en"", ""te"")"),"వాతావరణ సూచన {name}")</f>
        <v>వాతావరణ సూచన {name}</v>
      </c>
      <c r="BI10" s="3" t="str">
        <f>IFERROR(__xludf.DUMMYFUNCTION("GoogleTranslate(C10, ""en"", ""th"")"),"พยากรณ์อากาศ {ชื่อ}")</f>
        <v>พยากรณ์อากาศ {ชื่อ}</v>
      </c>
      <c r="BJ10" s="3" t="str">
        <f>IFERROR(__xludf.DUMMYFUNCTION("GoogleTranslate(C10, ""en"", ""tr"")"),"Hava tahmini {name}")</f>
        <v>Hava tahmini {name}</v>
      </c>
      <c r="BK10" s="3" t="str">
        <f>IFERROR(__xludf.DUMMYFUNCTION("GoogleTranslate(C10, ""en"", ""uk"")"),"Прогноз погоди {name}")</f>
        <v>Прогноз погоди {name}</v>
      </c>
      <c r="BL10" s="3" t="str">
        <f>IFERROR(__xludf.DUMMYFUNCTION("GoogleTranslate(C10, ""en"", ""zu"")"),"Isibikezelo sezulu {name}")</f>
        <v>Isibikezelo sezulu {name}</v>
      </c>
    </row>
    <row r="11">
      <c r="A11" s="1" t="str">
        <f t="shared" si="1"/>
        <v>Weather_in_{number}_provinces</v>
      </c>
      <c r="B11" s="4" t="s">
        <v>73</v>
      </c>
      <c r="C11" s="1" t="str">
        <f t="shared" si="2"/>
        <v>Weather in {number} provinces</v>
      </c>
      <c r="D11" s="3" t="str">
        <f>IFERROR(__xludf.DUMMYFUNCTION("GoogleTranslate(C11, ""en"", ""es"")"),"El tiempo en {número} provincias")</f>
        <v>El tiempo en {número} provincias</v>
      </c>
      <c r="E11" s="3" t="str">
        <f>IFERROR(__xludf.DUMMYFUNCTION("GoogleTranslate(C11, ""en"", ""ar"")"),"الطقس في {number} محافظات")</f>
        <v>الطقس في {number} محافظات</v>
      </c>
      <c r="F11" s="3" t="str">
        <f>IFERROR(__xludf.DUMMYFUNCTION("GoogleTranslate(C11, ""en"", ""hy"")"),"Եղանակը {number} մարզերում")</f>
        <v>Եղանակը {number} մարզերում</v>
      </c>
      <c r="G11" s="3" t="str">
        <f>IFERROR(__xludf.DUMMYFUNCTION("GoogleTranslate(C11, ""en"", ""vi"")"),"Thời tiết ở {number} tỉnh")</f>
        <v>Thời tiết ở {number} tỉnh</v>
      </c>
      <c r="H11" s="3" t="str">
        <f>IFERROR(__xludf.DUMMYFUNCTION("GoogleTranslate(C11, ""en"", ""az"")"),"{number} əyalətdə hava")</f>
        <v>{number} əyalətdə hava</v>
      </c>
      <c r="I11" s="3" t="str">
        <f>IFERROR(__xludf.DUMMYFUNCTION("GoogleTranslate(C11, ""en"", ""eu"")"),"Eguraldia {number} probintzietan")</f>
        <v>Eguraldia {number} probintzietan</v>
      </c>
      <c r="J11" s="3" t="str">
        <f>IFERROR(__xludf.DUMMYFUNCTION("GoogleTranslate(C11, ""en"", ""be"")"),"Надвор'е ў {number} правінцыях")</f>
        <v>Надвор'е ў {number} правінцыях</v>
      </c>
      <c r="K11" s="3" t="str">
        <f>IFERROR(__xludf.DUMMYFUNCTION("GoogleTranslate(C11, ""en"", ""bn"")"),"{number}টি প্রদেশের আবহাওয়া")</f>
        <v>{number}টি প্রদেশের আবহাওয়া</v>
      </c>
      <c r="L11" s="3" t="str">
        <f>IFERROR(__xludf.DUMMYFUNCTION("GoogleTranslate(C11, ""en"", ""bg"")"),"Времето в {number} провинции")</f>
        <v>Времето в {number} провинции</v>
      </c>
      <c r="M11" s="3" t="str">
        <f>IFERROR(__xludf.DUMMYFUNCTION("GoogleTranslate(C11, ""en"", ""my"")"),"ပြည်နယ် {number} ရှိ ရာသီဥတု")</f>
        <v>ပြည်နယ် {number} ရှိ ရာသီဥတု</v>
      </c>
      <c r="N11" s="3" t="str">
        <f>IFERROR(__xludf.DUMMYFUNCTION("GoogleTranslate(C11, ""en"", ""ca"")"),"El temps a {nombre} províncies")</f>
        <v>El temps a {nombre} províncies</v>
      </c>
      <c r="O11" s="3" t="str">
        <f>IFERROR(__xludf.DUMMYFUNCTION("GoogleTranslate(C11, ""en"", ""zh-cn"")"),"{number} 个省的天气")</f>
        <v>{number} 个省的天气</v>
      </c>
      <c r="P11" s="3" t="str">
        <f>IFERROR(__xludf.DUMMYFUNCTION("GoogleTranslate(C11, ""en"", ""zh-TW"")"),"{number} 個省的天氣")</f>
        <v>{number} 個省的天氣</v>
      </c>
      <c r="Q11" s="3" t="str">
        <f>IFERROR(__xludf.DUMMYFUNCTION("GoogleTranslate(C11, ""en"", ""hr"")"),"Vrijeme u {number} pokrajina")</f>
        <v>Vrijeme u {number} pokrajina</v>
      </c>
      <c r="R11" s="3" t="str">
        <f>IFERROR(__xludf.DUMMYFUNCTION("GoogleTranslate(C11, ""en"", ""cs"")"),"Počasí v {number} provinciích")</f>
        <v>Počasí v {number} provinciích</v>
      </c>
      <c r="S11" s="3" t="str">
        <f>IFERROR(__xludf.DUMMYFUNCTION("GoogleTranslate(C11, ""en"", ""da"")"),"Vejret i {number} provinser")</f>
        <v>Vejret i {number} provinser</v>
      </c>
      <c r="T11" s="3" t="str">
        <f>IFERROR(__xludf.DUMMYFUNCTION("GoogleTranslate(C11, ""en"", ""nl"")"),"Weer in {aantal} provincies")</f>
        <v>Weer in {aantal} provincies</v>
      </c>
      <c r="U11" s="3" t="str">
        <f>IFERROR(__xludf.DUMMYFUNCTION("GoogleTranslate(C11, ""en"", ""et"")"),"Ilm {number} provintsis")</f>
        <v>Ilm {number} provintsis</v>
      </c>
      <c r="V11" s="1" t="str">
        <f t="shared" si="3"/>
        <v>Weather in {number} provinces</v>
      </c>
      <c r="W11" s="3" t="str">
        <f>IFERROR(__xludf.DUMMYFUNCTION("GoogleTranslate(C11, ""en"", ""fi"")"),"Sää {number} maakunnassa")</f>
        <v>Sää {number} maakunnassa</v>
      </c>
      <c r="X11" s="3" t="str">
        <f>IFERROR(__xludf.DUMMYFUNCTION("GoogleTranslate(C11, ""en"", ""fr"")"),"Météo dans {number} provinces")</f>
        <v>Météo dans {number} provinces</v>
      </c>
      <c r="Y11" s="3" t="str">
        <f>IFERROR(__xludf.DUMMYFUNCTION("GoogleTranslate(C11, ""en"", ""de"")"),"Wetter in {Anzahl} Provinzen")</f>
        <v>Wetter in {Anzahl} Provinzen</v>
      </c>
      <c r="Z11" s="3" t="str">
        <f>IFERROR(__xludf.DUMMYFUNCTION("GoogleTranslate(C11, ""en"", ""el"")"),"Ο καιρός σε {number} επαρχίες")</f>
        <v>Ο καιρός σε {number} επαρχίες</v>
      </c>
      <c r="AA11" s="3" t="str">
        <f>IFERROR(__xludf.DUMMYFUNCTION("GoogleTranslate(C11, ""en"", ""iw"")"),"מזג אוויר ב-{number} מחוזות")</f>
        <v>מזג אוויר ב-{number} מחוזות</v>
      </c>
      <c r="AB11" s="3" t="str">
        <f>IFERROR(__xludf.DUMMYFUNCTION("GoogleTranslate(C11, ""en"", ""hi"")"),"{संख्या} प्रांतों में मौसम")</f>
        <v>{संख्या} प्रांतों में मौसम</v>
      </c>
      <c r="AC11" s="3" t="str">
        <f>IFERROR(__xludf.DUMMYFUNCTION("GoogleTranslate(C11, ""en"", ""hu"")"),"Időjárás {number} tartományban")</f>
        <v>Időjárás {number} tartományban</v>
      </c>
      <c r="AD11" s="3" t="str">
        <f>IFERROR(__xludf.DUMMYFUNCTION("GoogleTranslate(C11, ""en"", ""is"")"),"Veður í {number} héruðum")</f>
        <v>Veður í {number} héruðum</v>
      </c>
      <c r="AE11" s="3" t="str">
        <f>IFERROR(__xludf.DUMMYFUNCTION("GoogleTranslate(C11, ""en"", ""id"")"),"Cuaca di {number} provinsi")</f>
        <v>Cuaca di {number} provinsi</v>
      </c>
      <c r="AF11" s="3" t="str">
        <f>IFERROR(__xludf.DUMMYFUNCTION("GoogleTranslate(C11, ""en"", ""in"")"),"Cuaca di {number} provinsi")</f>
        <v>Cuaca di {number} provinsi</v>
      </c>
      <c r="AG11" s="3" t="str">
        <f>IFERROR(__xludf.DUMMYFUNCTION("GoogleTranslate(C11, ""en"", ""it"")"),"Meteo in {numero} province")</f>
        <v>Meteo in {numero} province</v>
      </c>
      <c r="AH11" s="3" t="str">
        <f>IFERROR(__xludf.DUMMYFUNCTION("GoogleTranslate(C11, ""en"", ""ja"")"),"{number} 州の天気")</f>
        <v>{number} 州の天気</v>
      </c>
      <c r="AI11" s="3" t="str">
        <f>IFERROR(__xludf.DUMMYFUNCTION("GoogleTranslate(C11, ""en"", ""kn"")"),"{number} ಪ್ರಾಂತ್ಯಗಳಲ್ಲಿ ಹವಾಮಾನ")</f>
        <v>{number} ಪ್ರಾಂತ್ಯಗಳಲ್ಲಿ ಹವಾಮಾನ</v>
      </c>
      <c r="AJ11" s="3" t="str">
        <f>IFERROR(__xludf.DUMMYFUNCTION("GoogleTranslate(C11, ""en"", ""km"")"),"អាកាសធាតុនៅក្នុងខេត្ត {number}")</f>
        <v>អាកាសធាតុនៅក្នុងខេត្ត {number}</v>
      </c>
      <c r="AK11" s="3" t="str">
        <f>IFERROR(__xludf.DUMMYFUNCTION("GoogleTranslate(C11, ""en"", ""ko"")"),"{number} 지방의 날씨")</f>
        <v>{number} 지방의 날씨</v>
      </c>
      <c r="AL11" s="3" t="str">
        <f>IFERROR(__xludf.DUMMYFUNCTION("GoogleTranslate(C11, ""en"", ""lo"")"),"ສະພາບອາກາດໃນ {number} ແຂວງ")</f>
        <v>ສະພາບອາກາດໃນ {number} ແຂວງ</v>
      </c>
      <c r="AM11" s="3" t="str">
        <f>IFERROR(__xludf.DUMMYFUNCTION("GoogleTranslate(C11, ""en"", ""lv"")"),"Laikapstākļi {number} provincēs")</f>
        <v>Laikapstākļi {number} provincēs</v>
      </c>
      <c r="AN11" s="3" t="str">
        <f>IFERROR(__xludf.DUMMYFUNCTION("GoogleTranslate(C11, ""en"", ""lt"")"),"Orai {number} provincijose")</f>
        <v>Orai {number} provincijose</v>
      </c>
      <c r="AO11" s="3" t="str">
        <f>IFERROR(__xludf.DUMMYFUNCTION("GoogleTranslate(C11, ""en"", ""mk"")"),"Времето во {number} провинции")</f>
        <v>Времето во {number} провинции</v>
      </c>
      <c r="AP11" s="3" t="str">
        <f>IFERROR(__xludf.DUMMYFUNCTION("GoogleTranslate(C11, ""en"", ""ms"")"),"Cuaca di {number} wilayah")</f>
        <v>Cuaca di {number} wilayah</v>
      </c>
      <c r="AQ11" s="3" t="str">
        <f>IFERROR(__xludf.DUMMYFUNCTION("GoogleTranslate(C11, ""en"", ""ml"")"),"{number} പ്രവിശ്യകളിലെ കാലാവസ്ഥ")</f>
        <v>{number} പ്രവിശ്യകളിലെ കാലാവസ്ഥ</v>
      </c>
      <c r="AR11" s="3" t="str">
        <f>IFERROR(__xludf.DUMMYFUNCTION("GoogleTranslate(C11, ""en"", ""mr"")"),"{number} प्रांतातील हवामान")</f>
        <v>{number} प्रांतातील हवामान</v>
      </c>
      <c r="AS11" s="3" t="str">
        <f>IFERROR(__xludf.DUMMYFUNCTION("GoogleTranslate(C11, ""en"", ""mn"")"),"{number} аймгийн цаг агаар")</f>
        <v>{number} аймгийн цаг агаар</v>
      </c>
      <c r="AT11" s="3" t="str">
        <f>IFERROR(__xludf.DUMMYFUNCTION("GoogleTranslate(C11, ""en"", ""ne"")"),"{number} प्रान्तहरूमा मौसम")</f>
        <v>{number} प्रान्तहरूमा मौसम</v>
      </c>
      <c r="AU11" s="3" t="str">
        <f>IFERROR(__xludf.DUMMYFUNCTION("GoogleTranslate(C11, ""en"", ""nb"")"),"Været i {number} provinser")</f>
        <v>Været i {number} provinser</v>
      </c>
      <c r="AV11" s="3" t="str">
        <f>IFERROR(__xludf.DUMMYFUNCTION("GoogleTranslate(C11, ""en"", ""fa"")"),"آب و هوا در {number} استان")</f>
        <v>آب و هوا در {number} استان</v>
      </c>
      <c r="AW11" s="3" t="str">
        <f>IFERROR(__xludf.DUMMYFUNCTION("GoogleTranslate(C11, ""en"", ""pl"")"),"Pogoda w {number} prowincjach")</f>
        <v>Pogoda w {number} prowincjach</v>
      </c>
      <c r="AX11" s="3" t="str">
        <f>IFERROR(__xludf.DUMMYFUNCTION("GoogleTranslate(C11, ""en"", ""pt"")"),"Tempo em {number} províncias")</f>
        <v>Tempo em {number} províncias</v>
      </c>
      <c r="AY11" s="3" t="str">
        <f>IFERROR(__xludf.DUMMYFUNCTION("GoogleTranslate(C11, ""en"", ""ro"")"),"Vremea în {number} provincii")</f>
        <v>Vremea în {number} provincii</v>
      </c>
      <c r="AZ11" s="3" t="str">
        <f>IFERROR(__xludf.DUMMYFUNCTION("GoogleTranslate(C11, ""en"", ""ru"")"),"Погода в {number} провинциях")</f>
        <v>Погода в {number} провинциях</v>
      </c>
      <c r="BA11" s="3" t="str">
        <f>IFERROR(__xludf.DUMMYFUNCTION("GoogleTranslate(C11, ""en"", ""sr"")"),"Време у {нумбер} провинцијама")</f>
        <v>Време у {нумбер} провинцијама</v>
      </c>
      <c r="BB11" s="3" t="str">
        <f>IFERROR(__xludf.DUMMYFUNCTION("GoogleTranslate(C11, ""en"", ""si"")"),"{number} පළාත්වල කාලගුණය")</f>
        <v>{number} පළාත්වල කාලගුණය</v>
      </c>
      <c r="BC11" s="3" t="str">
        <f>IFERROR(__xludf.DUMMYFUNCTION("GoogleTranslate(C11, ""en"", ""sk"")"),"Počasie v {number} provinciách")</f>
        <v>Počasie v {number} provinciách</v>
      </c>
      <c r="BD11" s="3" t="str">
        <f>IFERROR(__xludf.DUMMYFUNCTION("GoogleTranslate(C11, ""en"", ""sl"")"),"Vreme v {number} provincah")</f>
        <v>Vreme v {number} provincah</v>
      </c>
      <c r="BE11" s="3" t="str">
        <f>IFERROR(__xludf.DUMMYFUNCTION("GoogleTranslate(C11, ""en"", ""es"")"),"El tiempo en {número} provincias")</f>
        <v>El tiempo en {número} provincias</v>
      </c>
      <c r="BF11" s="3" t="str">
        <f>IFERROR(__xludf.DUMMYFUNCTION("GoogleTranslate(C11, ""en"", ""sw"")"),"Hali ya hewa katika mikoa {number}")</f>
        <v>Hali ya hewa katika mikoa {number}</v>
      </c>
      <c r="BG11" s="3" t="str">
        <f>IFERROR(__xludf.DUMMYFUNCTION("GoogleTranslate(C11, ""en"", ""sv"")"),"Vädret i {number} provinser")</f>
        <v>Vädret i {number} provinser</v>
      </c>
      <c r="BH11" s="3" t="str">
        <f>IFERROR(__xludf.DUMMYFUNCTION("GoogleTranslate(C11, ""en"", ""te"")"),"{number} ప్రావిన్సులలో వాతావరణం")</f>
        <v>{number} ప్రావిన్సులలో వాతావరణం</v>
      </c>
      <c r="BI11" s="3" t="str">
        <f>IFERROR(__xludf.DUMMYFUNCTION("GoogleTranslate(C11, ""en"", ""th"")"),"สภาพอากาศใน {number} จังหวัด")</f>
        <v>สภาพอากาศใน {number} จังหวัด</v>
      </c>
      <c r="BJ11" s="3" t="str">
        <f>IFERROR(__xludf.DUMMYFUNCTION("GoogleTranslate(C11, ""en"", ""tr"")"),"{number} ilde hava durumu")</f>
        <v>{number} ilde hava durumu</v>
      </c>
      <c r="BK11" s="3" t="str">
        <f>IFERROR(__xludf.DUMMYFUNCTION("GoogleTranslate(C11, ""en"", ""uk"")"),"Погода в {number} провінціях")</f>
        <v>Погода в {number} провінціях</v>
      </c>
      <c r="BL11" s="3" t="str">
        <f>IFERROR(__xludf.DUMMYFUNCTION("GoogleTranslate(C11, ""en"", ""zu"")"),"Isimo sezulu ezifundazweni ezingu-{number}")</f>
        <v>Isimo sezulu ezifundazweni ezingu-{number}</v>
      </c>
    </row>
    <row r="12">
      <c r="A12" s="1" t="str">
        <f t="shared" si="1"/>
        <v>See_more</v>
      </c>
      <c r="B12" s="4" t="s">
        <v>74</v>
      </c>
      <c r="C12" s="1" t="str">
        <f t="shared" si="2"/>
        <v>See more</v>
      </c>
      <c r="D12" s="3" t="str">
        <f>IFERROR(__xludf.DUMMYFUNCTION("GoogleTranslate(C12, ""en"", ""es"")"),"Ver más")</f>
        <v>Ver más</v>
      </c>
      <c r="E12" s="3" t="str">
        <f>IFERROR(__xludf.DUMMYFUNCTION("GoogleTranslate(C12, ""en"", ""ar"")"),"شاهد المزيد")</f>
        <v>شاهد المزيد</v>
      </c>
      <c r="F12" s="3" t="str">
        <f>IFERROR(__xludf.DUMMYFUNCTION("GoogleTranslate(C12, ""en"", ""hy"")"),"Տեսնել ավելին")</f>
        <v>Տեսնել ավելին</v>
      </c>
      <c r="G12" s="3" t="str">
        <f>IFERROR(__xludf.DUMMYFUNCTION("GoogleTranslate(C12, ""en"", ""vi"")"),"Xem thêm")</f>
        <v>Xem thêm</v>
      </c>
      <c r="H12" s="3" t="str">
        <f>IFERROR(__xludf.DUMMYFUNCTION("GoogleTranslate(C12, ""en"", ""az"")"),"Daha çox baxın")</f>
        <v>Daha çox baxın</v>
      </c>
      <c r="I12" s="3" t="str">
        <f>IFERROR(__xludf.DUMMYFUNCTION("GoogleTranslate(C12, ""en"", ""eu"")"),"Ikusi gehiago")</f>
        <v>Ikusi gehiago</v>
      </c>
      <c r="J12" s="3" t="str">
        <f>IFERROR(__xludf.DUMMYFUNCTION("GoogleTranslate(C12, ""en"", ""be"")"),"Глядзіце больш")</f>
        <v>Глядзіце больш</v>
      </c>
      <c r="K12" s="3" t="str">
        <f>IFERROR(__xludf.DUMMYFUNCTION("GoogleTranslate(C12, ""en"", ""bn"")"),"আরও দেখুন")</f>
        <v>আরও দেখুন</v>
      </c>
      <c r="L12" s="3" t="str">
        <f>IFERROR(__xludf.DUMMYFUNCTION("GoogleTranslate(C12, ""en"", ""bg"")"),"Вижте повече")</f>
        <v>Вижте повече</v>
      </c>
      <c r="M12" s="3" t="str">
        <f>IFERROR(__xludf.DUMMYFUNCTION("GoogleTranslate(C12, ""en"", ""my"")"),"ပိုကြည့်")</f>
        <v>ပိုကြည့်</v>
      </c>
      <c r="N12" s="3" t="str">
        <f>IFERROR(__xludf.DUMMYFUNCTION("GoogleTranslate(C12, ""en"", ""ca"")"),"Veure més")</f>
        <v>Veure més</v>
      </c>
      <c r="O12" s="3" t="str">
        <f>IFERROR(__xludf.DUMMYFUNCTION("GoogleTranslate(C12, ""en"", ""zh-cn"")"),"查看更多")</f>
        <v>查看更多</v>
      </c>
      <c r="P12" s="3" t="str">
        <f>IFERROR(__xludf.DUMMYFUNCTION("GoogleTranslate(C12, ""en"", ""zh-TW"")"),"看更多")</f>
        <v>看更多</v>
      </c>
      <c r="Q12" s="3" t="str">
        <f>IFERROR(__xludf.DUMMYFUNCTION("GoogleTranslate(C12, ""en"", ""hr"")"),"Pogledajte više")</f>
        <v>Pogledajte više</v>
      </c>
      <c r="R12" s="3" t="str">
        <f>IFERROR(__xludf.DUMMYFUNCTION("GoogleTranslate(C12, ""en"", ""cs"")"),"Zobrazit více")</f>
        <v>Zobrazit více</v>
      </c>
      <c r="S12" s="3" t="str">
        <f>IFERROR(__xludf.DUMMYFUNCTION("GoogleTranslate(C12, ""en"", ""da"")"),"Se mere")</f>
        <v>Se mere</v>
      </c>
      <c r="T12" s="3" t="str">
        <f>IFERROR(__xludf.DUMMYFUNCTION("GoogleTranslate(C12, ""en"", ""nl"")"),"Zie meer")</f>
        <v>Zie meer</v>
      </c>
      <c r="U12" s="3" t="str">
        <f>IFERROR(__xludf.DUMMYFUNCTION("GoogleTranslate(C12, ""en"", ""et"")"),"Vaata rohkem")</f>
        <v>Vaata rohkem</v>
      </c>
      <c r="V12" s="1" t="str">
        <f t="shared" si="3"/>
        <v>See more</v>
      </c>
      <c r="W12" s="3" t="str">
        <f>IFERROR(__xludf.DUMMYFUNCTION("GoogleTranslate(C12, ""en"", ""fi"")"),"Katso lisää")</f>
        <v>Katso lisää</v>
      </c>
      <c r="X12" s="3" t="str">
        <f>IFERROR(__xludf.DUMMYFUNCTION("GoogleTranslate(C12, ""en"", ""fr"")"),"Voir plus")</f>
        <v>Voir plus</v>
      </c>
      <c r="Y12" s="3" t="str">
        <f>IFERROR(__xludf.DUMMYFUNCTION("GoogleTranslate(C12, ""en"", ""de"")"),"Mehr sehen")</f>
        <v>Mehr sehen</v>
      </c>
      <c r="Z12" s="3" t="str">
        <f>IFERROR(__xludf.DUMMYFUNCTION("GoogleTranslate(C12, ""en"", ""el"")"),"Δείτε περισσότερα")</f>
        <v>Δείτε περισσότερα</v>
      </c>
      <c r="AA12" s="3" t="str">
        <f>IFERROR(__xludf.DUMMYFUNCTION("GoogleTranslate(C12, ""en"", ""iw"")"),"ראה עוד")</f>
        <v>ראה עוד</v>
      </c>
      <c r="AB12" s="3" t="str">
        <f>IFERROR(__xludf.DUMMYFUNCTION("GoogleTranslate(C12, ""en"", ""hi"")"),"और देखें")</f>
        <v>और देखें</v>
      </c>
      <c r="AC12" s="3" t="str">
        <f>IFERROR(__xludf.DUMMYFUNCTION("GoogleTranslate(C12, ""en"", ""hu"")"),"Lásd még")</f>
        <v>Lásd még</v>
      </c>
      <c r="AD12" s="3" t="str">
        <f>IFERROR(__xludf.DUMMYFUNCTION("GoogleTranslate(C12, ""en"", ""is"")"),"Sjá meira")</f>
        <v>Sjá meira</v>
      </c>
      <c r="AE12" s="3" t="str">
        <f>IFERROR(__xludf.DUMMYFUNCTION("GoogleTranslate(C12, ""en"", ""id"")"),"Lihat selengkapnya")</f>
        <v>Lihat selengkapnya</v>
      </c>
      <c r="AF12" s="3" t="str">
        <f>IFERROR(__xludf.DUMMYFUNCTION("GoogleTranslate(C12, ""en"", ""in"")"),"Lihat selengkapnya")</f>
        <v>Lihat selengkapnya</v>
      </c>
      <c r="AG12" s="3" t="str">
        <f>IFERROR(__xludf.DUMMYFUNCTION("GoogleTranslate(C12, ""en"", ""it"")"),"Vedi di più")</f>
        <v>Vedi di più</v>
      </c>
      <c r="AH12" s="3" t="str">
        <f>IFERROR(__xludf.DUMMYFUNCTION("GoogleTranslate(C12, ""en"", ""ja"")"),"もっと見る")</f>
        <v>もっと見る</v>
      </c>
      <c r="AI12" s="3" t="str">
        <f>IFERROR(__xludf.DUMMYFUNCTION("GoogleTranslate(C12, ""en"", ""kn"")"),"ಇನ್ನಷ್ಟು ನೋಡಿ")</f>
        <v>ಇನ್ನಷ್ಟು ನೋಡಿ</v>
      </c>
      <c r="AJ12" s="3" t="str">
        <f>IFERROR(__xludf.DUMMYFUNCTION("GoogleTranslate(C12, ""en"", ""km"")"),"មើលច្រើនទៀត")</f>
        <v>មើលច្រើនទៀត</v>
      </c>
      <c r="AK12" s="3" t="str">
        <f>IFERROR(__xludf.DUMMYFUNCTION("GoogleTranslate(C12, ""en"", ""ko"")"),"자세히 보기")</f>
        <v>자세히 보기</v>
      </c>
      <c r="AL12" s="3" t="str">
        <f>IFERROR(__xludf.DUMMYFUNCTION("GoogleTranslate(C12, ""en"", ""lo"")"),"ເບິ່ງເພີ່ມເຕີມ")</f>
        <v>ເບິ່ງເພີ່ມເຕີມ</v>
      </c>
      <c r="AM12" s="3" t="str">
        <f>IFERROR(__xludf.DUMMYFUNCTION("GoogleTranslate(C12, ""en"", ""lv"")"),"Skatīt vairāk")</f>
        <v>Skatīt vairāk</v>
      </c>
      <c r="AN12" s="3" t="str">
        <f>IFERROR(__xludf.DUMMYFUNCTION("GoogleTranslate(C12, ""en"", ""lt"")"),"Žiūrėti daugiau")</f>
        <v>Žiūrėti daugiau</v>
      </c>
      <c r="AO12" s="3" t="str">
        <f>IFERROR(__xludf.DUMMYFUNCTION("GoogleTranslate(C12, ""en"", ""mk"")"),"Види повеќе")</f>
        <v>Види повеќе</v>
      </c>
      <c r="AP12" s="3" t="str">
        <f>IFERROR(__xludf.DUMMYFUNCTION("GoogleTranslate(C12, ""en"", ""ms"")"),"Lihat lagi")</f>
        <v>Lihat lagi</v>
      </c>
      <c r="AQ12" s="3" t="str">
        <f>IFERROR(__xludf.DUMMYFUNCTION("GoogleTranslate(C12, ""en"", ""ml"")"),"കൂടുതൽ കാണുക")</f>
        <v>കൂടുതൽ കാണുക</v>
      </c>
      <c r="AR12" s="3" t="str">
        <f>IFERROR(__xludf.DUMMYFUNCTION("GoogleTranslate(C12, ""en"", ""mr"")"),"अधिक पहा")</f>
        <v>अधिक पहा</v>
      </c>
      <c r="AS12" s="3" t="str">
        <f>IFERROR(__xludf.DUMMYFUNCTION("GoogleTranslate(C12, ""en"", ""mn"")"),"Илүү ихийг үзнэ үү")</f>
        <v>Илүү ихийг үзнэ үү</v>
      </c>
      <c r="AT12" s="3" t="str">
        <f>IFERROR(__xludf.DUMMYFUNCTION("GoogleTranslate(C12, ""en"", ""ne"")"),"अझ धेरै हेर्नुहोस्")</f>
        <v>अझ धेरै हेर्नुहोस्</v>
      </c>
      <c r="AU12" s="3" t="str">
        <f>IFERROR(__xludf.DUMMYFUNCTION("GoogleTranslate(C12, ""en"", ""nb"")"),"Se mer")</f>
        <v>Se mer</v>
      </c>
      <c r="AV12" s="3" t="str">
        <f>IFERROR(__xludf.DUMMYFUNCTION("GoogleTranslate(C12, ""en"", ""fa"")"),"بیشتر ببینید")</f>
        <v>بیشتر ببینید</v>
      </c>
      <c r="AW12" s="3" t="str">
        <f>IFERROR(__xludf.DUMMYFUNCTION("GoogleTranslate(C12, ""en"", ""pl"")"),"Zobacz więcej")</f>
        <v>Zobacz więcej</v>
      </c>
      <c r="AX12" s="3" t="str">
        <f>IFERROR(__xludf.DUMMYFUNCTION("GoogleTranslate(C12, ""en"", ""pt"")"),"Ver mais")</f>
        <v>Ver mais</v>
      </c>
      <c r="AY12" s="3" t="str">
        <f>IFERROR(__xludf.DUMMYFUNCTION("GoogleTranslate(C12, ""en"", ""ro"")"),"Vezi mai multe")</f>
        <v>Vezi mai multe</v>
      </c>
      <c r="AZ12" s="3" t="str">
        <f>IFERROR(__xludf.DUMMYFUNCTION("GoogleTranslate(C12, ""en"", ""ru"")"),"Посмотреть больше")</f>
        <v>Посмотреть больше</v>
      </c>
      <c r="BA12" s="3" t="str">
        <f>IFERROR(__xludf.DUMMYFUNCTION("GoogleTranslate(C12, ""en"", ""sr"")"),"Види више")</f>
        <v>Види више</v>
      </c>
      <c r="BB12" s="3" t="str">
        <f>IFERROR(__xludf.DUMMYFUNCTION("GoogleTranslate(C12, ""en"", ""si"")"),"තව බලන්න")</f>
        <v>තව බලන්න</v>
      </c>
      <c r="BC12" s="3" t="str">
        <f>IFERROR(__xludf.DUMMYFUNCTION("GoogleTranslate(C12, ""en"", ""sk"")"),"Zobraziť viac")</f>
        <v>Zobraziť viac</v>
      </c>
      <c r="BD12" s="3" t="str">
        <f>IFERROR(__xludf.DUMMYFUNCTION("GoogleTranslate(C12, ""en"", ""sl"")"),"Glej več")</f>
        <v>Glej več</v>
      </c>
      <c r="BE12" s="3" t="str">
        <f>IFERROR(__xludf.DUMMYFUNCTION("GoogleTranslate(C12, ""en"", ""es"")"),"Ver más")</f>
        <v>Ver más</v>
      </c>
      <c r="BF12" s="3" t="str">
        <f>IFERROR(__xludf.DUMMYFUNCTION("GoogleTranslate(C12, ""en"", ""sw"")"),"Tazama zaidi")</f>
        <v>Tazama zaidi</v>
      </c>
      <c r="BG12" s="3" t="str">
        <f>IFERROR(__xludf.DUMMYFUNCTION("GoogleTranslate(C12, ""en"", ""sv"")"),"Se mer")</f>
        <v>Se mer</v>
      </c>
      <c r="BH12" s="3" t="str">
        <f>IFERROR(__xludf.DUMMYFUNCTION("GoogleTranslate(C12, ""en"", ""te"")"),"మరిన్ని చూడండి")</f>
        <v>మరిన్ని చూడండి</v>
      </c>
      <c r="BI12" s="3" t="str">
        <f>IFERROR(__xludf.DUMMYFUNCTION("GoogleTranslate(C12, ""en"", ""th"")"),"ดูเพิ่มเติม")</f>
        <v>ดูเพิ่มเติม</v>
      </c>
      <c r="BJ12" s="3" t="str">
        <f>IFERROR(__xludf.DUMMYFUNCTION("GoogleTranslate(C12, ""en"", ""tr"")"),"Daha fazlasını gör")</f>
        <v>Daha fazlasını gör</v>
      </c>
      <c r="BK12" s="3" t="str">
        <f>IFERROR(__xludf.DUMMYFUNCTION("GoogleTranslate(C12, ""en"", ""uk"")"),"Дивіться більше")</f>
        <v>Дивіться більше</v>
      </c>
      <c r="BL12" s="3" t="str">
        <f>IFERROR(__xludf.DUMMYFUNCTION("GoogleTranslate(C12, ""en"", ""zu"")"),"Buka Okuningi")</f>
        <v>Buka Okuningi</v>
      </c>
    </row>
    <row r="13">
      <c r="A13" s="1" t="str">
        <f t="shared" si="1"/>
        <v>Weather_Radar</v>
      </c>
      <c r="B13" s="4" t="s">
        <v>75</v>
      </c>
      <c r="C13" s="1" t="str">
        <f t="shared" si="2"/>
        <v>Weather Radar</v>
      </c>
      <c r="D13" s="3" t="str">
        <f>IFERROR(__xludf.DUMMYFUNCTION("GoogleTranslate(C13, ""en"", ""es"")"),"Radar meteorológico")</f>
        <v>Radar meteorológico</v>
      </c>
      <c r="E13" s="3" t="str">
        <f>IFERROR(__xludf.DUMMYFUNCTION("GoogleTranslate(C13, ""en"", ""ar"")"),"رادار الطقس")</f>
        <v>رادار الطقس</v>
      </c>
      <c r="F13" s="3" t="str">
        <f>IFERROR(__xludf.DUMMYFUNCTION("GoogleTranslate(C13, ""en"", ""hy"")"),"Եղանակի ռադար")</f>
        <v>Եղանակի ռադար</v>
      </c>
      <c r="G13" s="3" t="str">
        <f>IFERROR(__xludf.DUMMYFUNCTION("GoogleTranslate(C13, ""en"", ""vi"")"),"Rađa thời tiết")</f>
        <v>Rađa thời tiết</v>
      </c>
      <c r="H13" s="3" t="str">
        <f>IFERROR(__xludf.DUMMYFUNCTION("GoogleTranslate(C13, ""en"", ""az"")"),"Hava Radarı")</f>
        <v>Hava Radarı</v>
      </c>
      <c r="I13" s="3" t="str">
        <f>IFERROR(__xludf.DUMMYFUNCTION("GoogleTranslate(C13, ""en"", ""eu"")"),"Eguraldi Radar")</f>
        <v>Eguraldi Radar</v>
      </c>
      <c r="J13" s="3" t="str">
        <f>IFERROR(__xludf.DUMMYFUNCTION("GoogleTranslate(C13, ""en"", ""be"")"),"Радар надвор'я")</f>
        <v>Радар надвор'я</v>
      </c>
      <c r="K13" s="3" t="str">
        <f>IFERROR(__xludf.DUMMYFUNCTION("GoogleTranslate(C13, ""en"", ""bn"")"),"আবহাওয়া রাডার")</f>
        <v>আবহাওয়া রাডার</v>
      </c>
      <c r="L13" s="3" t="str">
        <f>IFERROR(__xludf.DUMMYFUNCTION("GoogleTranslate(C13, ""en"", ""bg"")"),"Метеорологичен радар")</f>
        <v>Метеорологичен радар</v>
      </c>
      <c r="M13" s="3" t="str">
        <f>IFERROR(__xludf.DUMMYFUNCTION("GoogleTranslate(C13, ""en"", ""my"")"),"မိုးလေဝသ ရေဒါ")</f>
        <v>မိုးလေဝသ ရေဒါ</v>
      </c>
      <c r="N13" s="3" t="str">
        <f>IFERROR(__xludf.DUMMYFUNCTION("GoogleTranslate(C13, ""en"", ""ca"")"),"Radar meteorològic")</f>
        <v>Radar meteorològic</v>
      </c>
      <c r="O13" s="3" t="str">
        <f>IFERROR(__xludf.DUMMYFUNCTION("GoogleTranslate(C13, ""en"", ""zh-cn"")"),"天气雷达")</f>
        <v>天气雷达</v>
      </c>
      <c r="P13" s="3" t="str">
        <f>IFERROR(__xludf.DUMMYFUNCTION("GoogleTranslate(C13, ""en"", ""zh-TW"")"),"天氣雷達")</f>
        <v>天氣雷達</v>
      </c>
      <c r="Q13" s="3" t="str">
        <f>IFERROR(__xludf.DUMMYFUNCTION("GoogleTranslate(C13, ""en"", ""hr"")"),"Vremenski radar")</f>
        <v>Vremenski radar</v>
      </c>
      <c r="R13" s="3" t="str">
        <f>IFERROR(__xludf.DUMMYFUNCTION("GoogleTranslate(C13, ""en"", ""cs"")"),"Povětrnostní radar")</f>
        <v>Povětrnostní radar</v>
      </c>
      <c r="S13" s="3" t="str">
        <f>IFERROR(__xludf.DUMMYFUNCTION("GoogleTranslate(C13, ""en"", ""da"")"),"Vejrradar")</f>
        <v>Vejrradar</v>
      </c>
      <c r="T13" s="3" t="str">
        <f>IFERROR(__xludf.DUMMYFUNCTION("GoogleTranslate(C13, ""en"", ""nl"")"),"Weerradar")</f>
        <v>Weerradar</v>
      </c>
      <c r="U13" s="3" t="str">
        <f>IFERROR(__xludf.DUMMYFUNCTION("GoogleTranslate(C13, ""en"", ""et"")"),"Ilmaradar")</f>
        <v>Ilmaradar</v>
      </c>
      <c r="V13" s="1" t="str">
        <f t="shared" si="3"/>
        <v>Weather Radar</v>
      </c>
      <c r="W13" s="3" t="str">
        <f>IFERROR(__xludf.DUMMYFUNCTION("GoogleTranslate(C13, ""en"", ""fi"")"),"Säätutka")</f>
        <v>Säätutka</v>
      </c>
      <c r="X13" s="3" t="str">
        <f>IFERROR(__xludf.DUMMYFUNCTION("GoogleTranslate(C13, ""en"", ""fr"")"),"Radar météo")</f>
        <v>Radar météo</v>
      </c>
      <c r="Y13" s="3" t="str">
        <f>IFERROR(__xludf.DUMMYFUNCTION("GoogleTranslate(C13, ""en"", ""de"")"),"Wetterradar")</f>
        <v>Wetterradar</v>
      </c>
      <c r="Z13" s="3" t="str">
        <f>IFERROR(__xludf.DUMMYFUNCTION("GoogleTranslate(C13, ""en"", ""el"")"),"Ραντάρ καιρού")</f>
        <v>Ραντάρ καιρού</v>
      </c>
      <c r="AA13" s="3" t="str">
        <f>IFERROR(__xludf.DUMMYFUNCTION("GoogleTranslate(C13, ""en"", ""iw"")"),"רדאר מזג האוויר")</f>
        <v>רדאר מזג האוויר</v>
      </c>
      <c r="AB13" s="3" t="str">
        <f>IFERROR(__xludf.DUMMYFUNCTION("GoogleTranslate(C13, ""en"", ""hi"")"),"मौसम राडार")</f>
        <v>मौसम राडार</v>
      </c>
      <c r="AC13" s="3" t="str">
        <f>IFERROR(__xludf.DUMMYFUNCTION("GoogleTranslate(C13, ""en"", ""hu"")"),"Időjárási radar")</f>
        <v>Időjárási radar</v>
      </c>
      <c r="AD13" s="3" t="str">
        <f>IFERROR(__xludf.DUMMYFUNCTION("GoogleTranslate(C13, ""en"", ""is"")"),"Veðurradar")</f>
        <v>Veðurradar</v>
      </c>
      <c r="AE13" s="3" t="str">
        <f>IFERROR(__xludf.DUMMYFUNCTION("GoogleTranslate(C13, ""en"", ""id"")"),"Radar Cuaca")</f>
        <v>Radar Cuaca</v>
      </c>
      <c r="AF13" s="3" t="str">
        <f>IFERROR(__xludf.DUMMYFUNCTION("GoogleTranslate(C13, ""en"", ""in"")"),"Radar Cuaca")</f>
        <v>Radar Cuaca</v>
      </c>
      <c r="AG13" s="3" t="str">
        <f>IFERROR(__xludf.DUMMYFUNCTION("GoogleTranslate(C13, ""en"", ""it"")"),"Radar meteorologico")</f>
        <v>Radar meteorologico</v>
      </c>
      <c r="AH13" s="3" t="str">
        <f>IFERROR(__xludf.DUMMYFUNCTION("GoogleTranslate(C13, ""en"", ""ja"")"),"気象レーダー")</f>
        <v>気象レーダー</v>
      </c>
      <c r="AI13" s="3" t="str">
        <f>IFERROR(__xludf.DUMMYFUNCTION("GoogleTranslate(C13, ""en"", ""kn"")"),"ಹವಾಮಾನ ರಾಡಾರ್")</f>
        <v>ಹವಾಮಾನ ರಾಡಾರ್</v>
      </c>
      <c r="AJ13" s="3" t="str">
        <f>IFERROR(__xludf.DUMMYFUNCTION("GoogleTranslate(C13, ""en"", ""km"")"),"រ៉ាដាអាកាសធាតុ")</f>
        <v>រ៉ាដាអាកាសធាតុ</v>
      </c>
      <c r="AK13" s="3" t="str">
        <f>IFERROR(__xludf.DUMMYFUNCTION("GoogleTranslate(C13, ""en"", ""ko"")"),"기상 레이더")</f>
        <v>기상 레이더</v>
      </c>
      <c r="AL13" s="3" t="str">
        <f>IFERROR(__xludf.DUMMYFUNCTION("GoogleTranslate(C13, ""en"", ""lo"")"),"ຣາດາສະພາບອາກາດ")</f>
        <v>ຣາດາສະພາບອາກາດ</v>
      </c>
      <c r="AM13" s="3" t="str">
        <f>IFERROR(__xludf.DUMMYFUNCTION("GoogleTranslate(C13, ""en"", ""lv"")"),"Laikapstākļu radars")</f>
        <v>Laikapstākļu radars</v>
      </c>
      <c r="AN13" s="3" t="str">
        <f>IFERROR(__xludf.DUMMYFUNCTION("GoogleTranslate(C13, ""en"", ""lt"")"),"Orų radaras")</f>
        <v>Orų radaras</v>
      </c>
      <c r="AO13" s="3" t="str">
        <f>IFERROR(__xludf.DUMMYFUNCTION("GoogleTranslate(C13, ""en"", ""mk"")"),"Временски радар")</f>
        <v>Временски радар</v>
      </c>
      <c r="AP13" s="3" t="str">
        <f>IFERROR(__xludf.DUMMYFUNCTION("GoogleTranslate(C13, ""en"", ""ms"")"),"Radar Cuaca")</f>
        <v>Radar Cuaca</v>
      </c>
      <c r="AQ13" s="3" t="str">
        <f>IFERROR(__xludf.DUMMYFUNCTION("GoogleTranslate(C13, ""en"", ""ml"")"),"കാലാവസ്ഥ റഡാർ")</f>
        <v>കാലാവസ്ഥ റഡാർ</v>
      </c>
      <c r="AR13" s="3" t="str">
        <f>IFERROR(__xludf.DUMMYFUNCTION("GoogleTranslate(C13, ""en"", ""mr"")"),"हवामान रडार")</f>
        <v>हवामान रडार</v>
      </c>
      <c r="AS13" s="3" t="str">
        <f>IFERROR(__xludf.DUMMYFUNCTION("GoogleTranslate(C13, ""en"", ""mn"")"),"Цаг агаарын радар")</f>
        <v>Цаг агаарын радар</v>
      </c>
      <c r="AT13" s="3" t="str">
        <f>IFERROR(__xludf.DUMMYFUNCTION("GoogleTranslate(C13, ""en"", ""ne"")"),"मौसम रडार")</f>
        <v>मौसम रडार</v>
      </c>
      <c r="AU13" s="3" t="str">
        <f>IFERROR(__xludf.DUMMYFUNCTION("GoogleTranslate(C13, ""en"", ""nb"")"),"Værradar")</f>
        <v>Værradar</v>
      </c>
      <c r="AV13" s="3" t="str">
        <f>IFERROR(__xludf.DUMMYFUNCTION("GoogleTranslate(C13, ""en"", ""fa"")"),"رادار آب و هوا")</f>
        <v>رادار آب و هوا</v>
      </c>
      <c r="AW13" s="3" t="str">
        <f>IFERROR(__xludf.DUMMYFUNCTION("GoogleTranslate(C13, ""en"", ""pl"")"),"Radar pogodowy")</f>
        <v>Radar pogodowy</v>
      </c>
      <c r="AX13" s="3" t="str">
        <f>IFERROR(__xludf.DUMMYFUNCTION("GoogleTranslate(C13, ""en"", ""pt"")"),"Radar meteorológico")</f>
        <v>Radar meteorológico</v>
      </c>
      <c r="AY13" s="3" t="str">
        <f>IFERROR(__xludf.DUMMYFUNCTION("GoogleTranslate(C13, ""en"", ""ro"")"),"Radar meteo")</f>
        <v>Radar meteo</v>
      </c>
      <c r="AZ13" s="3" t="str">
        <f>IFERROR(__xludf.DUMMYFUNCTION("GoogleTranslate(C13, ""en"", ""ru"")"),"Метеорологический радар")</f>
        <v>Метеорологический радар</v>
      </c>
      <c r="BA13" s="3" t="str">
        <f>IFERROR(__xludf.DUMMYFUNCTION("GoogleTranslate(C13, ""en"", ""sr"")"),"Веатхер Радар")</f>
        <v>Веатхер Радар</v>
      </c>
      <c r="BB13" s="3" t="str">
        <f>IFERROR(__xludf.DUMMYFUNCTION("GoogleTranslate(C13, ""en"", ""si"")"),"කාලගුණ රේඩාර්")</f>
        <v>කාලගුණ රේඩාර්</v>
      </c>
      <c r="BC13" s="3" t="str">
        <f>IFERROR(__xludf.DUMMYFUNCTION("GoogleTranslate(C13, ""en"", ""sk"")"),"Poveternostný radar")</f>
        <v>Poveternostný radar</v>
      </c>
      <c r="BD13" s="3" t="str">
        <f>IFERROR(__xludf.DUMMYFUNCTION("GoogleTranslate(C13, ""en"", ""sl"")"),"Vremenski radar")</f>
        <v>Vremenski radar</v>
      </c>
      <c r="BE13" s="3" t="str">
        <f>IFERROR(__xludf.DUMMYFUNCTION("GoogleTranslate(C13, ""en"", ""es"")"),"Radar meteorológico")</f>
        <v>Radar meteorológico</v>
      </c>
      <c r="BF13" s="3" t="str">
        <f>IFERROR(__xludf.DUMMYFUNCTION("GoogleTranslate(C13, ""en"", ""sw"")"),"Rada ya hali ya hewa")</f>
        <v>Rada ya hali ya hewa</v>
      </c>
      <c r="BG13" s="3" t="str">
        <f>IFERROR(__xludf.DUMMYFUNCTION("GoogleTranslate(C13, ""en"", ""sv"")"),"Väderradar")</f>
        <v>Väderradar</v>
      </c>
      <c r="BH13" s="3" t="str">
        <f>IFERROR(__xludf.DUMMYFUNCTION("GoogleTranslate(C13, ""en"", ""te"")"),"వాతావరణ రాడార్")</f>
        <v>వాతావరణ రాడార్</v>
      </c>
      <c r="BI13" s="3" t="str">
        <f>IFERROR(__xludf.DUMMYFUNCTION("GoogleTranslate(C13, ""en"", ""th"")"),"เรดาร์สำรวจอากาศ")</f>
        <v>เรดาร์สำรวจอากาศ</v>
      </c>
      <c r="BJ13" s="3" t="str">
        <f>IFERROR(__xludf.DUMMYFUNCTION("GoogleTranslate(C13, ""en"", ""tr"")"),"Hava Durumu Radarı")</f>
        <v>Hava Durumu Radarı</v>
      </c>
      <c r="BK13" s="3" t="str">
        <f>IFERROR(__xludf.DUMMYFUNCTION("GoogleTranslate(C13, ""en"", ""uk"")"),"Метеорологічний радар")</f>
        <v>Метеорологічний радар</v>
      </c>
      <c r="BL13" s="3" t="str">
        <f>IFERROR(__xludf.DUMMYFUNCTION("GoogleTranslate(C13, ""en"", ""zu"")"),"Isimo sezulu Radar")</f>
        <v>Isimo sezulu Radar</v>
      </c>
    </row>
    <row r="14">
      <c r="A14" s="1" t="str">
        <f t="shared" si="1"/>
        <v>Hide</v>
      </c>
      <c r="B14" s="4" t="s">
        <v>76</v>
      </c>
      <c r="C14" s="1" t="str">
        <f t="shared" si="2"/>
        <v>Hide</v>
      </c>
      <c r="D14" s="3" t="str">
        <f>IFERROR(__xludf.DUMMYFUNCTION("GoogleTranslate(C14, ""en"", ""es"")"),"Esconder")</f>
        <v>Esconder</v>
      </c>
      <c r="E14" s="3" t="str">
        <f>IFERROR(__xludf.DUMMYFUNCTION("GoogleTranslate(C14, ""en"", ""ar"")"),"يخفي")</f>
        <v>يخفي</v>
      </c>
      <c r="F14" s="3" t="str">
        <f>IFERROR(__xludf.DUMMYFUNCTION("GoogleTranslate(C14, ""en"", ""hy"")"),"Թաքցնել")</f>
        <v>Թաքցնել</v>
      </c>
      <c r="G14" s="3" t="str">
        <f>IFERROR(__xludf.DUMMYFUNCTION("GoogleTranslate(C14, ""en"", ""vi"")"),"Trốn")</f>
        <v>Trốn</v>
      </c>
      <c r="H14" s="3" t="str">
        <f>IFERROR(__xludf.DUMMYFUNCTION("GoogleTranslate(C14, ""en"", ""az"")"),"Gizlət")</f>
        <v>Gizlət</v>
      </c>
      <c r="I14" s="3" t="str">
        <f>IFERROR(__xludf.DUMMYFUNCTION("GoogleTranslate(C14, ""en"", ""eu"")"),"Ezkutatu")</f>
        <v>Ezkutatu</v>
      </c>
      <c r="J14" s="3" t="str">
        <f>IFERROR(__xludf.DUMMYFUNCTION("GoogleTranslate(C14, ""en"", ""be"")"),"Схаваць")</f>
        <v>Схаваць</v>
      </c>
      <c r="K14" s="3" t="str">
        <f>IFERROR(__xludf.DUMMYFUNCTION("GoogleTranslate(C14, ""en"", ""bn"")"),"লুকান")</f>
        <v>লুকান</v>
      </c>
      <c r="L14" s="3" t="str">
        <f>IFERROR(__xludf.DUMMYFUNCTION("GoogleTranslate(C14, ""en"", ""bg"")"),"Скрий се")</f>
        <v>Скрий се</v>
      </c>
      <c r="M14" s="3" t="str">
        <f>IFERROR(__xludf.DUMMYFUNCTION("GoogleTranslate(C14, ""en"", ""my"")"),"ဖွက်ပါ။")</f>
        <v>ဖွက်ပါ။</v>
      </c>
      <c r="N14" s="3" t="str">
        <f>IFERROR(__xludf.DUMMYFUNCTION("GoogleTranslate(C14, ""en"", ""ca"")"),"Amaga")</f>
        <v>Amaga</v>
      </c>
      <c r="O14" s="3" t="str">
        <f>IFERROR(__xludf.DUMMYFUNCTION("GoogleTranslate(C14, ""en"", ""zh-cn"")"),"隐藏")</f>
        <v>隐藏</v>
      </c>
      <c r="P14" s="3" t="str">
        <f>IFERROR(__xludf.DUMMYFUNCTION("GoogleTranslate(C14, ""en"", ""zh-TW"")"),"隱藏")</f>
        <v>隱藏</v>
      </c>
      <c r="Q14" s="3" t="str">
        <f>IFERROR(__xludf.DUMMYFUNCTION("GoogleTranslate(C14, ""en"", ""hr"")"),"Sakriti")</f>
        <v>Sakriti</v>
      </c>
      <c r="R14" s="3" t="str">
        <f>IFERROR(__xludf.DUMMYFUNCTION("GoogleTranslate(C14, ""en"", ""cs"")"),"Skrýt")</f>
        <v>Skrýt</v>
      </c>
      <c r="S14" s="3" t="str">
        <f>IFERROR(__xludf.DUMMYFUNCTION("GoogleTranslate(C14, ""en"", ""da"")"),"Skjule")</f>
        <v>Skjule</v>
      </c>
      <c r="T14" s="3" t="str">
        <f>IFERROR(__xludf.DUMMYFUNCTION("GoogleTranslate(C14, ""en"", ""nl"")"),"Verbergen")</f>
        <v>Verbergen</v>
      </c>
      <c r="U14" s="3" t="str">
        <f>IFERROR(__xludf.DUMMYFUNCTION("GoogleTranslate(C14, ""en"", ""et"")"),"Peida")</f>
        <v>Peida</v>
      </c>
      <c r="V14" s="1" t="str">
        <f t="shared" si="3"/>
        <v>Hide</v>
      </c>
      <c r="W14" s="3" t="str">
        <f>IFERROR(__xludf.DUMMYFUNCTION("GoogleTranslate(C14, ""en"", ""fi"")"),"Piilottaa")</f>
        <v>Piilottaa</v>
      </c>
      <c r="X14" s="3" t="str">
        <f>IFERROR(__xludf.DUMMYFUNCTION("GoogleTranslate(C14, ""en"", ""fr"")"),"Cacher")</f>
        <v>Cacher</v>
      </c>
      <c r="Y14" s="3" t="str">
        <f>IFERROR(__xludf.DUMMYFUNCTION("GoogleTranslate(C14, ""en"", ""de"")"),"Verstecken")</f>
        <v>Verstecken</v>
      </c>
      <c r="Z14" s="3" t="str">
        <f>IFERROR(__xludf.DUMMYFUNCTION("GoogleTranslate(C14, ""en"", ""el"")"),"Κρύβω")</f>
        <v>Κρύβω</v>
      </c>
      <c r="AA14" s="3" t="str">
        <f>IFERROR(__xludf.DUMMYFUNCTION("GoogleTranslate(C14, ""en"", ""iw"")"),"לְהַסתִיר")</f>
        <v>לְהַסתִיר</v>
      </c>
      <c r="AB14" s="3" t="str">
        <f>IFERROR(__xludf.DUMMYFUNCTION("GoogleTranslate(C14, ""en"", ""hi"")"),"छिपाना")</f>
        <v>छिपाना</v>
      </c>
      <c r="AC14" s="3" t="str">
        <f>IFERROR(__xludf.DUMMYFUNCTION("GoogleTranslate(C14, ""en"", ""hu"")"),"Elrejt")</f>
        <v>Elrejt</v>
      </c>
      <c r="AD14" s="3" t="str">
        <f>IFERROR(__xludf.DUMMYFUNCTION("GoogleTranslate(C14, ""en"", ""is"")"),"Fela")</f>
        <v>Fela</v>
      </c>
      <c r="AE14" s="3" t="str">
        <f>IFERROR(__xludf.DUMMYFUNCTION("GoogleTranslate(C14, ""en"", ""id"")"),"Bersembunyi")</f>
        <v>Bersembunyi</v>
      </c>
      <c r="AF14" s="3" t="str">
        <f>IFERROR(__xludf.DUMMYFUNCTION("GoogleTranslate(C14, ""en"", ""in"")"),"Bersembunyi")</f>
        <v>Bersembunyi</v>
      </c>
      <c r="AG14" s="3" t="str">
        <f>IFERROR(__xludf.DUMMYFUNCTION("GoogleTranslate(C14, ""en"", ""it"")"),"Nascondere")</f>
        <v>Nascondere</v>
      </c>
      <c r="AH14" s="3" t="str">
        <f>IFERROR(__xludf.DUMMYFUNCTION("GoogleTranslate(C14, ""en"", ""ja"")"),"隠れる")</f>
        <v>隠れる</v>
      </c>
      <c r="AI14" s="3" t="str">
        <f>IFERROR(__xludf.DUMMYFUNCTION("GoogleTranslate(C14, ""en"", ""kn"")"),"ಮರೆಮಾಡಿ")</f>
        <v>ಮರೆಮಾಡಿ</v>
      </c>
      <c r="AJ14" s="3" t="str">
        <f>IFERROR(__xludf.DUMMYFUNCTION("GoogleTranslate(C14, ""en"", ""km"")"),"លាក់")</f>
        <v>លាក់</v>
      </c>
      <c r="AK14" s="3" t="str">
        <f>IFERROR(__xludf.DUMMYFUNCTION("GoogleTranslate(C14, ""en"", ""ko"")"),"숨다")</f>
        <v>숨다</v>
      </c>
      <c r="AL14" s="3" t="str">
        <f>IFERROR(__xludf.DUMMYFUNCTION("GoogleTranslate(C14, ""en"", ""lo"")"),"ເຊື່ອງ")</f>
        <v>ເຊື່ອງ</v>
      </c>
      <c r="AM14" s="3" t="str">
        <f>IFERROR(__xludf.DUMMYFUNCTION("GoogleTranslate(C14, ""en"", ""lv"")"),"Slēpt")</f>
        <v>Slēpt</v>
      </c>
      <c r="AN14" s="3" t="str">
        <f>IFERROR(__xludf.DUMMYFUNCTION("GoogleTranslate(C14, ""en"", ""lt"")"),"Slėpti")</f>
        <v>Slėpti</v>
      </c>
      <c r="AO14" s="3" t="str">
        <f>IFERROR(__xludf.DUMMYFUNCTION("GoogleTranslate(C14, ""en"", ""mk"")"),"Скриј")</f>
        <v>Скриј</v>
      </c>
      <c r="AP14" s="3" t="str">
        <f>IFERROR(__xludf.DUMMYFUNCTION("GoogleTranslate(C14, ""en"", ""ms"")"),"Sembunyi")</f>
        <v>Sembunyi</v>
      </c>
      <c r="AQ14" s="3" t="str">
        <f>IFERROR(__xludf.DUMMYFUNCTION("GoogleTranslate(C14, ""en"", ""ml"")"),"മറയ്ക്കുക")</f>
        <v>മറയ്ക്കുക</v>
      </c>
      <c r="AR14" s="3" t="str">
        <f>IFERROR(__xludf.DUMMYFUNCTION("GoogleTranslate(C14, ""en"", ""mr"")"),"लपवा")</f>
        <v>लपवा</v>
      </c>
      <c r="AS14" s="3" t="str">
        <f>IFERROR(__xludf.DUMMYFUNCTION("GoogleTranslate(C14, ""en"", ""mn"")"),"Нуух")</f>
        <v>Нуух</v>
      </c>
      <c r="AT14" s="3" t="str">
        <f>IFERROR(__xludf.DUMMYFUNCTION("GoogleTranslate(C14, ""en"", ""ne"")"),"लुकाउनुहोस्")</f>
        <v>लुकाउनुहोस्</v>
      </c>
      <c r="AU14" s="3" t="str">
        <f>IFERROR(__xludf.DUMMYFUNCTION("GoogleTranslate(C14, ""en"", ""nb"")"),"Gjemme")</f>
        <v>Gjemme</v>
      </c>
      <c r="AV14" s="3" t="str">
        <f>IFERROR(__xludf.DUMMYFUNCTION("GoogleTranslate(C14, ""en"", ""fa"")"),"پنهان کردن")</f>
        <v>پنهان کردن</v>
      </c>
      <c r="AW14" s="3" t="str">
        <f>IFERROR(__xludf.DUMMYFUNCTION("GoogleTranslate(C14, ""en"", ""pl"")"),"Ukrywać")</f>
        <v>Ukrywać</v>
      </c>
      <c r="AX14" s="3" t="str">
        <f>IFERROR(__xludf.DUMMYFUNCTION("GoogleTranslate(C14, ""en"", ""pt"")"),"Esconder")</f>
        <v>Esconder</v>
      </c>
      <c r="AY14" s="3" t="str">
        <f>IFERROR(__xludf.DUMMYFUNCTION("GoogleTranslate(C14, ""en"", ""ro"")"),"Ascunde")</f>
        <v>Ascunde</v>
      </c>
      <c r="AZ14" s="3" t="str">
        <f>IFERROR(__xludf.DUMMYFUNCTION("GoogleTranslate(C14, ""en"", ""ru"")"),"Скрывать")</f>
        <v>Скрывать</v>
      </c>
      <c r="BA14" s="3" t="str">
        <f>IFERROR(__xludf.DUMMYFUNCTION("GoogleTranslate(C14, ""en"", ""sr"")"),"Сакриј се")</f>
        <v>Сакриј се</v>
      </c>
      <c r="BB14" s="3" t="str">
        <f>IFERROR(__xludf.DUMMYFUNCTION("GoogleTranslate(C14, ""en"", ""si"")"),"සඟවන්න")</f>
        <v>සඟවන්න</v>
      </c>
      <c r="BC14" s="3" t="str">
        <f>IFERROR(__xludf.DUMMYFUNCTION("GoogleTranslate(C14, ""en"", ""sk"")"),"Skryť")</f>
        <v>Skryť</v>
      </c>
      <c r="BD14" s="3" t="str">
        <f>IFERROR(__xludf.DUMMYFUNCTION("GoogleTranslate(C14, ""en"", ""sl"")"),"Skrij se")</f>
        <v>Skrij se</v>
      </c>
      <c r="BE14" s="3" t="str">
        <f>IFERROR(__xludf.DUMMYFUNCTION("GoogleTranslate(C14, ""en"", ""es"")"),"Esconder")</f>
        <v>Esconder</v>
      </c>
      <c r="BF14" s="3" t="str">
        <f>IFERROR(__xludf.DUMMYFUNCTION("GoogleTranslate(C14, ""en"", ""sw"")"),"Ficha")</f>
        <v>Ficha</v>
      </c>
      <c r="BG14" s="3" t="str">
        <f>IFERROR(__xludf.DUMMYFUNCTION("GoogleTranslate(C14, ""en"", ""sv"")"),"Dölja")</f>
        <v>Dölja</v>
      </c>
      <c r="BH14" s="3" t="str">
        <f>IFERROR(__xludf.DUMMYFUNCTION("GoogleTranslate(C14, ""en"", ""te"")"),"దాచు")</f>
        <v>దాచు</v>
      </c>
      <c r="BI14" s="3" t="str">
        <f>IFERROR(__xludf.DUMMYFUNCTION("GoogleTranslate(C14, ""en"", ""th"")"),"ซ่อน")</f>
        <v>ซ่อน</v>
      </c>
      <c r="BJ14" s="3" t="str">
        <f>IFERROR(__xludf.DUMMYFUNCTION("GoogleTranslate(C14, ""en"", ""tr"")"),"Saklamak")</f>
        <v>Saklamak</v>
      </c>
      <c r="BK14" s="3" t="str">
        <f>IFERROR(__xludf.DUMMYFUNCTION("GoogleTranslate(C14, ""en"", ""uk"")"),"Сховати")</f>
        <v>Сховати</v>
      </c>
      <c r="BL14" s="3" t="str">
        <f>IFERROR(__xludf.DUMMYFUNCTION("GoogleTranslate(C14, ""en"", ""zu"")"),"Fihla")</f>
        <v>Fihla</v>
      </c>
    </row>
    <row r="15">
      <c r="A15" s="1" t="str">
        <f t="shared" si="1"/>
        <v>Weather_forecast_on_your_website</v>
      </c>
      <c r="B15" s="4" t="s">
        <v>77</v>
      </c>
      <c r="C15" s="1" t="str">
        <f t="shared" si="2"/>
        <v>Weather forecast on your website</v>
      </c>
      <c r="D15" s="3" t="str">
        <f>IFERROR(__xludf.DUMMYFUNCTION("GoogleTranslate(C15, ""en"", ""es"")"),"Previsión del tiempo en tu web")</f>
        <v>Previsión del tiempo en tu web</v>
      </c>
      <c r="E15" s="3" t="str">
        <f>IFERROR(__xludf.DUMMYFUNCTION("GoogleTranslate(C15, ""en"", ""ar"")"),"توقعات الطقس على موقع الويب الخاص بك")</f>
        <v>توقعات الطقس على موقع الويب الخاص بك</v>
      </c>
      <c r="F15" s="3" t="str">
        <f>IFERROR(__xludf.DUMMYFUNCTION("GoogleTranslate(C15, ""en"", ""hy"")"),"Եղանակի կանխատեսում ձեր կայքում")</f>
        <v>Եղանակի կանխատեսում ձեր կայքում</v>
      </c>
      <c r="G15" s="3" t="str">
        <f>IFERROR(__xludf.DUMMYFUNCTION("GoogleTranslate(C15, ""en"", ""vi"")"),"Dự báo thời tiết trên trang web của bạn")</f>
        <v>Dự báo thời tiết trên trang web của bạn</v>
      </c>
      <c r="H15" s="3" t="str">
        <f>IFERROR(__xludf.DUMMYFUNCTION("GoogleTranslate(C15, ""en"", ""az"")"),"Veb saytınızda hava proqnozu")</f>
        <v>Veb saytınızda hava proqnozu</v>
      </c>
      <c r="I15" s="3" t="str">
        <f>IFERROR(__xludf.DUMMYFUNCTION("GoogleTranslate(C15, ""en"", ""eu"")"),"Eguraldi iragarpena zure webgunean")</f>
        <v>Eguraldi iragarpena zure webgunean</v>
      </c>
      <c r="J15" s="3" t="str">
        <f>IFERROR(__xludf.DUMMYFUNCTION("GoogleTranslate(C15, ""en"", ""be"")"),"Прагноз надвор'я на вашым сайце")</f>
        <v>Прагноз надвор'я на вашым сайце</v>
      </c>
      <c r="K15" s="3" t="str">
        <f>IFERROR(__xludf.DUMMYFUNCTION("GoogleTranslate(C15, ""en"", ""bn"")"),"আপনার ওয়েবসাইটে আবহাওয়ার পূর্বাভাস")</f>
        <v>আপনার ওয়েবসাইটে আবহাওয়ার পূর্বাভাস</v>
      </c>
      <c r="L15" s="3" t="str">
        <f>IFERROR(__xludf.DUMMYFUNCTION("GoogleTranslate(C15, ""en"", ""bg"")"),"Прогноза за времето на вашия уебсайт")</f>
        <v>Прогноза за времето на вашия уебсайт</v>
      </c>
      <c r="M15" s="3" t="str">
        <f>IFERROR(__xludf.DUMMYFUNCTION("GoogleTranslate(C15, ""en"", ""my"")"),"သင့်ဝဘ်ဆိုဒ်တွင် မိုးလေဝသခန့်မှန်းချက်")</f>
        <v>သင့်ဝဘ်ဆိုဒ်တွင် မိုးလေဝသခန့်မှန်းချက်</v>
      </c>
      <c r="N15" s="3" t="str">
        <f>IFERROR(__xludf.DUMMYFUNCTION("GoogleTranslate(C15, ""en"", ""ca"")"),"Previsió del temps al vostre lloc web")</f>
        <v>Previsió del temps al vostre lloc web</v>
      </c>
      <c r="O15" s="3" t="str">
        <f>IFERROR(__xludf.DUMMYFUNCTION("GoogleTranslate(C15, ""en"", ""zh-cn"")"),"您网站上的天气预报")</f>
        <v>您网站上的天气预报</v>
      </c>
      <c r="P15" s="3" t="str">
        <f>IFERROR(__xludf.DUMMYFUNCTION("GoogleTranslate(C15, ""en"", ""zh-TW"")"),"您網站上的天氣預報")</f>
        <v>您網站上的天氣預報</v>
      </c>
      <c r="Q15" s="3" t="str">
        <f>IFERROR(__xludf.DUMMYFUNCTION("GoogleTranslate(C15, ""en"", ""hr"")"),"Vremenska prognoza na vašoj web stranici")</f>
        <v>Vremenska prognoza na vašoj web stranici</v>
      </c>
      <c r="R15" s="3" t="str">
        <f>IFERROR(__xludf.DUMMYFUNCTION("GoogleTranslate(C15, ""en"", ""cs"")"),"Předpověď počasí na vašem webu")</f>
        <v>Předpověď počasí na vašem webu</v>
      </c>
      <c r="S15" s="3" t="str">
        <f>IFERROR(__xludf.DUMMYFUNCTION("GoogleTranslate(C15, ""en"", ""da"")"),"Vejrudsigt på din hjemmeside")</f>
        <v>Vejrudsigt på din hjemmeside</v>
      </c>
      <c r="T15" s="3" t="str">
        <f>IFERROR(__xludf.DUMMYFUNCTION("GoogleTranslate(C15, ""en"", ""nl"")"),"Weersvoorspelling op uw website")</f>
        <v>Weersvoorspelling op uw website</v>
      </c>
      <c r="U15" s="3" t="str">
        <f>IFERROR(__xludf.DUMMYFUNCTION("GoogleTranslate(C15, ""en"", ""et"")"),"Ilmateade teie veebisaidil")</f>
        <v>Ilmateade teie veebisaidil</v>
      </c>
      <c r="V15" s="1" t="str">
        <f t="shared" si="3"/>
        <v>Weather forecast on your website</v>
      </c>
      <c r="W15" s="3" t="str">
        <f>IFERROR(__xludf.DUMMYFUNCTION("GoogleTranslate(C15, ""en"", ""fi"")"),"Sääennuste verkkosivuillasi")</f>
        <v>Sääennuste verkkosivuillasi</v>
      </c>
      <c r="X15" s="3" t="str">
        <f>IFERROR(__xludf.DUMMYFUNCTION("GoogleTranslate(C15, ""en"", ""fr"")"),"Prévisions météo sur votre site Internet")</f>
        <v>Prévisions météo sur votre site Internet</v>
      </c>
      <c r="Y15" s="3" t="str">
        <f>IFERROR(__xludf.DUMMYFUNCTION("GoogleTranslate(C15, ""en"", ""de"")"),"Wettervorhersage auf Ihrer Website")</f>
        <v>Wettervorhersage auf Ihrer Website</v>
      </c>
      <c r="Z15" s="3" t="str">
        <f>IFERROR(__xludf.DUMMYFUNCTION("GoogleTranslate(C15, ""en"", ""el"")"),"Πρόγνωση καιρού στην ιστοσελίδα σας")</f>
        <v>Πρόγνωση καιρού στην ιστοσελίδα σας</v>
      </c>
      <c r="AA15" s="3" t="str">
        <f>IFERROR(__xludf.DUMMYFUNCTION("GoogleTranslate(C15, ""en"", ""iw"")"),"תחזית מזג האוויר באתר שלך")</f>
        <v>תחזית מזג האוויר באתר שלך</v>
      </c>
      <c r="AB15" s="3" t="str">
        <f>IFERROR(__xludf.DUMMYFUNCTION("GoogleTranslate(C15, ""en"", ""hi"")"),"आपकी वेबसाइट पर मौसम का पूर्वानुमान")</f>
        <v>आपकी वेबसाइट पर मौसम का पूर्वानुमान</v>
      </c>
      <c r="AC15" s="3" t="str">
        <f>IFERROR(__xludf.DUMMYFUNCTION("GoogleTranslate(C15, ""en"", ""hu"")"),"Időjárás előrejelzés a webhelyén")</f>
        <v>Időjárás előrejelzés a webhelyén</v>
      </c>
      <c r="AD15" s="3" t="str">
        <f>IFERROR(__xludf.DUMMYFUNCTION("GoogleTranslate(C15, ""en"", ""is"")"),"Veðurspá á vefsíðunni þinni")</f>
        <v>Veðurspá á vefsíðunni þinni</v>
      </c>
      <c r="AE15" s="3" t="str">
        <f>IFERROR(__xludf.DUMMYFUNCTION("GoogleTranslate(C15, ""en"", ""id"")"),"Prakiraan cuaca di situs web Anda")</f>
        <v>Prakiraan cuaca di situs web Anda</v>
      </c>
      <c r="AF15" s="3" t="str">
        <f>IFERROR(__xludf.DUMMYFUNCTION("GoogleTranslate(C15, ""en"", ""in"")"),"Prakiraan cuaca di situs web Anda")</f>
        <v>Prakiraan cuaca di situs web Anda</v>
      </c>
      <c r="AG15" s="3" t="str">
        <f>IFERROR(__xludf.DUMMYFUNCTION("GoogleTranslate(C15, ""en"", ""it"")"),"Previsioni del tempo sul tuo sito web")</f>
        <v>Previsioni del tempo sul tuo sito web</v>
      </c>
      <c r="AH15" s="3" t="str">
        <f>IFERROR(__xludf.DUMMYFUNCTION("GoogleTranslate(C15, ""en"", ""ja"")"),"ウェブサイト上の天気予報")</f>
        <v>ウェブサイト上の天気予報</v>
      </c>
      <c r="AI15" s="3" t="str">
        <f>IFERROR(__xludf.DUMMYFUNCTION("GoogleTranslate(C15, ""en"", ""kn"")"),"ನಿಮ್ಮ ವೆಬ್‌ಸೈಟ್‌ನಲ್ಲಿ ಹವಾಮಾನ ಮುನ್ಸೂಚನೆ")</f>
        <v>ನಿಮ್ಮ ವೆಬ್‌ಸೈಟ್‌ನಲ್ಲಿ ಹವಾಮಾನ ಮುನ್ಸೂಚನೆ</v>
      </c>
      <c r="AJ15" s="3" t="str">
        <f>IFERROR(__xludf.DUMMYFUNCTION("GoogleTranslate(C15, ""en"", ""km"")"),"ការព្យាករណ៍អាកាសធាតុនៅលើគេហទំព័ររបស់អ្នក។")</f>
        <v>ការព្យាករណ៍អាកាសធាតុនៅលើគេហទំព័ររបស់អ្នក។</v>
      </c>
      <c r="AK15" s="3" t="str">
        <f>IFERROR(__xludf.DUMMYFUNCTION("GoogleTranslate(C15, ""en"", ""ko"")"),"웹사이트의 일기 예보")</f>
        <v>웹사이트의 일기 예보</v>
      </c>
      <c r="AL15" s="3" t="str">
        <f>IFERROR(__xludf.DUMMYFUNCTION("GoogleTranslate(C15, ""en"", ""lo"")"),"ການພະຍາກອນອາກາດຢູ່ໃນເວັບໄຊທ໌ຂອງທ່ານ")</f>
        <v>ການພະຍາກອນອາກາດຢູ່ໃນເວັບໄຊທ໌ຂອງທ່ານ</v>
      </c>
      <c r="AM15" s="3" t="str">
        <f>IFERROR(__xludf.DUMMYFUNCTION("GoogleTranslate(C15, ""en"", ""lv"")"),"Laika prognoze jūsu vietnē")</f>
        <v>Laika prognoze jūsu vietnē</v>
      </c>
      <c r="AN15" s="3" t="str">
        <f>IFERROR(__xludf.DUMMYFUNCTION("GoogleTranslate(C15, ""en"", ""lt"")"),"Orų prognozė jūsų svetainėje")</f>
        <v>Orų prognozė jūsų svetainėje</v>
      </c>
      <c r="AO15" s="3" t="str">
        <f>IFERROR(__xludf.DUMMYFUNCTION("GoogleTranslate(C15, ""en"", ""mk"")"),"Временска прогноза на вашата веб-страница")</f>
        <v>Временска прогноза на вашата веб-страница</v>
      </c>
      <c r="AP15" s="3" t="str">
        <f>IFERROR(__xludf.DUMMYFUNCTION("GoogleTranslate(C15, ""en"", ""ms"")"),"Ramalan cuaca di tapak web anda")</f>
        <v>Ramalan cuaca di tapak web anda</v>
      </c>
      <c r="AQ15" s="3" t="str">
        <f>IFERROR(__xludf.DUMMYFUNCTION("GoogleTranslate(C15, ""en"", ""ml"")"),"നിങ്ങളുടെ വെബ്‌സൈറ്റിലെ കാലാവസ്ഥാ പ്രവചനം")</f>
        <v>നിങ്ങളുടെ വെബ്‌സൈറ്റിലെ കാലാവസ്ഥാ പ്രവചനം</v>
      </c>
      <c r="AR15" s="3" t="str">
        <f>IFERROR(__xludf.DUMMYFUNCTION("GoogleTranslate(C15, ""en"", ""mr"")"),"तुमच्या वेबसाइटवर हवामानाचा अंदाज")</f>
        <v>तुमच्या वेबसाइटवर हवामानाचा अंदाज</v>
      </c>
      <c r="AS15" s="3" t="str">
        <f>IFERROR(__xludf.DUMMYFUNCTION("GoogleTranslate(C15, ""en"", ""mn"")"),"Таны вэбсайт дээрх цаг агаарын урьдчилсан мэдээ")</f>
        <v>Таны вэбсайт дээрх цаг агаарын урьдчилсан мэдээ</v>
      </c>
      <c r="AT15" s="3" t="str">
        <f>IFERROR(__xludf.DUMMYFUNCTION("GoogleTranslate(C15, ""en"", ""ne"")"),"तपाईंको वेबसाइटमा मौसम पूर्वानुमान")</f>
        <v>तपाईंको वेबसाइटमा मौसम पूर्वानुमान</v>
      </c>
      <c r="AU15" s="3" t="str">
        <f>IFERROR(__xludf.DUMMYFUNCTION("GoogleTranslate(C15, ""en"", ""nb"")"),"Værmelding på nettstedet ditt")</f>
        <v>Værmelding på nettstedet ditt</v>
      </c>
      <c r="AV15" s="3" t="str">
        <f>IFERROR(__xludf.DUMMYFUNCTION("GoogleTranslate(C15, ""en"", ""fa"")"),"پیش بینی آب و هوا در وب سایت شما")</f>
        <v>پیش بینی آب و هوا در وب سایت شما</v>
      </c>
      <c r="AW15" s="3" t="str">
        <f>IFERROR(__xludf.DUMMYFUNCTION("GoogleTranslate(C15, ""en"", ""pl"")"),"Prognoza pogody na Twojej stronie internetowej")</f>
        <v>Prognoza pogody na Twojej stronie internetowej</v>
      </c>
      <c r="AX15" s="3" t="str">
        <f>IFERROR(__xludf.DUMMYFUNCTION("GoogleTranslate(C15, ""en"", ""pt"")"),"Previsão do tempo em seu site")</f>
        <v>Previsão do tempo em seu site</v>
      </c>
      <c r="AY15" s="3" t="str">
        <f>IFERROR(__xludf.DUMMYFUNCTION("GoogleTranslate(C15, ""en"", ""ro"")"),"Prognoza meteo pe site-ul dvs")</f>
        <v>Prognoza meteo pe site-ul dvs</v>
      </c>
      <c r="AZ15" s="3" t="str">
        <f>IFERROR(__xludf.DUMMYFUNCTION("GoogleTranslate(C15, ""en"", ""ru"")"),"Прогноз погоды на вашем сайте")</f>
        <v>Прогноз погоды на вашем сайте</v>
      </c>
      <c r="BA15" s="3" t="str">
        <f>IFERROR(__xludf.DUMMYFUNCTION("GoogleTranslate(C15, ""en"", ""sr"")"),"Временска прогноза на вашем сајту")</f>
        <v>Временска прогноза на вашем сајту</v>
      </c>
      <c r="BB15" s="3" t="str">
        <f>IFERROR(__xludf.DUMMYFUNCTION("GoogleTranslate(C15, ""en"", ""si"")"),"ඔබේ වෙබ් අඩවියේ කාලගුණ අනාවැකිය")</f>
        <v>ඔබේ වෙබ් අඩවියේ කාලගුණ අනාවැකිය</v>
      </c>
      <c r="BC15" s="3" t="str">
        <f>IFERROR(__xludf.DUMMYFUNCTION("GoogleTranslate(C15, ""en"", ""sk"")"),"Predpoveď počasia na vašom webe")</f>
        <v>Predpoveď počasia na vašom webe</v>
      </c>
      <c r="BD15" s="3" t="str">
        <f>IFERROR(__xludf.DUMMYFUNCTION("GoogleTranslate(C15, ""en"", ""sl"")"),"Vremenska napoved na vaši spletni strani")</f>
        <v>Vremenska napoved na vaši spletni strani</v>
      </c>
      <c r="BE15" s="3" t="str">
        <f>IFERROR(__xludf.DUMMYFUNCTION("GoogleTranslate(C15, ""en"", ""es"")"),"Previsión del tiempo en tu web")</f>
        <v>Previsión del tiempo en tu web</v>
      </c>
      <c r="BF15" s="3" t="str">
        <f>IFERROR(__xludf.DUMMYFUNCTION("GoogleTranslate(C15, ""en"", ""sw"")"),"Utabiri wa hali ya hewa kwenye tovuti yako")</f>
        <v>Utabiri wa hali ya hewa kwenye tovuti yako</v>
      </c>
      <c r="BG15" s="3" t="str">
        <f>IFERROR(__xludf.DUMMYFUNCTION("GoogleTranslate(C15, ""en"", ""sv"")"),"Väderprognos på din hemsida")</f>
        <v>Väderprognos på din hemsida</v>
      </c>
      <c r="BH15" s="3" t="str">
        <f>IFERROR(__xludf.DUMMYFUNCTION("GoogleTranslate(C15, ""en"", ""te"")"),"మీ వెబ్‌సైట్‌లో వాతావరణ సూచన")</f>
        <v>మీ వెబ్‌సైట్‌లో వాతావరణ సూచన</v>
      </c>
      <c r="BI15" s="3" t="str">
        <f>IFERROR(__xludf.DUMMYFUNCTION("GoogleTranslate(C15, ""en"", ""th"")"),"พยากรณ์อากาศบนเว็บไซต์ของคุณ")</f>
        <v>พยากรณ์อากาศบนเว็บไซต์ของคุณ</v>
      </c>
      <c r="BJ15" s="3" t="str">
        <f>IFERROR(__xludf.DUMMYFUNCTION("GoogleTranslate(C15, ""en"", ""tr"")"),"Web sitenizde hava durumu tahmini")</f>
        <v>Web sitenizde hava durumu tahmini</v>
      </c>
      <c r="BK15" s="3" t="str">
        <f>IFERROR(__xludf.DUMMYFUNCTION("GoogleTranslate(C15, ""en"", ""uk"")"),"Прогноз погоди на вашому сайті")</f>
        <v>Прогноз погоди на вашому сайті</v>
      </c>
      <c r="BL15" s="3" t="str">
        <f>IFERROR(__xludf.DUMMYFUNCTION("GoogleTranslate(C15, ""en"", ""zu"")"),"Isibikezelo sezulu kuwebhusayithi yakho")</f>
        <v>Isibikezelo sezulu kuwebhusayithi yakho</v>
      </c>
    </row>
    <row r="16">
      <c r="A16" s="1" t="str">
        <f t="shared" si="1"/>
        <v>Create_a_custom_code_for_your_website_and_copy_the_embed_code_and_add_it_to_the_location_you_want_to_display_on_your_website.</v>
      </c>
      <c r="B16" s="4" t="s">
        <v>78</v>
      </c>
      <c r="C16" s="1" t="str">
        <f t="shared" si="2"/>
        <v>Create a custom code for your website and copy the embed code and add it to the location you want to display on your website.</v>
      </c>
      <c r="D16" s="3" t="str">
        <f>IFERROR(__xludf.DUMMYFUNCTION("GoogleTranslate(C16, ""en"", ""es"")"),"Cree un código personalizado para su sitio web, copie el código de inserción y agréguelo a la ubicación que desea mostrar en su sitio web.")</f>
        <v>Cree un código personalizado para su sitio web, copie el código de inserción y agréguelo a la ubicación que desea mostrar en su sitio web.</v>
      </c>
      <c r="E16" s="3" t="str">
        <f>IFERROR(__xludf.DUMMYFUNCTION("GoogleTranslate(C16, ""en"", ""ar"")"),"أنشئ رمزًا مخصصًا لموقعك على الويب وانسخ رمز التضمين وأضفه إلى الموقع الذي تريد عرضه على موقع الويب الخاص بك.")</f>
        <v>أنشئ رمزًا مخصصًا لموقعك على الويب وانسخ رمز التضمين وأضفه إلى الموقع الذي تريد عرضه على موقع الويب الخاص بك.</v>
      </c>
      <c r="F16" s="3" t="str">
        <f>IFERROR(__xludf.DUMMYFUNCTION("GoogleTranslate(C16, ""en"", ""hy"")"),"Ստեղծեք հատուկ կոդ ձեր կայքի համար և պատճենեք ներկառուցված կոդը և ավելացրեք այն այն վայրում, որը ցանկանում եք ցուցադրել ձեր կայքում:")</f>
        <v>Ստեղծեք հատուկ կոդ ձեր կայքի համար և պատճենեք ներկառուցված կոդը և ավելացրեք այն այն վայրում, որը ցանկանում եք ցուցադրել ձեր կայքում:</v>
      </c>
      <c r="G16" s="3" t="str">
        <f>IFERROR(__xludf.DUMMYFUNCTION("GoogleTranslate(C16, ""en"", ""vi"")"),"Tạo mã tùy chỉnh cho trang web của bạn và sao chép mã nhúng rồi thêm mã đó vào vị trí bạn muốn hiển thị trên trang web của mình.")</f>
        <v>Tạo mã tùy chỉnh cho trang web của bạn và sao chép mã nhúng rồi thêm mã đó vào vị trí bạn muốn hiển thị trên trang web của mình.</v>
      </c>
      <c r="H16" s="3" t="str">
        <f>IFERROR(__xludf.DUMMYFUNCTION("GoogleTranslate(C16, ""en"", ""az"")"),"Veb saytınız üçün xüsusi kod yaradın və daxiletmə kodunu kopyalayın və veb saytınızda göstərmək istədiyiniz yerə əlavə edin.")</f>
        <v>Veb saytınız üçün xüsusi kod yaradın və daxiletmə kodunu kopyalayın və veb saytınızda göstərmək istədiyiniz yerə əlavə edin.</v>
      </c>
      <c r="I16" s="3" t="str">
        <f>IFERROR(__xludf.DUMMYFUNCTION("GoogleTranslate(C16, ""en"", ""eu"")"),"Sortu kode pertsonalizatu bat zure webgunerako eta kopiatu kapsulatu kodea eta gehitu zure webgunean erakutsi nahi duzun kokapenean.")</f>
        <v>Sortu kode pertsonalizatu bat zure webgunerako eta kopiatu kapsulatu kodea eta gehitu zure webgunean erakutsi nahi duzun kokapenean.</v>
      </c>
      <c r="J16" s="3" t="str">
        <f>IFERROR(__xludf.DUMMYFUNCTION("GoogleTranslate(C16, ""en"", ""be"")"),"Стварыце карыстальніцкі код для вашага вэб-сайта, скапіруйце код убудавання і дадайце яго ў месца, якое вы хочаце паказаць на сваім вэб-сайце.")</f>
        <v>Стварыце карыстальніцкі код для вашага вэб-сайта, скапіруйце код убудавання і дадайце яго ў месца, якое вы хочаце паказаць на сваім вэб-сайце.</v>
      </c>
      <c r="K16" s="3" t="str">
        <f>IFERROR(__xludf.DUMMYFUNCTION("GoogleTranslate(C16, ""en"", ""bn"")"),"আপনার ওয়েবসাইটের জন্য একটি কাস্টম কোড তৈরি করুন এবং এম্বেড কোডটি অনুলিপি করুন এবং আপনি আপনার ওয়েবসাইটে প্রদর্শন করতে চান এমন অবস্থানে এটি যোগ করুন।")</f>
        <v>আপনার ওয়েবসাইটের জন্য একটি কাস্টম কোড তৈরি করুন এবং এম্বেড কোডটি অনুলিপি করুন এবং আপনি আপনার ওয়েবসাইটে প্রদর্শন করতে চান এমন অবস্থানে এটি যোগ করুন।</v>
      </c>
      <c r="L16" s="3" t="str">
        <f>IFERROR(__xludf.DUMMYFUNCTION("GoogleTranslate(C16, ""en"", ""bg"")"),"Създайте персонализиран код за вашия уебсайт и копирайте кода за вграждане и го добавете към местоположението, което искате да показвате на вашия уебсайт.")</f>
        <v>Създайте персонализиран код за вашия уебсайт и копирайте кода за вграждане и го добавете към местоположението, което искате да показвате на вашия уебсайт.</v>
      </c>
      <c r="M16" s="3" t="str">
        <f>IFERROR(__xludf.DUMMYFUNCTION("GoogleTranslate(C16, ""en"", ""my"")"),"သင့်ဝဘ်ဆိုက်အတွက် စိတ်ကြိုက်ကုဒ်တစ်ခုကို ဖန်တီးပြီး မြှုပ်သွင်းကုဒ်ကို ကူးယူပြီး သင့်ဝဘ်ဆိုက်တွင် ပြသလိုသည့် တည်နေရာသို့ ထည့်ပါ။")</f>
        <v>သင့်ဝဘ်ဆိုက်အတွက် စိတ်ကြိုက်ကုဒ်တစ်ခုကို ဖန်တီးပြီး မြှုပ်သွင်းကုဒ်ကို ကူးယူပြီး သင့်ဝဘ်ဆိုက်တွင် ပြသလိုသည့် တည်နေရာသို့ ထည့်ပါ။</v>
      </c>
      <c r="N16" s="3" t="str">
        <f>IFERROR(__xludf.DUMMYFUNCTION("GoogleTranslate(C16, ""en"", ""ca"")"),"Creeu un codi personalitzat per al vostre lloc web i copieu el codi d'inserció i afegiu-lo a la ubicació que voleu mostrar al vostre lloc web.")</f>
        <v>Creeu un codi personalitzat per al vostre lloc web i copieu el codi d'inserció i afegiu-lo a la ubicació que voleu mostrar al vostre lloc web.</v>
      </c>
      <c r="O16" s="3" t="str">
        <f>IFERROR(__xludf.DUMMYFUNCTION("GoogleTranslate(C16, ""en"", ""zh-cn"")"),"为您的网站创建自定义代码，然后复制嵌入代码并将其添加到您想要在网站上显示的位置。")</f>
        <v>为您的网站创建自定义代码，然后复制嵌入代码并将其添加到您想要在网站上显示的位置。</v>
      </c>
      <c r="P16" s="3" t="str">
        <f>IFERROR(__xludf.DUMMYFUNCTION("GoogleTranslate(C16, ""en"", ""zh-TW"")"),"為您的網站建立自訂程式碼，然後複製嵌入程式碼並將其新增至您想要在網站上顯示的位置。")</f>
        <v>為您的網站建立自訂程式碼，然後複製嵌入程式碼並將其新增至您想要在網站上顯示的位置。</v>
      </c>
      <c r="Q16" s="3" t="str">
        <f>IFERROR(__xludf.DUMMYFUNCTION("GoogleTranslate(C16, ""en"", ""hr"")"),"Izradite prilagođeni kod za svoju web stranicu i kopirajte ugrađeni kod te ga dodajte na mjesto koje želite prikazati na svojoj web stranici.")</f>
        <v>Izradite prilagođeni kod za svoju web stranicu i kopirajte ugrađeni kod te ga dodajte na mjesto koje želite prikazati na svojoj web stranici.</v>
      </c>
      <c r="R16" s="3" t="str">
        <f>IFERROR(__xludf.DUMMYFUNCTION("GoogleTranslate(C16, ""en"", ""cs"")"),"Vytvořte vlastní kód pro svůj web a zkopírujte kód pro vložení a přidejte jej na místo, které chcete na svém webu zobrazit.")</f>
        <v>Vytvořte vlastní kód pro svůj web a zkopírujte kód pro vložení a přidejte jej na místo, které chcete na svém webu zobrazit.</v>
      </c>
      <c r="S16" s="3" t="str">
        <f>IFERROR(__xludf.DUMMYFUNCTION("GoogleTranslate(C16, ""en"", ""da"")"),"Opret en brugerdefineret kode til dit websted og kopier indlejringskoden og tilføj den til den placering, du vil vise på din hjemmeside.")</f>
        <v>Opret en brugerdefineret kode til dit websted og kopier indlejringskoden og tilføj den til den placering, du vil vise på din hjemmeside.</v>
      </c>
      <c r="T16" s="3" t="str">
        <f>IFERROR(__xludf.DUMMYFUNCTION("GoogleTranslate(C16, ""en"", ""nl"")"),"Maak een aangepaste code voor uw website, kopieer de insluitcode en voeg deze toe aan de locatie die u op uw website wilt weergeven.")</f>
        <v>Maak een aangepaste code voor uw website, kopieer de insluitcode en voeg deze toe aan de locatie die u op uw website wilt weergeven.</v>
      </c>
      <c r="U16" s="3" t="str">
        <f>IFERROR(__xludf.DUMMYFUNCTION("GoogleTranslate(C16, ""en"", ""et"")"),"Looge oma veebisaidi jaoks kohandatud kood ja kopeerige manustamiskood ning lisage see asukohta, mida soovite oma veebisaidil kuvada.")</f>
        <v>Looge oma veebisaidi jaoks kohandatud kood ja kopeerige manustamiskood ning lisage see asukohta, mida soovite oma veebisaidil kuvada.</v>
      </c>
      <c r="V16" s="1" t="str">
        <f t="shared" si="3"/>
        <v>Create a custom code for your website and copy the embed code and add it to the location you want to display on your website.</v>
      </c>
      <c r="W16" s="3" t="str">
        <f>IFERROR(__xludf.DUMMYFUNCTION("GoogleTranslate(C16, ""en"", ""fi"")"),"Luo mukautettu koodi verkkosivustollesi ja kopioi upotuskoodi ja lisää se sijaintiin, jonka haluat näyttää verkkosivustollasi.")</f>
        <v>Luo mukautettu koodi verkkosivustollesi ja kopioi upotuskoodi ja lisää se sijaintiin, jonka haluat näyttää verkkosivustollasi.</v>
      </c>
      <c r="X16" s="3" t="str">
        <f>IFERROR(__xludf.DUMMYFUNCTION("GoogleTranslate(C16, ""en"", ""fr"")"),"Créez un code personnalisé pour votre site Web, copiez le code d'intégration et ajoutez-le à l'emplacement que vous souhaitez afficher sur votre site Web.")</f>
        <v>Créez un code personnalisé pour votre site Web, copiez le code d'intégration et ajoutez-le à l'emplacement que vous souhaitez afficher sur votre site Web.</v>
      </c>
      <c r="Y16" s="3" t="str">
        <f>IFERROR(__xludf.DUMMYFUNCTION("GoogleTranslate(C16, ""en"", ""de"")"),"Erstellen Sie einen benutzerdefinierten Code für Ihre Website, kopieren Sie den Einbettungscode und fügen Sie ihn an der Stelle hinzu, die Sie auf Ihrer Website anzeigen möchten.")</f>
        <v>Erstellen Sie einen benutzerdefinierten Code für Ihre Website, kopieren Sie den Einbettungscode und fügen Sie ihn an der Stelle hinzu, die Sie auf Ihrer Website anzeigen möchten.</v>
      </c>
      <c r="Z16" s="3" t="str">
        <f>IFERROR(__xludf.DUMMYFUNCTION("GoogleTranslate(C16, ""en"", ""el"")"),"Δημιουργήστε έναν προσαρμοσμένο κώδικα για τον ιστότοπό σας και αντιγράψτε τον κώδικα ενσωμάτωσης και προσθέστε τον στην τοποθεσία που θέλετε να εμφανίζεται στον ιστότοπό σας.")</f>
        <v>Δημιουργήστε έναν προσαρμοσμένο κώδικα για τον ιστότοπό σας και αντιγράψτε τον κώδικα ενσωμάτωσης και προσθέστε τον στην τοποθεσία που θέλετε να εμφανίζεται στον ιστότοπό σας.</v>
      </c>
      <c r="AA16" s="3" t="str">
        <f>IFERROR(__xludf.DUMMYFUNCTION("GoogleTranslate(C16, ""en"", ""iw"")"),"צור קוד מותאם אישית עבור האתר שלך והעתק את קוד ההטמעה והוסף אותו למיקום שברצונך להציג באתר שלך.")</f>
        <v>צור קוד מותאם אישית עבור האתר שלך והעתק את קוד ההטמעה והוסף אותו למיקום שברצונך להציג באתר שלך.</v>
      </c>
      <c r="AB16" s="3" t="str">
        <f>IFERROR(__xludf.DUMMYFUNCTION("GoogleTranslate(C16, ""en"", ""hi"")"),"अपनी वेबसाइट के लिए एक कस्टम कोड बनाएं और एम्बेड कोड को कॉपी करें और इसे उस स्थान पर जोड़ें जिसे आप अपनी वेबसाइट पर प्रदर्शित करना चाहते हैं।")</f>
        <v>अपनी वेबसाइट के लिए एक कस्टम कोड बनाएं और एम्बेड कोड को कॉपी करें और इसे उस स्थान पर जोड़ें जिसे आप अपनी वेबसाइट पर प्रदर्शित करना चाहते हैं।</v>
      </c>
      <c r="AC16" s="3" t="str">
        <f>IFERROR(__xludf.DUMMYFUNCTION("GoogleTranslate(C16, ""en"", ""hu"")"),"Hozzon létre egyéni kódot webhelyéhez, másolja ki a beágyazási kódot, és adja hozzá a webhelyen megjeleníteni kívánt helyre.")</f>
        <v>Hozzon létre egyéni kódot webhelyéhez, másolja ki a beágyazási kódot, és adja hozzá a webhelyen megjeleníteni kívánt helyre.</v>
      </c>
      <c r="AD16" s="3" t="str">
        <f>IFERROR(__xludf.DUMMYFUNCTION("GoogleTranslate(C16, ""en"", ""is"")"),"Búðu til sérsniðinn kóða fyrir vefsíðuna þína og afritaðu innfellingarkóðann og bættu honum við staðsetninguna sem þú vilt birta á vefsíðunni þinni.")</f>
        <v>Búðu til sérsniðinn kóða fyrir vefsíðuna þína og afritaðu innfellingarkóðann og bættu honum við staðsetninguna sem þú vilt birta á vefsíðunni þinni.</v>
      </c>
      <c r="AE16" s="3" t="str">
        <f>IFERROR(__xludf.DUMMYFUNCTION("GoogleTranslate(C16, ""en"", ""id"")"),"Buat kode khusus untuk situs web Anda dan salin kode semat dan tambahkan ke lokasi yang ingin Anda tampilkan di situs web Anda.")</f>
        <v>Buat kode khusus untuk situs web Anda dan salin kode semat dan tambahkan ke lokasi yang ingin Anda tampilkan di situs web Anda.</v>
      </c>
      <c r="AF16" s="3" t="str">
        <f>IFERROR(__xludf.DUMMYFUNCTION("GoogleTranslate(C16, ""en"", ""in"")"),"Buat kode khusus untuk situs web Anda dan salin kode semat dan tambahkan ke lokasi yang ingin Anda tampilkan di situs web Anda.")</f>
        <v>Buat kode khusus untuk situs web Anda dan salin kode semat dan tambahkan ke lokasi yang ingin Anda tampilkan di situs web Anda.</v>
      </c>
      <c r="AG16" s="3" t="str">
        <f>IFERROR(__xludf.DUMMYFUNCTION("GoogleTranslate(C16, ""en"", ""it"")"),"Crea un codice personalizzato per il tuo sito web, copia il codice di incorporamento e aggiungilo alla posizione che desideri visualizzare sul tuo sito web.")</f>
        <v>Crea un codice personalizzato per il tuo sito web, copia il codice di incorporamento e aggiungilo alla posizione che desideri visualizzare sul tuo sito web.</v>
      </c>
      <c r="AH16" s="3" t="str">
        <f>IFERROR(__xludf.DUMMYFUNCTION("GoogleTranslate(C16, ""en"", ""ja"")"),"Web サイトのカスタム コードを作成し、埋め込みコードをコピーして、Web サイト上の表示する場所に追加します。")</f>
        <v>Web サイトのカスタム コードを作成し、埋め込みコードをコピーして、Web サイト上の表示する場所に追加します。</v>
      </c>
      <c r="AI16" s="3" t="str">
        <f>IFERROR(__xludf.DUMMYFUNCTION("GoogleTranslate(C16, ""en"", ""kn"")"),"ನಿಮ್ಮ ವೆಬ್‌ಸೈಟ್‌ಗಾಗಿ ಕಸ್ಟಮ್ ಕೋಡ್ ಅನ್ನು ರಚಿಸಿ ಮತ್ತು ಎಂಬೆಡ್ ಕೋಡ್ ಅನ್ನು ನಕಲಿಸಿ ಮತ್ತು ನಿಮ್ಮ ವೆಬ್‌ಸೈಟ್‌ನಲ್ಲಿ ನೀವು ಪ್ರದರ್ಶಿಸಲು ಬಯಸುವ ಸ್ಥಳಕ್ಕೆ ಸೇರಿಸಿ.")</f>
        <v>ನಿಮ್ಮ ವೆಬ್‌ಸೈಟ್‌ಗಾಗಿ ಕಸ್ಟಮ್ ಕೋಡ್ ಅನ್ನು ರಚಿಸಿ ಮತ್ತು ಎಂಬೆಡ್ ಕೋಡ್ ಅನ್ನು ನಕಲಿಸಿ ಮತ್ತು ನಿಮ್ಮ ವೆಬ್‌ಸೈಟ್‌ನಲ್ಲಿ ನೀವು ಪ್ರದರ್ಶಿಸಲು ಬಯಸುವ ಸ್ಥಳಕ್ಕೆ ಸೇರಿಸಿ.</v>
      </c>
      <c r="AJ16" s="3" t="str">
        <f>IFERROR(__xludf.DUMMYFUNCTION("GoogleTranslate(C16, ""en"", ""km"")"),"បង្កើតកូដផ្ទាល់ខ្លួនសម្រាប់គេហទំព័ររបស់អ្នក ហើយចម្លងកូដបង្កប់ ហើយបន្ថែមវាទៅទីតាំងដែលអ្នកចង់បង្ហាញនៅលើគេហទំព័ររបស់អ្នក។")</f>
        <v>បង្កើតកូដផ្ទាល់ខ្លួនសម្រាប់គេហទំព័ររបស់អ្នក ហើយចម្លងកូដបង្កប់ ហើយបន្ថែមវាទៅទីតាំងដែលអ្នកចង់បង្ហាញនៅលើគេហទំព័ររបស់អ្នក។</v>
      </c>
      <c r="AK16" s="3" t="str">
        <f>IFERROR(__xludf.DUMMYFUNCTION("GoogleTranslate(C16, ""en"", ""ko"")"),"웹사이트에 대한 사용자 정의 코드를 생성하고 임베드 코드를 복사하여 웹사이트에 표시하려는 위치에 추가하세요.")</f>
        <v>웹사이트에 대한 사용자 정의 코드를 생성하고 임베드 코드를 복사하여 웹사이트에 표시하려는 위치에 추가하세요.</v>
      </c>
      <c r="AL16" s="3" t="str">
        <f>IFERROR(__xludf.DUMMYFUNCTION("GoogleTranslate(C16, ""en"", ""lo"")"),"ສ້າງລະຫັດທີ່ກໍາຫນົດເອງສໍາລັບເວັບໄຊທ໌ຂອງທ່ານແລະຄັດລອກລະຫັດຝັງແລະເພີ່ມມັນໃສ່ສະຖານທີ່ທີ່ທ່ານຕ້ອງການສະແດງຢູ່ໃນເວັບໄຊທ໌ຂອງທ່ານ.")</f>
        <v>ສ້າງລະຫັດທີ່ກໍາຫນົດເອງສໍາລັບເວັບໄຊທ໌ຂອງທ່ານແລະຄັດລອກລະຫັດຝັງແລະເພີ່ມມັນໃສ່ສະຖານທີ່ທີ່ທ່ານຕ້ອງການສະແດງຢູ່ໃນເວັບໄຊທ໌ຂອງທ່ານ.</v>
      </c>
      <c r="AM16" s="3" t="str">
        <f>IFERROR(__xludf.DUMMYFUNCTION("GoogleTranslate(C16, ""en"", ""lv"")"),"Izveidojiet savai vietnei pielāgotu kodu, nokopējiet iegulšanas kodu un pievienojiet to vietai, kuru vēlaties rādīt savā vietnē.")</f>
        <v>Izveidojiet savai vietnei pielāgotu kodu, nokopējiet iegulšanas kodu un pievienojiet to vietai, kuru vēlaties rādīt savā vietnē.</v>
      </c>
      <c r="AN16" s="3" t="str">
        <f>IFERROR(__xludf.DUMMYFUNCTION("GoogleTranslate(C16, ""en"", ""lt"")"),"Sukurkite tinkintą savo svetainės kodą, nukopijuokite įterpimo kodą ir pridėkite jį prie vietos, kurią norite rodyti savo svetainėje.")</f>
        <v>Sukurkite tinkintą savo svetainės kodą, nukopijuokite įterpimo kodą ir pridėkite jį prie vietos, kurią norite rodyti savo svetainėje.</v>
      </c>
      <c r="AO16" s="3" t="str">
        <f>IFERROR(__xludf.DUMMYFUNCTION("GoogleTranslate(C16, ""en"", ""mk"")"),"Направете сопствен код за вашата веб-локација и копирајте го кодот за вградување и додајте го на локацијата што сакате да ја прикажете на вашата веб-локација.")</f>
        <v>Направете сопствен код за вашата веб-локација и копирајте го кодот за вградување и додајте го на локацијата што сакате да ја прикажете на вашата веб-локација.</v>
      </c>
      <c r="AP16" s="3" t="str">
        <f>IFERROR(__xludf.DUMMYFUNCTION("GoogleTranslate(C16, ""en"", ""ms"")"),"Buat kod tersuai untuk tapak web anda dan salin kod benam dan tambahkannya pada lokasi yang anda mahu paparkan di tapak web anda.")</f>
        <v>Buat kod tersuai untuk tapak web anda dan salin kod benam dan tambahkannya pada lokasi yang anda mahu paparkan di tapak web anda.</v>
      </c>
      <c r="AQ16" s="3" t="str">
        <f>IFERROR(__xludf.DUMMYFUNCTION("GoogleTranslate(C16, ""en"", ""ml"")"),"നിങ്ങളുടെ വെബ്‌സൈറ്റിനായി ഒരു ഇഷ്‌ടാനുസൃത കോഡ് സൃഷ്‌ടിച്ച് എംബെഡ് കോഡ് പകർത്തി നിങ്ങളുടെ വെബ്‌സൈറ്റിൽ പ്രദർശിപ്പിക്കാൻ ആഗ്രഹിക്കുന്ന സ്ഥലത്തേക്ക് ചേർക്കുക.")</f>
        <v>നിങ്ങളുടെ വെബ്‌സൈറ്റിനായി ഒരു ഇഷ്‌ടാനുസൃത കോഡ് സൃഷ്‌ടിച്ച് എംബെഡ് കോഡ് പകർത്തി നിങ്ങളുടെ വെബ്‌സൈറ്റിൽ പ്രദർശിപ്പിക്കാൻ ആഗ്രഹിക്കുന്ന സ്ഥലത്തേക്ക് ചേർക്കുക.</v>
      </c>
      <c r="AR16" s="3" t="str">
        <f>IFERROR(__xludf.DUMMYFUNCTION("GoogleTranslate(C16, ""en"", ""mr"")"),"तुमच्या वेबसाइटसाठी एक सानुकूल कोड तयार करा आणि एम्बेड कोड कॉपी करा आणि तुम्हाला तुमच्या वेबसाइटवर प्रदर्शित करायचे असलेल्या स्थानावर जोडा.")</f>
        <v>तुमच्या वेबसाइटसाठी एक सानुकूल कोड तयार करा आणि एम्बेड कोड कॉपी करा आणि तुम्हाला तुमच्या वेबसाइटवर प्रदर्शित करायचे असलेल्या स्थानावर जोडा.</v>
      </c>
      <c r="AS16" s="3" t="str">
        <f>IFERROR(__xludf.DUMMYFUNCTION("GoogleTranslate(C16, ""en"", ""mn"")"),"Вэбсайтдаа тусгай код үүсгэж, оруулах кодыг хуулж, вэбсайт дээрээ харуулахыг хүссэн байршилдаа нэмнэ үү.")</f>
        <v>Вэбсайтдаа тусгай код үүсгэж, оруулах кодыг хуулж, вэбсайт дээрээ харуулахыг хүссэн байршилдаа нэмнэ үү.</v>
      </c>
      <c r="AT16" s="3" t="str">
        <f>IFERROR(__xludf.DUMMYFUNCTION("GoogleTranslate(C16, ""en"", ""ne"")"),"तपाइँको वेबसाइट को लागी एक अनुकूलन कोड सिर्जना गर्नुहोस् र इम्बेड कोड प्रतिलिपि गर्नुहोस् र तपाइँ तपाइँको वेबसाइट मा प्रदर्शन गर्न चाहानु भएको स्थान मा थप्नुहोस्।")</f>
        <v>तपाइँको वेबसाइट को लागी एक अनुकूलन कोड सिर्जना गर्नुहोस् र इम्बेड कोड प्रतिलिपि गर्नुहोस् र तपाइँ तपाइँको वेबसाइट मा प्रदर्शन गर्न चाहानु भएको स्थान मा थप्नुहोस्।</v>
      </c>
      <c r="AU16" s="3" t="str">
        <f>IFERROR(__xludf.DUMMYFUNCTION("GoogleTranslate(C16, ""en"", ""nb"")"),"Lag en egendefinert kode for nettstedet ditt og kopier innbyggingskoden og legg den til stedet du vil vise på nettstedet ditt.")</f>
        <v>Lag en egendefinert kode for nettstedet ditt og kopier innbyggingskoden og legg den til stedet du vil vise på nettstedet ditt.</v>
      </c>
      <c r="AV16" s="3" t="str">
        <f>IFERROR(__xludf.DUMMYFUNCTION("GoogleTranslate(C16, ""en"", ""fa"")"),"یک کد سفارشی برای وب سایت خود ایجاد کنید و کد تعبیه شده را کپی کنید و آن را به مکانی که می خواهید در وب سایت خود نمایش دهید اضافه کنید.")</f>
        <v>یک کد سفارشی برای وب سایت خود ایجاد کنید و کد تعبیه شده را کپی کنید و آن را به مکانی که می خواهید در وب سایت خود نمایش دهید اضافه کنید.</v>
      </c>
      <c r="AW16" s="3" t="str">
        <f>IFERROR(__xludf.DUMMYFUNCTION("GoogleTranslate(C16, ""en"", ""pl"")"),"Utwórz niestandardowy kod dla swojej witryny, skopiuj kod do osadzenia i dodaj go do lokalizacji, którą chcesz wyświetlić na swojej stronie.")</f>
        <v>Utwórz niestandardowy kod dla swojej witryny, skopiuj kod do osadzenia i dodaj go do lokalizacji, którą chcesz wyświetlić na swojej stronie.</v>
      </c>
      <c r="AX16" s="3" t="str">
        <f>IFERROR(__xludf.DUMMYFUNCTION("GoogleTranslate(C16, ""en"", ""pt"")"),"Crie um código personalizado para o seu site, copie o código incorporado e adicione-o ao local que deseja exibir no seu site.")</f>
        <v>Crie um código personalizado para o seu site, copie o código incorporado e adicione-o ao local que deseja exibir no seu site.</v>
      </c>
      <c r="AY16" s="3" t="str">
        <f>IFERROR(__xludf.DUMMYFUNCTION("GoogleTranslate(C16, ""en"", ""ro"")"),"Creați un cod personalizat pentru site-ul dvs. și copiați codul de încorporare și adăugați-l la locația pe care doriți să o afișați pe site-ul dvs.")</f>
        <v>Creați un cod personalizat pentru site-ul dvs. și copiați codul de încorporare și adăugați-l la locația pe care doriți să o afișați pe site-ul dvs.</v>
      </c>
      <c r="AZ16" s="3" t="str">
        <f>IFERROR(__xludf.DUMMYFUNCTION("GoogleTranslate(C16, ""en"", ""ru"")"),"Создайте собственный код для своего веб-сайта, скопируйте код для внедрения и добавьте его в то место, которое вы хотите отобразить на своем веб-сайте.")</f>
        <v>Создайте собственный код для своего веб-сайта, скопируйте код для внедрения и добавьте его в то место, которое вы хотите отобразить на своем веб-сайте.</v>
      </c>
      <c r="BA16" s="3" t="str">
        <f>IFERROR(__xludf.DUMMYFUNCTION("GoogleTranslate(C16, ""en"", ""sr"")"),"Направите прилагођени код за своју веб локацију и копирајте код за уградњу и додајте га на локацију коју желите да прикажете на својој веб локацији.")</f>
        <v>Направите прилагођени код за своју веб локацију и копирајте код за уградњу и додајте га на локацију коју желите да прикажете на својој веб локацији.</v>
      </c>
      <c r="BB16" s="3" t="str">
        <f>IFERROR(__xludf.DUMMYFUNCTION("GoogleTranslate(C16, ""en"", ""si"")"),"ඔබේ වෙබ් අඩවිය සඳහා අභිරුචි කේතයක් සාදා කාවැද්දූ කේතය පිටපත් කර එය ඔබේ වෙබ් අඩවියේ පෙන්වීමට අවශ්‍ය ස්ථානයට එක් කරන්න.")</f>
        <v>ඔබේ වෙබ් අඩවිය සඳහා අභිරුචි කේතයක් සාදා කාවැද්දූ කේතය පිටපත් කර එය ඔබේ වෙබ් අඩවියේ පෙන්වීමට අවශ්‍ය ස්ථානයට එක් කරන්න.</v>
      </c>
      <c r="BC16" s="3" t="str">
        <f>IFERROR(__xludf.DUMMYFUNCTION("GoogleTranslate(C16, ""en"", ""sk"")"),"Vytvorte si vlastný kód pre svoj web a skopírujte kód na vloženie a pridajte ho na miesto, ktoré chcete zobraziť na svojej webovej lokalite.")</f>
        <v>Vytvorte si vlastný kód pre svoj web a skopírujte kód na vloženie a pridajte ho na miesto, ktoré chcete zobraziť na svojej webovej lokalite.</v>
      </c>
      <c r="BD16" s="3" t="str">
        <f>IFERROR(__xludf.DUMMYFUNCTION("GoogleTranslate(C16, ""en"", ""sl"")"),"Ustvarite kodo po meri za svoje spletno mesto in kopirajte vdelano kodo ter jo dodajte na mesto, ki ga želite prikazati na svojem spletnem mestu.")</f>
        <v>Ustvarite kodo po meri za svoje spletno mesto in kopirajte vdelano kodo ter jo dodajte na mesto, ki ga želite prikazati na svojem spletnem mestu.</v>
      </c>
      <c r="BE16" s="3" t="str">
        <f>IFERROR(__xludf.DUMMYFUNCTION("GoogleTranslate(C16, ""en"", ""es"")"),"Cree un código personalizado para su sitio web, copie el código de inserción y agréguelo a la ubicación que desea mostrar en su sitio web.")</f>
        <v>Cree un código personalizado para su sitio web, copie el código de inserción y agréguelo a la ubicación que desea mostrar en su sitio web.</v>
      </c>
      <c r="BF16" s="3" t="str">
        <f>IFERROR(__xludf.DUMMYFUNCTION("GoogleTranslate(C16, ""en"", ""sw"")"),"Unda msimbo maalum wa tovuti yako na unakili msimbo uliopachikwa na uuongeze kwenye eneo unalotaka kuonyesha kwenye tovuti yako.")</f>
        <v>Unda msimbo maalum wa tovuti yako na unakili msimbo uliopachikwa na uuongeze kwenye eneo unalotaka kuonyesha kwenye tovuti yako.</v>
      </c>
      <c r="BG16" s="3" t="str">
        <f>IFERROR(__xludf.DUMMYFUNCTION("GoogleTranslate(C16, ""en"", ""sv"")"),"Skapa en anpassad kod för din webbplats och kopiera inbäddningskoden och lägg till den på den plats du vill visa på din webbplats.")</f>
        <v>Skapa en anpassad kod för din webbplats och kopiera inbäddningskoden och lägg till den på den plats du vill visa på din webbplats.</v>
      </c>
      <c r="BH16" s="3" t="str">
        <f>IFERROR(__xludf.DUMMYFUNCTION("GoogleTranslate(C16, ""en"", ""te"")"),"మీ వెబ్‌సైట్ కోసం అనుకూల కోడ్‌ను సృష్టించండి మరియు పొందుపరిచిన కోడ్‌ను కాపీ చేసి, మీ వెబ్‌సైట్‌లో మీరు ప్రదర్శించాలనుకుంటున్న స్థానానికి జోడించండి.")</f>
        <v>మీ వెబ్‌సైట్ కోసం అనుకూల కోడ్‌ను సృష్టించండి మరియు పొందుపరిచిన కోడ్‌ను కాపీ చేసి, మీ వెబ్‌సైట్‌లో మీరు ప్రదర్శించాలనుకుంటున్న స్థానానికి జోడించండి.</v>
      </c>
      <c r="BI16" s="3" t="str">
        <f>IFERROR(__xludf.DUMMYFUNCTION("GoogleTranslate(C16, ""en"", ""th"")"),"สร้างโค้ดที่กำหนดเองสำหรับเว็บไซต์ของคุณ และคัดลอกโค้ดที่ฝังไว้และเพิ่มลงในตำแหน่งที่คุณต้องการแสดงบนเว็บไซต์ของคุณ")</f>
        <v>สร้างโค้ดที่กำหนดเองสำหรับเว็บไซต์ของคุณ และคัดลอกโค้ดที่ฝังไว้และเพิ่มลงในตำแหน่งที่คุณต้องการแสดงบนเว็บไซต์ของคุณ</v>
      </c>
      <c r="BJ16" s="3" t="str">
        <f>IFERROR(__xludf.DUMMYFUNCTION("GoogleTranslate(C16, ""en"", ""tr"")"),"Web siteniz için özel bir kod oluşturun ve yerleştirme kodunu kopyalayıp web sitenizde görüntülemek istediğiniz konuma ekleyin.")</f>
        <v>Web siteniz için özel bir kod oluşturun ve yerleştirme kodunu kopyalayıp web sitenizde görüntülemek istediğiniz konuma ekleyin.</v>
      </c>
      <c r="BK16" s="3" t="str">
        <f>IFERROR(__xludf.DUMMYFUNCTION("GoogleTranslate(C16, ""en"", ""uk"")"),"Створіть спеціальний код для свого веб-сайту та скопіюйте код для вбудовування та додайте його до місця, яке ви хочете відображати на своєму веб-сайті.")</f>
        <v>Створіть спеціальний код для свого веб-сайту та скопіюйте код для вбудовування та додайте його до місця, яке ви хочете відображати на своєму веб-сайті.</v>
      </c>
      <c r="BL16" s="3" t="str">
        <f>IFERROR(__xludf.DUMMYFUNCTION("GoogleTranslate(C16, ""en"", ""zu"")"),"Dala ikhodi yangokwezifiso yewebhusayithi yakho bese ukopisha ikhodi yokushumeka bese uyengeza endaweni ofuna ukuyibonisa kuwebhusayithi yakho.")</f>
        <v>Dala ikhodi yangokwezifiso yewebhusayithi yakho bese ukopisha ikhodi yokushumeka bese uyengeza endaweni ofuna ukuyibonisa kuwebhusayithi yakho.</v>
      </c>
    </row>
    <row r="17">
      <c r="A17" s="1" t="str">
        <f t="shared" si="1"/>
        <v>Location</v>
      </c>
      <c r="B17" s="4" t="s">
        <v>79</v>
      </c>
      <c r="C17" s="1" t="str">
        <f t="shared" si="2"/>
        <v>Location</v>
      </c>
      <c r="D17" s="3" t="str">
        <f>IFERROR(__xludf.DUMMYFUNCTION("GoogleTranslate(C17, ""en"", ""es"")"),"Ubicación")</f>
        <v>Ubicación</v>
      </c>
      <c r="E17" s="3" t="str">
        <f>IFERROR(__xludf.DUMMYFUNCTION("GoogleTranslate(C17, ""en"", ""ar"")"),"موقع")</f>
        <v>موقع</v>
      </c>
      <c r="F17" s="3" t="str">
        <f>IFERROR(__xludf.DUMMYFUNCTION("GoogleTranslate(C17, ""en"", ""hy"")"),"Գտնվելու վայրը")</f>
        <v>Գտնվելու վայրը</v>
      </c>
      <c r="G17" s="3" t="str">
        <f>IFERROR(__xludf.DUMMYFUNCTION("GoogleTranslate(C17, ""en"", ""vi"")"),"Vị trí")</f>
        <v>Vị trí</v>
      </c>
      <c r="H17" s="3" t="str">
        <f>IFERROR(__xludf.DUMMYFUNCTION("GoogleTranslate(C17, ""en"", ""az"")"),"Məkan")</f>
        <v>Məkan</v>
      </c>
      <c r="I17" s="3" t="str">
        <f>IFERROR(__xludf.DUMMYFUNCTION("GoogleTranslate(C17, ""en"", ""eu"")"),"Kokapena")</f>
        <v>Kokapena</v>
      </c>
      <c r="J17" s="3" t="str">
        <f>IFERROR(__xludf.DUMMYFUNCTION("GoogleTranslate(C17, ""en"", ""be"")"),"Размяшчэнне")</f>
        <v>Размяшчэнне</v>
      </c>
      <c r="K17" s="3" t="str">
        <f>IFERROR(__xludf.DUMMYFUNCTION("GoogleTranslate(C17, ""en"", ""bn"")"),"অবস্থান")</f>
        <v>অবস্থান</v>
      </c>
      <c r="L17" s="3" t="str">
        <f>IFERROR(__xludf.DUMMYFUNCTION("GoogleTranslate(C17, ""en"", ""bg"")"),"Местоположение")</f>
        <v>Местоположение</v>
      </c>
      <c r="M17" s="3" t="str">
        <f>IFERROR(__xludf.DUMMYFUNCTION("GoogleTranslate(C17, ""en"", ""my"")"),"တည်နေရာ")</f>
        <v>တည်နေရာ</v>
      </c>
      <c r="N17" s="3" t="str">
        <f>IFERROR(__xludf.DUMMYFUNCTION("GoogleTranslate(C17, ""en"", ""ca"")"),"Ubicació")</f>
        <v>Ubicació</v>
      </c>
      <c r="O17" s="3" t="str">
        <f>IFERROR(__xludf.DUMMYFUNCTION("GoogleTranslate(C17, ""en"", ""zh-cn"")"),"地点")</f>
        <v>地点</v>
      </c>
      <c r="P17" s="3" t="str">
        <f>IFERROR(__xludf.DUMMYFUNCTION("GoogleTranslate(C17, ""en"", ""zh-TW"")"),"地點")</f>
        <v>地點</v>
      </c>
      <c r="Q17" s="3" t="str">
        <f>IFERROR(__xludf.DUMMYFUNCTION("GoogleTranslate(C17, ""en"", ""hr"")"),"Mjesto")</f>
        <v>Mjesto</v>
      </c>
      <c r="R17" s="3" t="str">
        <f>IFERROR(__xludf.DUMMYFUNCTION("GoogleTranslate(C17, ""en"", ""cs"")"),"Umístění")</f>
        <v>Umístění</v>
      </c>
      <c r="S17" s="3" t="str">
        <f>IFERROR(__xludf.DUMMYFUNCTION("GoogleTranslate(C17, ""en"", ""da"")"),"Beliggenhed")</f>
        <v>Beliggenhed</v>
      </c>
      <c r="T17" s="3" t="str">
        <f>IFERROR(__xludf.DUMMYFUNCTION("GoogleTranslate(C17, ""en"", ""nl"")"),"Locatie")</f>
        <v>Locatie</v>
      </c>
      <c r="U17" s="3" t="str">
        <f>IFERROR(__xludf.DUMMYFUNCTION("GoogleTranslate(C17, ""en"", ""et"")"),"Asukoht")</f>
        <v>Asukoht</v>
      </c>
      <c r="V17" s="1" t="str">
        <f t="shared" si="3"/>
        <v>Location</v>
      </c>
      <c r="W17" s="3" t="str">
        <f>IFERROR(__xludf.DUMMYFUNCTION("GoogleTranslate(C17, ""en"", ""fi"")"),"Sijainti")</f>
        <v>Sijainti</v>
      </c>
      <c r="X17" s="3" t="str">
        <f>IFERROR(__xludf.DUMMYFUNCTION("GoogleTranslate(C17, ""en"", ""fr"")"),"Emplacement")</f>
        <v>Emplacement</v>
      </c>
      <c r="Y17" s="3" t="str">
        <f>IFERROR(__xludf.DUMMYFUNCTION("GoogleTranslate(C17, ""en"", ""de"")"),"Standort")</f>
        <v>Standort</v>
      </c>
      <c r="Z17" s="3" t="str">
        <f>IFERROR(__xludf.DUMMYFUNCTION("GoogleTranslate(C17, ""en"", ""el"")"),"Τοποθεσία")</f>
        <v>Τοποθεσία</v>
      </c>
      <c r="AA17" s="3" t="str">
        <f>IFERROR(__xludf.DUMMYFUNCTION("GoogleTranslate(C17, ""en"", ""iw"")"),"מִקוּם")</f>
        <v>מִקוּם</v>
      </c>
      <c r="AB17" s="3" t="str">
        <f>IFERROR(__xludf.DUMMYFUNCTION("GoogleTranslate(C17, ""en"", ""hi"")"),"जगह")</f>
        <v>जगह</v>
      </c>
      <c r="AC17" s="3" t="str">
        <f>IFERROR(__xludf.DUMMYFUNCTION("GoogleTranslate(C17, ""en"", ""hu"")"),"Elhelyezkedés")</f>
        <v>Elhelyezkedés</v>
      </c>
      <c r="AD17" s="3" t="str">
        <f>IFERROR(__xludf.DUMMYFUNCTION("GoogleTranslate(C17, ""en"", ""is"")"),"Staðsetning")</f>
        <v>Staðsetning</v>
      </c>
      <c r="AE17" s="3" t="str">
        <f>IFERROR(__xludf.DUMMYFUNCTION("GoogleTranslate(C17, ""en"", ""id"")"),"Lokasi")</f>
        <v>Lokasi</v>
      </c>
      <c r="AF17" s="3" t="str">
        <f>IFERROR(__xludf.DUMMYFUNCTION("GoogleTranslate(C17, ""en"", ""in"")"),"Lokasi")</f>
        <v>Lokasi</v>
      </c>
      <c r="AG17" s="3" t="str">
        <f>IFERROR(__xludf.DUMMYFUNCTION("GoogleTranslate(C17, ""en"", ""it"")"),"Posizione")</f>
        <v>Posizione</v>
      </c>
      <c r="AH17" s="3" t="str">
        <f>IFERROR(__xludf.DUMMYFUNCTION("GoogleTranslate(C17, ""en"", ""ja"")"),"位置")</f>
        <v>位置</v>
      </c>
      <c r="AI17" s="3" t="str">
        <f>IFERROR(__xludf.DUMMYFUNCTION("GoogleTranslate(C17, ""en"", ""kn"")"),"ಸ್ಥಳ")</f>
        <v>ಸ್ಥಳ</v>
      </c>
      <c r="AJ17" s="3" t="str">
        <f>IFERROR(__xludf.DUMMYFUNCTION("GoogleTranslate(C17, ""en"", ""km"")"),"ទីតាំង")</f>
        <v>ទីតាំង</v>
      </c>
      <c r="AK17" s="3" t="str">
        <f>IFERROR(__xludf.DUMMYFUNCTION("GoogleTranslate(C17, ""en"", ""ko"")"),"위치")</f>
        <v>위치</v>
      </c>
      <c r="AL17" s="3" t="str">
        <f>IFERROR(__xludf.DUMMYFUNCTION("GoogleTranslate(C17, ""en"", ""lo"")"),"ສະຖານທີ່")</f>
        <v>ສະຖານທີ່</v>
      </c>
      <c r="AM17" s="3" t="str">
        <f>IFERROR(__xludf.DUMMYFUNCTION("GoogleTranslate(C17, ""en"", ""lv"")"),"Atrašanās vieta")</f>
        <v>Atrašanās vieta</v>
      </c>
      <c r="AN17" s="3" t="str">
        <f>IFERROR(__xludf.DUMMYFUNCTION("GoogleTranslate(C17, ""en"", ""lt"")"),"Vieta")</f>
        <v>Vieta</v>
      </c>
      <c r="AO17" s="3" t="str">
        <f>IFERROR(__xludf.DUMMYFUNCTION("GoogleTranslate(C17, ""en"", ""mk"")"),"Локација")</f>
        <v>Локација</v>
      </c>
      <c r="AP17" s="3" t="str">
        <f>IFERROR(__xludf.DUMMYFUNCTION("GoogleTranslate(C17, ""en"", ""ms"")"),"Lokasi")</f>
        <v>Lokasi</v>
      </c>
      <c r="AQ17" s="3" t="str">
        <f>IFERROR(__xludf.DUMMYFUNCTION("GoogleTranslate(C17, ""en"", ""ml"")"),"സ്ഥാനം")</f>
        <v>സ്ഥാനം</v>
      </c>
      <c r="AR17" s="3" t="str">
        <f>IFERROR(__xludf.DUMMYFUNCTION("GoogleTranslate(C17, ""en"", ""mr"")"),"स्थान")</f>
        <v>स्थान</v>
      </c>
      <c r="AS17" s="3" t="str">
        <f>IFERROR(__xludf.DUMMYFUNCTION("GoogleTranslate(C17, ""en"", ""mn"")"),"Байршил")</f>
        <v>Байршил</v>
      </c>
      <c r="AT17" s="3" t="str">
        <f>IFERROR(__xludf.DUMMYFUNCTION("GoogleTranslate(C17, ""en"", ""ne"")"),"स्थान")</f>
        <v>स्थान</v>
      </c>
      <c r="AU17" s="3" t="str">
        <f>IFERROR(__xludf.DUMMYFUNCTION("GoogleTranslate(C17, ""en"", ""nb"")"),"Sted")</f>
        <v>Sted</v>
      </c>
      <c r="AV17" s="3" t="str">
        <f>IFERROR(__xludf.DUMMYFUNCTION("GoogleTranslate(C17, ""en"", ""fa"")"),"مکان")</f>
        <v>مکان</v>
      </c>
      <c r="AW17" s="3" t="str">
        <f>IFERROR(__xludf.DUMMYFUNCTION("GoogleTranslate(C17, ""en"", ""pl"")"),"Lokalizacja")</f>
        <v>Lokalizacja</v>
      </c>
      <c r="AX17" s="3" t="str">
        <f>IFERROR(__xludf.DUMMYFUNCTION("GoogleTranslate(C17, ""en"", ""pt"")"),"Localização")</f>
        <v>Localização</v>
      </c>
      <c r="AY17" s="3" t="str">
        <f>IFERROR(__xludf.DUMMYFUNCTION("GoogleTranslate(C17, ""en"", ""ro"")"),"Locaţie")</f>
        <v>Locaţie</v>
      </c>
      <c r="AZ17" s="3" t="str">
        <f>IFERROR(__xludf.DUMMYFUNCTION("GoogleTranslate(C17, ""en"", ""ru"")"),"Расположение")</f>
        <v>Расположение</v>
      </c>
      <c r="BA17" s="3" t="str">
        <f>IFERROR(__xludf.DUMMYFUNCTION("GoogleTranslate(C17, ""en"", ""sr"")"),"Локација")</f>
        <v>Локација</v>
      </c>
      <c r="BB17" s="3" t="str">
        <f>IFERROR(__xludf.DUMMYFUNCTION("GoogleTranslate(C17, ""en"", ""si"")"),"ස්ථානය")</f>
        <v>ස්ථානය</v>
      </c>
      <c r="BC17" s="3" t="str">
        <f>IFERROR(__xludf.DUMMYFUNCTION("GoogleTranslate(C17, ""en"", ""sk"")"),"Poloha")</f>
        <v>Poloha</v>
      </c>
      <c r="BD17" s="3" t="str">
        <f>IFERROR(__xludf.DUMMYFUNCTION("GoogleTranslate(C17, ""en"", ""sl"")"),"Lokacija")</f>
        <v>Lokacija</v>
      </c>
      <c r="BE17" s="3" t="str">
        <f>IFERROR(__xludf.DUMMYFUNCTION("GoogleTranslate(C17, ""en"", ""es"")"),"Ubicación")</f>
        <v>Ubicación</v>
      </c>
      <c r="BF17" s="3" t="str">
        <f>IFERROR(__xludf.DUMMYFUNCTION("GoogleTranslate(C17, ""en"", ""sw"")"),"Mahali")</f>
        <v>Mahali</v>
      </c>
      <c r="BG17" s="3" t="str">
        <f>IFERROR(__xludf.DUMMYFUNCTION("GoogleTranslate(C17, ""en"", ""sv"")"),"Plats")</f>
        <v>Plats</v>
      </c>
      <c r="BH17" s="3" t="str">
        <f>IFERROR(__xludf.DUMMYFUNCTION("GoogleTranslate(C17, ""en"", ""te"")"),"స్థానం")</f>
        <v>స్థానం</v>
      </c>
      <c r="BI17" s="3" t="str">
        <f>IFERROR(__xludf.DUMMYFUNCTION("GoogleTranslate(C17, ""en"", ""th"")"),"ที่ตั้ง")</f>
        <v>ที่ตั้ง</v>
      </c>
      <c r="BJ17" s="3" t="str">
        <f>IFERROR(__xludf.DUMMYFUNCTION("GoogleTranslate(C17, ""en"", ""tr"")"),"Konum")</f>
        <v>Konum</v>
      </c>
      <c r="BK17" s="3" t="str">
        <f>IFERROR(__xludf.DUMMYFUNCTION("GoogleTranslate(C17, ""en"", ""uk"")"),"Розташування")</f>
        <v>Розташування</v>
      </c>
      <c r="BL17" s="3" t="str">
        <f>IFERROR(__xludf.DUMMYFUNCTION("GoogleTranslate(C17, ""en"", ""zu"")"),"Indawo")</f>
        <v>Indawo</v>
      </c>
    </row>
    <row r="18">
      <c r="A18" s="1" t="str">
        <f t="shared" si="1"/>
        <v>Width</v>
      </c>
      <c r="B18" s="4" t="s">
        <v>80</v>
      </c>
      <c r="C18" s="1" t="str">
        <f t="shared" si="2"/>
        <v>Width</v>
      </c>
      <c r="D18" s="3" t="str">
        <f>IFERROR(__xludf.DUMMYFUNCTION("GoogleTranslate(C18, ""en"", ""es"")"),"Ancho")</f>
        <v>Ancho</v>
      </c>
      <c r="E18" s="3" t="str">
        <f>IFERROR(__xludf.DUMMYFUNCTION("GoogleTranslate(C18, ""en"", ""ar"")"),"عرض")</f>
        <v>عرض</v>
      </c>
      <c r="F18" s="3" t="str">
        <f>IFERROR(__xludf.DUMMYFUNCTION("GoogleTranslate(C18, ""en"", ""hy"")"),"Լայնություն")</f>
        <v>Լայնություն</v>
      </c>
      <c r="G18" s="3" t="str">
        <f>IFERROR(__xludf.DUMMYFUNCTION("GoogleTranslate(C18, ""en"", ""vi"")"),"Chiều rộng")</f>
        <v>Chiều rộng</v>
      </c>
      <c r="H18" s="3" t="str">
        <f>IFERROR(__xludf.DUMMYFUNCTION("GoogleTranslate(C18, ""en"", ""az"")"),"Genişlik")</f>
        <v>Genişlik</v>
      </c>
      <c r="I18" s="3" t="str">
        <f>IFERROR(__xludf.DUMMYFUNCTION("GoogleTranslate(C18, ""en"", ""eu"")"),"Zabalera")</f>
        <v>Zabalera</v>
      </c>
      <c r="J18" s="3" t="str">
        <f>IFERROR(__xludf.DUMMYFUNCTION("GoogleTranslate(C18, ""en"", ""be"")"),"Шырыня")</f>
        <v>Шырыня</v>
      </c>
      <c r="K18" s="3" t="str">
        <f>IFERROR(__xludf.DUMMYFUNCTION("GoogleTranslate(C18, ""en"", ""bn"")"),"প্রস্থ")</f>
        <v>প্রস্থ</v>
      </c>
      <c r="L18" s="3" t="str">
        <f>IFERROR(__xludf.DUMMYFUNCTION("GoogleTranslate(C18, ""en"", ""bg"")"),"ширина")</f>
        <v>ширина</v>
      </c>
      <c r="M18" s="3" t="str">
        <f>IFERROR(__xludf.DUMMYFUNCTION("GoogleTranslate(C18, ""en"", ""my"")"),"အကျယ်")</f>
        <v>အကျယ်</v>
      </c>
      <c r="N18" s="3" t="str">
        <f>IFERROR(__xludf.DUMMYFUNCTION("GoogleTranslate(C18, ""en"", ""ca"")"),"Amplada")</f>
        <v>Amplada</v>
      </c>
      <c r="O18" s="3" t="str">
        <f>IFERROR(__xludf.DUMMYFUNCTION("GoogleTranslate(C18, ""en"", ""zh-cn"")"),"宽度")</f>
        <v>宽度</v>
      </c>
      <c r="P18" s="3" t="str">
        <f>IFERROR(__xludf.DUMMYFUNCTION("GoogleTranslate(C18, ""en"", ""zh-TW"")"),"寬度")</f>
        <v>寬度</v>
      </c>
      <c r="Q18" s="3" t="str">
        <f>IFERROR(__xludf.DUMMYFUNCTION("GoogleTranslate(C18, ""en"", ""hr"")"),"Širina")</f>
        <v>Širina</v>
      </c>
      <c r="R18" s="3" t="str">
        <f>IFERROR(__xludf.DUMMYFUNCTION("GoogleTranslate(C18, ""en"", ""cs"")"),"Šířka")</f>
        <v>Šířka</v>
      </c>
      <c r="S18" s="3" t="str">
        <f>IFERROR(__xludf.DUMMYFUNCTION("GoogleTranslate(C18, ""en"", ""da"")"),"Bredde")</f>
        <v>Bredde</v>
      </c>
      <c r="T18" s="3" t="str">
        <f>IFERROR(__xludf.DUMMYFUNCTION("GoogleTranslate(C18, ""en"", ""nl"")"),"Breedte")</f>
        <v>Breedte</v>
      </c>
      <c r="U18" s="3" t="str">
        <f>IFERROR(__xludf.DUMMYFUNCTION("GoogleTranslate(C18, ""en"", ""et"")"),"Laius")</f>
        <v>Laius</v>
      </c>
      <c r="V18" s="1" t="str">
        <f t="shared" si="3"/>
        <v>Width</v>
      </c>
      <c r="W18" s="3" t="str">
        <f>IFERROR(__xludf.DUMMYFUNCTION("GoogleTranslate(C18, ""en"", ""fi"")"),"Leveys")</f>
        <v>Leveys</v>
      </c>
      <c r="X18" s="3" t="str">
        <f>IFERROR(__xludf.DUMMYFUNCTION("GoogleTranslate(C18, ""en"", ""fr"")"),"Largeur")</f>
        <v>Largeur</v>
      </c>
      <c r="Y18" s="3" t="str">
        <f>IFERROR(__xludf.DUMMYFUNCTION("GoogleTranslate(C18, ""en"", ""de"")"),"Breite")</f>
        <v>Breite</v>
      </c>
      <c r="Z18" s="3" t="str">
        <f>IFERROR(__xludf.DUMMYFUNCTION("GoogleTranslate(C18, ""en"", ""el"")"),"Πλάτος")</f>
        <v>Πλάτος</v>
      </c>
      <c r="AA18" s="3" t="str">
        <f>IFERROR(__xludf.DUMMYFUNCTION("GoogleTranslate(C18, ""en"", ""iw"")"),"רוֹחַב")</f>
        <v>רוֹחַב</v>
      </c>
      <c r="AB18" s="3" t="str">
        <f>IFERROR(__xludf.DUMMYFUNCTION("GoogleTranslate(C18, ""en"", ""hi"")"),"चौड़ाई")</f>
        <v>चौड़ाई</v>
      </c>
      <c r="AC18" s="3" t="str">
        <f>IFERROR(__xludf.DUMMYFUNCTION("GoogleTranslate(C18, ""en"", ""hu"")"),"Szélesség")</f>
        <v>Szélesség</v>
      </c>
      <c r="AD18" s="3" t="str">
        <f>IFERROR(__xludf.DUMMYFUNCTION("GoogleTranslate(C18, ""en"", ""is"")"),"Breidd")</f>
        <v>Breidd</v>
      </c>
      <c r="AE18" s="3" t="str">
        <f>IFERROR(__xludf.DUMMYFUNCTION("GoogleTranslate(C18, ""en"", ""id"")"),"Lebar")</f>
        <v>Lebar</v>
      </c>
      <c r="AF18" s="3" t="str">
        <f>IFERROR(__xludf.DUMMYFUNCTION("GoogleTranslate(C18, ""en"", ""in"")"),"Lebar")</f>
        <v>Lebar</v>
      </c>
      <c r="AG18" s="3" t="str">
        <f>IFERROR(__xludf.DUMMYFUNCTION("GoogleTranslate(C18, ""en"", ""it"")"),"Larghezza")</f>
        <v>Larghezza</v>
      </c>
      <c r="AH18" s="3" t="str">
        <f>IFERROR(__xludf.DUMMYFUNCTION("GoogleTranslate(C18, ""en"", ""ja"")"),"幅")</f>
        <v>幅</v>
      </c>
      <c r="AI18" s="3" t="str">
        <f>IFERROR(__xludf.DUMMYFUNCTION("GoogleTranslate(C18, ""en"", ""kn"")"),"ಅಗಲ")</f>
        <v>ಅಗಲ</v>
      </c>
      <c r="AJ18" s="3" t="str">
        <f>IFERROR(__xludf.DUMMYFUNCTION("GoogleTranslate(C18, ""en"", ""km"")"),"ទទឹង")</f>
        <v>ទទឹង</v>
      </c>
      <c r="AK18" s="3" t="str">
        <f>IFERROR(__xludf.DUMMYFUNCTION("GoogleTranslate(C18, ""en"", ""ko"")"),"너비")</f>
        <v>너비</v>
      </c>
      <c r="AL18" s="3" t="str">
        <f>IFERROR(__xludf.DUMMYFUNCTION("GoogleTranslate(C18, ""en"", ""lo"")"),"ກວ້າງ")</f>
        <v>ກວ້າງ</v>
      </c>
      <c r="AM18" s="3" t="str">
        <f>IFERROR(__xludf.DUMMYFUNCTION("GoogleTranslate(C18, ""en"", ""lv"")"),"Platums")</f>
        <v>Platums</v>
      </c>
      <c r="AN18" s="3" t="str">
        <f>IFERROR(__xludf.DUMMYFUNCTION("GoogleTranslate(C18, ""en"", ""lt"")"),"Plotis")</f>
        <v>Plotis</v>
      </c>
      <c r="AO18" s="3" t="str">
        <f>IFERROR(__xludf.DUMMYFUNCTION("GoogleTranslate(C18, ""en"", ""mk"")"),"Ширина")</f>
        <v>Ширина</v>
      </c>
      <c r="AP18" s="3" t="str">
        <f>IFERROR(__xludf.DUMMYFUNCTION("GoogleTranslate(C18, ""en"", ""ms"")"),"Lebar")</f>
        <v>Lebar</v>
      </c>
      <c r="AQ18" s="3" t="str">
        <f>IFERROR(__xludf.DUMMYFUNCTION("GoogleTranslate(C18, ""en"", ""ml"")"),"വീതി")</f>
        <v>വീതി</v>
      </c>
      <c r="AR18" s="3" t="str">
        <f>IFERROR(__xludf.DUMMYFUNCTION("GoogleTranslate(C18, ""en"", ""mr"")"),"रुंदी")</f>
        <v>रुंदी</v>
      </c>
      <c r="AS18" s="3" t="str">
        <f>IFERROR(__xludf.DUMMYFUNCTION("GoogleTranslate(C18, ""en"", ""mn"")"),"Өргөн")</f>
        <v>Өргөн</v>
      </c>
      <c r="AT18" s="3" t="str">
        <f>IFERROR(__xludf.DUMMYFUNCTION("GoogleTranslate(C18, ""en"", ""ne"")"),"चौडाइ")</f>
        <v>चौडाइ</v>
      </c>
      <c r="AU18" s="3" t="str">
        <f>IFERROR(__xludf.DUMMYFUNCTION("GoogleTranslate(C18, ""en"", ""nb"")"),"Bredde")</f>
        <v>Bredde</v>
      </c>
      <c r="AV18" s="3" t="str">
        <f>IFERROR(__xludf.DUMMYFUNCTION("GoogleTranslate(C18, ""en"", ""fa"")"),"عرض")</f>
        <v>عرض</v>
      </c>
      <c r="AW18" s="3" t="str">
        <f>IFERROR(__xludf.DUMMYFUNCTION("GoogleTranslate(C18, ""en"", ""pl"")"),"Szerokość")</f>
        <v>Szerokość</v>
      </c>
      <c r="AX18" s="3" t="str">
        <f>IFERROR(__xludf.DUMMYFUNCTION("GoogleTranslate(C18, ""en"", ""pt"")"),"Largura")</f>
        <v>Largura</v>
      </c>
      <c r="AY18" s="3" t="str">
        <f>IFERROR(__xludf.DUMMYFUNCTION("GoogleTranslate(C18, ""en"", ""ro"")"),"Lăţime")</f>
        <v>Lăţime</v>
      </c>
      <c r="AZ18" s="3" t="str">
        <f>IFERROR(__xludf.DUMMYFUNCTION("GoogleTranslate(C18, ""en"", ""ru"")"),"Ширина")</f>
        <v>Ширина</v>
      </c>
      <c r="BA18" s="3" t="str">
        <f>IFERROR(__xludf.DUMMYFUNCTION("GoogleTranslate(C18, ""en"", ""sr"")"),"Ширина")</f>
        <v>Ширина</v>
      </c>
      <c r="BB18" s="3" t="str">
        <f>IFERROR(__xludf.DUMMYFUNCTION("GoogleTranslate(C18, ""en"", ""si"")"),"පළල")</f>
        <v>පළල</v>
      </c>
      <c r="BC18" s="3" t="str">
        <f>IFERROR(__xludf.DUMMYFUNCTION("GoogleTranslate(C18, ""en"", ""sk"")"),"šírka")</f>
        <v>šírka</v>
      </c>
      <c r="BD18" s="3" t="str">
        <f>IFERROR(__xludf.DUMMYFUNCTION("GoogleTranslate(C18, ""en"", ""sl"")"),"širina")</f>
        <v>širina</v>
      </c>
      <c r="BE18" s="3" t="str">
        <f>IFERROR(__xludf.DUMMYFUNCTION("GoogleTranslate(C18, ""en"", ""es"")"),"Ancho")</f>
        <v>Ancho</v>
      </c>
      <c r="BF18" s="3" t="str">
        <f>IFERROR(__xludf.DUMMYFUNCTION("GoogleTranslate(C18, ""en"", ""sw"")"),"Upana")</f>
        <v>Upana</v>
      </c>
      <c r="BG18" s="3" t="str">
        <f>IFERROR(__xludf.DUMMYFUNCTION("GoogleTranslate(C18, ""en"", ""sv"")"),"Bredd")</f>
        <v>Bredd</v>
      </c>
      <c r="BH18" s="3" t="str">
        <f>IFERROR(__xludf.DUMMYFUNCTION("GoogleTranslate(C18, ""en"", ""te"")"),"వెడల్పు")</f>
        <v>వెడల్పు</v>
      </c>
      <c r="BI18" s="3" t="str">
        <f>IFERROR(__xludf.DUMMYFUNCTION("GoogleTranslate(C18, ""en"", ""th"")"),"ความกว้าง")</f>
        <v>ความกว้าง</v>
      </c>
      <c r="BJ18" s="3" t="str">
        <f>IFERROR(__xludf.DUMMYFUNCTION("GoogleTranslate(C18, ""en"", ""tr"")"),"Genişlik")</f>
        <v>Genişlik</v>
      </c>
      <c r="BK18" s="3" t="str">
        <f>IFERROR(__xludf.DUMMYFUNCTION("GoogleTranslate(C18, ""en"", ""uk"")"),"Ширина")</f>
        <v>Ширина</v>
      </c>
      <c r="BL18" s="3" t="str">
        <f>IFERROR(__xludf.DUMMYFUNCTION("GoogleTranslate(C18, ""en"", ""zu"")"),"Ububanzi")</f>
        <v>Ububanzi</v>
      </c>
    </row>
    <row r="19">
      <c r="A19" s="1" t="str">
        <f t="shared" si="1"/>
        <v>Sampling</v>
      </c>
      <c r="B19" s="4" t="s">
        <v>81</v>
      </c>
      <c r="C19" s="1" t="str">
        <f t="shared" si="2"/>
        <v>Sampling</v>
      </c>
      <c r="D19" s="3" t="str">
        <f>IFERROR(__xludf.DUMMYFUNCTION("GoogleTranslate(C19, ""en"", ""es"")"),"Muestreo")</f>
        <v>Muestreo</v>
      </c>
      <c r="E19" s="3" t="str">
        <f>IFERROR(__xludf.DUMMYFUNCTION("GoogleTranslate(C19, ""en"", ""ar"")"),"أخذ العينات")</f>
        <v>أخذ العينات</v>
      </c>
      <c r="F19" s="3" t="str">
        <f>IFERROR(__xludf.DUMMYFUNCTION("GoogleTranslate(C19, ""en"", ""hy"")"),"Նմուշառում")</f>
        <v>Նմուշառում</v>
      </c>
      <c r="G19" s="3" t="str">
        <f>IFERROR(__xludf.DUMMYFUNCTION("GoogleTranslate(C19, ""en"", ""vi"")"),"Lấy mẫu")</f>
        <v>Lấy mẫu</v>
      </c>
      <c r="H19" s="3" t="str">
        <f>IFERROR(__xludf.DUMMYFUNCTION("GoogleTranslate(C19, ""en"", ""az"")"),"Nümunə götürmə")</f>
        <v>Nümunə götürmə</v>
      </c>
      <c r="I19" s="3" t="str">
        <f>IFERROR(__xludf.DUMMYFUNCTION("GoogleTranslate(C19, ""en"", ""eu"")"),"Laginketa")</f>
        <v>Laginketa</v>
      </c>
      <c r="J19" s="3" t="str">
        <f>IFERROR(__xludf.DUMMYFUNCTION("GoogleTranslate(C19, ""en"", ""be"")"),"Адбор проб")</f>
        <v>Адбор проб</v>
      </c>
      <c r="K19" s="3" t="str">
        <f>IFERROR(__xludf.DUMMYFUNCTION("GoogleTranslate(C19, ""en"", ""bn"")"),"স্যাম্পলিং")</f>
        <v>স্যাম্পলিং</v>
      </c>
      <c r="L19" s="3" t="str">
        <f>IFERROR(__xludf.DUMMYFUNCTION("GoogleTranslate(C19, ""en"", ""bg"")"),"Вземане на проби")</f>
        <v>Вземане на проби</v>
      </c>
      <c r="M19" s="3" t="str">
        <f>IFERROR(__xludf.DUMMYFUNCTION("GoogleTranslate(C19, ""en"", ""my"")"),"နမူနာယူပါ။")</f>
        <v>နမူနာယူပါ။</v>
      </c>
      <c r="N19" s="3" t="str">
        <f>IFERROR(__xludf.DUMMYFUNCTION("GoogleTranslate(C19, ""en"", ""ca"")"),"Mostreig")</f>
        <v>Mostreig</v>
      </c>
      <c r="O19" s="3" t="str">
        <f>IFERROR(__xludf.DUMMYFUNCTION("GoogleTranslate(C19, ""en"", ""zh-cn"")"),"采样")</f>
        <v>采样</v>
      </c>
      <c r="P19" s="3" t="str">
        <f>IFERROR(__xludf.DUMMYFUNCTION("GoogleTranslate(C19, ""en"", ""zh-TW"")"),"取樣")</f>
        <v>取樣</v>
      </c>
      <c r="Q19" s="3" t="str">
        <f>IFERROR(__xludf.DUMMYFUNCTION("GoogleTranslate(C19, ""en"", ""hr"")"),"Uzorkovanje")</f>
        <v>Uzorkovanje</v>
      </c>
      <c r="R19" s="3" t="str">
        <f>IFERROR(__xludf.DUMMYFUNCTION("GoogleTranslate(C19, ""en"", ""cs"")"),"Odběr vzorků")</f>
        <v>Odběr vzorků</v>
      </c>
      <c r="S19" s="3" t="str">
        <f>IFERROR(__xludf.DUMMYFUNCTION("GoogleTranslate(C19, ""en"", ""da"")"),"Prøveudtagning")</f>
        <v>Prøveudtagning</v>
      </c>
      <c r="T19" s="3" t="str">
        <f>IFERROR(__xludf.DUMMYFUNCTION("GoogleTranslate(C19, ""en"", ""nl"")"),"Bemonstering")</f>
        <v>Bemonstering</v>
      </c>
      <c r="U19" s="3" t="str">
        <f>IFERROR(__xludf.DUMMYFUNCTION("GoogleTranslate(C19, ""en"", ""et"")"),"Proovide võtmine")</f>
        <v>Proovide võtmine</v>
      </c>
      <c r="V19" s="1" t="str">
        <f t="shared" si="3"/>
        <v>Sampling</v>
      </c>
      <c r="W19" s="3" t="str">
        <f>IFERROR(__xludf.DUMMYFUNCTION("GoogleTranslate(C19, ""en"", ""fi"")"),"Näytteenotto")</f>
        <v>Näytteenotto</v>
      </c>
      <c r="X19" s="3" t="str">
        <f>IFERROR(__xludf.DUMMYFUNCTION("GoogleTranslate(C19, ""en"", ""fr"")"),"Échantillonnage")</f>
        <v>Échantillonnage</v>
      </c>
      <c r="Y19" s="3" t="str">
        <f>IFERROR(__xludf.DUMMYFUNCTION("GoogleTranslate(C19, ""en"", ""de"")"),"Probenahme")</f>
        <v>Probenahme</v>
      </c>
      <c r="Z19" s="3" t="str">
        <f>IFERROR(__xludf.DUMMYFUNCTION("GoogleTranslate(C19, ""en"", ""el"")"),"Δειγματοληψία")</f>
        <v>Δειγματοληψία</v>
      </c>
      <c r="AA19" s="3" t="str">
        <f>IFERROR(__xludf.DUMMYFUNCTION("GoogleTranslate(C19, ""en"", ""iw"")"),"דְגִימָה")</f>
        <v>דְגִימָה</v>
      </c>
      <c r="AB19" s="3" t="str">
        <f>IFERROR(__xludf.DUMMYFUNCTION("GoogleTranslate(C19, ""en"", ""hi"")"),"सैम्पलिंग")</f>
        <v>सैम्पलिंग</v>
      </c>
      <c r="AC19" s="3" t="str">
        <f>IFERROR(__xludf.DUMMYFUNCTION("GoogleTranslate(C19, ""en"", ""hu"")"),"Mintavétel")</f>
        <v>Mintavétel</v>
      </c>
      <c r="AD19" s="3" t="str">
        <f>IFERROR(__xludf.DUMMYFUNCTION("GoogleTranslate(C19, ""en"", ""is"")"),"Sýnataka")</f>
        <v>Sýnataka</v>
      </c>
      <c r="AE19" s="3" t="str">
        <f>IFERROR(__xludf.DUMMYFUNCTION("GoogleTranslate(C19, ""en"", ""id"")"),"Contoh")</f>
        <v>Contoh</v>
      </c>
      <c r="AF19" s="3" t="str">
        <f>IFERROR(__xludf.DUMMYFUNCTION("GoogleTranslate(C19, ""en"", ""in"")"),"Contoh")</f>
        <v>Contoh</v>
      </c>
      <c r="AG19" s="3" t="str">
        <f>IFERROR(__xludf.DUMMYFUNCTION("GoogleTranslate(C19, ""en"", ""it"")"),"Campionamento")</f>
        <v>Campionamento</v>
      </c>
      <c r="AH19" s="3" t="str">
        <f>IFERROR(__xludf.DUMMYFUNCTION("GoogleTranslate(C19, ""en"", ""ja"")"),"サンプリング")</f>
        <v>サンプリング</v>
      </c>
      <c r="AI19" s="3" t="str">
        <f>IFERROR(__xludf.DUMMYFUNCTION("GoogleTranslate(C19, ""en"", ""kn"")"),"ಮಾದರಿ")</f>
        <v>ಮಾದರಿ</v>
      </c>
      <c r="AJ19" s="3" t="str">
        <f>IFERROR(__xludf.DUMMYFUNCTION("GoogleTranslate(C19, ""en"", ""km"")"),"គំរូ")</f>
        <v>គំរូ</v>
      </c>
      <c r="AK19" s="3" t="str">
        <f>IFERROR(__xludf.DUMMYFUNCTION("GoogleTranslate(C19, ""en"", ""ko"")"),"견본 추출")</f>
        <v>견본 추출</v>
      </c>
      <c r="AL19" s="3" t="str">
        <f>IFERROR(__xludf.DUMMYFUNCTION("GoogleTranslate(C19, ""en"", ""lo"")"),"ການເກັບຕົວຢ່າງ")</f>
        <v>ການເກັບຕົວຢ່າງ</v>
      </c>
      <c r="AM19" s="3" t="str">
        <f>IFERROR(__xludf.DUMMYFUNCTION("GoogleTranslate(C19, ""en"", ""lv"")"),"Paraugu ņemšana")</f>
        <v>Paraugu ņemšana</v>
      </c>
      <c r="AN19" s="3" t="str">
        <f>IFERROR(__xludf.DUMMYFUNCTION("GoogleTranslate(C19, ""en"", ""lt"")"),"Mėginių ėmimas")</f>
        <v>Mėginių ėmimas</v>
      </c>
      <c r="AO19" s="3" t="str">
        <f>IFERROR(__xludf.DUMMYFUNCTION("GoogleTranslate(C19, ""en"", ""mk"")"),"Земање примероци")</f>
        <v>Земање примероци</v>
      </c>
      <c r="AP19" s="3" t="str">
        <f>IFERROR(__xludf.DUMMYFUNCTION("GoogleTranslate(C19, ""en"", ""ms"")"),"Pensampelan")</f>
        <v>Pensampelan</v>
      </c>
      <c r="AQ19" s="3" t="str">
        <f>IFERROR(__xludf.DUMMYFUNCTION("GoogleTranslate(C19, ""en"", ""ml"")"),"സാമ്പിളിംഗ്")</f>
        <v>സാമ്പിളിംഗ്</v>
      </c>
      <c r="AR19" s="3" t="str">
        <f>IFERROR(__xludf.DUMMYFUNCTION("GoogleTranslate(C19, ""en"", ""mr"")"),"सॅम्पलिंग")</f>
        <v>सॅम्पलिंग</v>
      </c>
      <c r="AS19" s="3" t="str">
        <f>IFERROR(__xludf.DUMMYFUNCTION("GoogleTranslate(C19, ""en"", ""mn"")"),"Дээж авах")</f>
        <v>Дээж авах</v>
      </c>
      <c r="AT19" s="3" t="str">
        <f>IFERROR(__xludf.DUMMYFUNCTION("GoogleTranslate(C19, ""en"", ""ne"")"),"नमूना")</f>
        <v>नमूना</v>
      </c>
      <c r="AU19" s="3" t="str">
        <f>IFERROR(__xludf.DUMMYFUNCTION("GoogleTranslate(C19, ""en"", ""nb"")"),"Prøvetaking")</f>
        <v>Prøvetaking</v>
      </c>
      <c r="AV19" s="3" t="str">
        <f>IFERROR(__xludf.DUMMYFUNCTION("GoogleTranslate(C19, ""en"", ""fa"")"),"نمونه برداری")</f>
        <v>نمونه برداری</v>
      </c>
      <c r="AW19" s="3" t="str">
        <f>IFERROR(__xludf.DUMMYFUNCTION("GoogleTranslate(C19, ""en"", ""pl"")"),"Próbowanie")</f>
        <v>Próbowanie</v>
      </c>
      <c r="AX19" s="3" t="str">
        <f>IFERROR(__xludf.DUMMYFUNCTION("GoogleTranslate(C19, ""en"", ""pt"")"),"Amostragem")</f>
        <v>Amostragem</v>
      </c>
      <c r="AY19" s="3" t="str">
        <f>IFERROR(__xludf.DUMMYFUNCTION("GoogleTranslate(C19, ""en"", ""ro"")"),"Prelevarea de probe")</f>
        <v>Prelevarea de probe</v>
      </c>
      <c r="AZ19" s="3" t="str">
        <f>IFERROR(__xludf.DUMMYFUNCTION("GoogleTranslate(C19, ""en"", ""ru"")"),"Выборка")</f>
        <v>Выборка</v>
      </c>
      <c r="BA19" s="3" t="str">
        <f>IFERROR(__xludf.DUMMYFUNCTION("GoogleTranslate(C19, ""en"", ""sr"")"),"Узорковање")</f>
        <v>Узорковање</v>
      </c>
      <c r="BB19" s="3" t="str">
        <f>IFERROR(__xludf.DUMMYFUNCTION("GoogleTranslate(C19, ""en"", ""si"")"),"නියැදීම")</f>
        <v>නියැදීම</v>
      </c>
      <c r="BC19" s="3" t="str">
        <f>IFERROR(__xludf.DUMMYFUNCTION("GoogleTranslate(C19, ""en"", ""sk"")"),"Odber vzoriek")</f>
        <v>Odber vzoriek</v>
      </c>
      <c r="BD19" s="3" t="str">
        <f>IFERROR(__xludf.DUMMYFUNCTION("GoogleTranslate(C19, ""en"", ""sl"")"),"Vzorčenje")</f>
        <v>Vzorčenje</v>
      </c>
      <c r="BE19" s="3" t="str">
        <f>IFERROR(__xludf.DUMMYFUNCTION("GoogleTranslate(C19, ""en"", ""es"")"),"Muestreo")</f>
        <v>Muestreo</v>
      </c>
      <c r="BF19" s="3" t="str">
        <f>IFERROR(__xludf.DUMMYFUNCTION("GoogleTranslate(C19, ""en"", ""sw"")"),"Sampuli")</f>
        <v>Sampuli</v>
      </c>
      <c r="BG19" s="3" t="str">
        <f>IFERROR(__xludf.DUMMYFUNCTION("GoogleTranslate(C19, ""en"", ""sv"")"),"Provtagning")</f>
        <v>Provtagning</v>
      </c>
      <c r="BH19" s="3" t="str">
        <f>IFERROR(__xludf.DUMMYFUNCTION("GoogleTranslate(C19, ""en"", ""te"")"),"శాంప్లింగ్")</f>
        <v>శాంప్లింగ్</v>
      </c>
      <c r="BI19" s="3" t="str">
        <f>IFERROR(__xludf.DUMMYFUNCTION("GoogleTranslate(C19, ""en"", ""th"")"),"การสุ่มตัวอย่าง")</f>
        <v>การสุ่มตัวอย่าง</v>
      </c>
      <c r="BJ19" s="3" t="str">
        <f>IFERROR(__xludf.DUMMYFUNCTION("GoogleTranslate(C19, ""en"", ""tr"")"),"Örnekleme")</f>
        <v>Örnekleme</v>
      </c>
      <c r="BK19" s="3" t="str">
        <f>IFERROR(__xludf.DUMMYFUNCTION("GoogleTranslate(C19, ""en"", ""uk"")"),"Відбір проб")</f>
        <v>Відбір проб</v>
      </c>
      <c r="BL19" s="3" t="str">
        <f>IFERROR(__xludf.DUMMYFUNCTION("GoogleTranslate(C19, ""en"", ""zu"")"),"Ukusampula")</f>
        <v>Ukusampula</v>
      </c>
    </row>
    <row r="20">
      <c r="A20" s="1" t="str">
        <f t="shared" si="1"/>
        <v>Sample_{number}</v>
      </c>
      <c r="B20" s="4" t="s">
        <v>82</v>
      </c>
      <c r="C20" s="1" t="str">
        <f t="shared" si="2"/>
        <v>Sample {number}</v>
      </c>
      <c r="D20" s="3" t="str">
        <f>IFERROR(__xludf.DUMMYFUNCTION("GoogleTranslate(C20, ""en"", ""es"")"),"Muestra {número}")</f>
        <v>Muestra {número}</v>
      </c>
      <c r="E20" s="3" t="str">
        <f>IFERROR(__xludf.DUMMYFUNCTION("GoogleTranslate(C20, ""en"", ""ar"")"),"عينة {رقم}")</f>
        <v>عينة {رقم}</v>
      </c>
      <c r="F20" s="3" t="str">
        <f>IFERROR(__xludf.DUMMYFUNCTION("GoogleTranslate(C20, ""en"", ""hy"")"),"Նմուշ {number}")</f>
        <v>Նմուշ {number}</v>
      </c>
      <c r="G20" s="3" t="str">
        <f>IFERROR(__xludf.DUMMYFUNCTION("GoogleTranslate(C20, ""en"", ""vi"")"),"mẫu {số}")</f>
        <v>mẫu {số}</v>
      </c>
      <c r="H20" s="3" t="str">
        <f>IFERROR(__xludf.DUMMYFUNCTION("GoogleTranslate(C20, ""en"", ""az"")"),"Nümunə {sayı}")</f>
        <v>Nümunə {sayı}</v>
      </c>
      <c r="I20" s="3" t="str">
        <f>IFERROR(__xludf.DUMMYFUNCTION("GoogleTranslate(C20, ""en"", ""eu"")"),"{zenbakia} lagina")</f>
        <v>{zenbakia} lagina</v>
      </c>
      <c r="J20" s="3" t="str">
        <f>IFERROR(__xludf.DUMMYFUNCTION("GoogleTranslate(C20, ""en"", ""be"")"),"Узор {number}")</f>
        <v>Узор {number}</v>
      </c>
      <c r="K20" s="3" t="str">
        <f>IFERROR(__xludf.DUMMYFUNCTION("GoogleTranslate(C20, ""en"", ""bn"")"),"নমুনা {সংখ্যা}")</f>
        <v>নমুনা {সংখ্যা}</v>
      </c>
      <c r="L20" s="3" t="str">
        <f>IFERROR(__xludf.DUMMYFUNCTION("GoogleTranslate(C20, ""en"", ""bg"")"),"Проба {номер}")</f>
        <v>Проба {номер}</v>
      </c>
      <c r="M20" s="3" t="str">
        <f>IFERROR(__xludf.DUMMYFUNCTION("GoogleTranslate(C20, ""en"", ""my"")"),"နမူနာ {number}")</f>
        <v>နမူနာ {number}</v>
      </c>
      <c r="N20" s="3" t="str">
        <f>IFERROR(__xludf.DUMMYFUNCTION("GoogleTranslate(C20, ""en"", ""ca"")"),"Mostra {nombre}")</f>
        <v>Mostra {nombre}</v>
      </c>
      <c r="O20" s="3" t="str">
        <f>IFERROR(__xludf.DUMMYFUNCTION("GoogleTranslate(C20, ""en"", ""zh-cn"")"),"样本{数量}")</f>
        <v>样本{数量}</v>
      </c>
      <c r="P20" s="3" t="str">
        <f>IFERROR(__xludf.DUMMYFUNCTION("GoogleTranslate(C20, ""en"", ""zh-TW"")"),"樣本{數量}")</f>
        <v>樣本{數量}</v>
      </c>
      <c r="Q20" s="3" t="str">
        <f>IFERROR(__xludf.DUMMYFUNCTION("GoogleTranslate(C20, ""en"", ""hr"")"),"Uzorak {number}")</f>
        <v>Uzorak {number}</v>
      </c>
      <c r="R20" s="3" t="str">
        <f>IFERROR(__xludf.DUMMYFUNCTION("GoogleTranslate(C20, ""en"", ""cs"")"),"Ukázka {číslo}")</f>
        <v>Ukázka {číslo}</v>
      </c>
      <c r="S20" s="3" t="str">
        <f>IFERROR(__xludf.DUMMYFUNCTION("GoogleTranslate(C20, ""en"", ""da"")"),"Eksempel {nummer}")</f>
        <v>Eksempel {nummer}</v>
      </c>
      <c r="T20" s="3" t="str">
        <f>IFERROR(__xludf.DUMMYFUNCTION("GoogleTranslate(C20, ""en"", ""nl"")"),"Monster {nummer}")</f>
        <v>Monster {nummer}</v>
      </c>
      <c r="U20" s="3" t="str">
        <f>IFERROR(__xludf.DUMMYFUNCTION("GoogleTranslate(C20, ""en"", ""et"")"),"Näidis {number}")</f>
        <v>Näidis {number}</v>
      </c>
      <c r="V20" s="1" t="str">
        <f t="shared" si="3"/>
        <v>Sample {number}</v>
      </c>
      <c r="W20" s="3" t="str">
        <f>IFERROR(__xludf.DUMMYFUNCTION("GoogleTranslate(C20, ""en"", ""fi"")"),"Näyte {number}")</f>
        <v>Näyte {number}</v>
      </c>
      <c r="X20" s="3" t="str">
        <f>IFERROR(__xludf.DUMMYFUNCTION("GoogleTranslate(C20, ""en"", ""fr"")"),"Échantillon {numéro}")</f>
        <v>Échantillon {numéro}</v>
      </c>
      <c r="Y20" s="3" t="str">
        <f>IFERROR(__xludf.DUMMYFUNCTION("GoogleTranslate(C20, ""en"", ""de"")"),"Probe {Nummer}")</f>
        <v>Probe {Nummer}</v>
      </c>
      <c r="Z20" s="3" t="str">
        <f>IFERROR(__xludf.DUMMYFUNCTION("GoogleTranslate(C20, ""en"", ""el"")"),"Δείγμα {number}")</f>
        <v>Δείγμα {number}</v>
      </c>
      <c r="AA20" s="3" t="str">
        <f>IFERROR(__xludf.DUMMYFUNCTION("GoogleTranslate(C20, ""en"", ""iw"")"),"דוגמה {number}")</f>
        <v>דוגמה {number}</v>
      </c>
      <c r="AB20" s="3" t="str">
        <f>IFERROR(__xludf.DUMMYFUNCTION("GoogleTranslate(C20, ""en"", ""hi"")"),"नमूने की संख्या}")</f>
        <v>नमूने की संख्या}</v>
      </c>
      <c r="AC20" s="3" t="str">
        <f>IFERROR(__xludf.DUMMYFUNCTION("GoogleTranslate(C20, ""en"", ""hu"")"),"Minta {number}")</f>
        <v>Minta {number}</v>
      </c>
      <c r="AD20" s="3" t="str">
        <f>IFERROR(__xludf.DUMMYFUNCTION("GoogleTranslate(C20, ""en"", ""is"")"),"Sýnishorn {númer}")</f>
        <v>Sýnishorn {númer}</v>
      </c>
      <c r="AE20" s="3" t="str">
        <f>IFERROR(__xludf.DUMMYFUNCTION("GoogleTranslate(C20, ""en"", ""id"")"),"Contoh {angka}")</f>
        <v>Contoh {angka}</v>
      </c>
      <c r="AF20" s="3" t="str">
        <f>IFERROR(__xludf.DUMMYFUNCTION("GoogleTranslate(C20, ""en"", ""in"")"),"Contoh {angka}")</f>
        <v>Contoh {angka}</v>
      </c>
      <c r="AG20" s="3" t="str">
        <f>IFERROR(__xludf.DUMMYFUNCTION("GoogleTranslate(C20, ""en"", ""it"")"),"Campione {numero}")</f>
        <v>Campione {numero}</v>
      </c>
      <c r="AH20" s="3" t="str">
        <f>IFERROR(__xludf.DUMMYFUNCTION("GoogleTranslate(C20, ""en"", ""ja"")"),"サンプル {番号}")</f>
        <v>サンプル {番号}</v>
      </c>
      <c r="AI20" s="3" t="str">
        <f>IFERROR(__xludf.DUMMYFUNCTION("GoogleTranslate(C20, ""en"", ""kn"")"),"ಮಾದರಿ {ಸಂಖ್ಯೆ}")</f>
        <v>ಮಾದರಿ {ಸಂಖ್ಯೆ}</v>
      </c>
      <c r="AJ20" s="3" t="str">
        <f>IFERROR(__xludf.DUMMYFUNCTION("GoogleTranslate(C20, ""en"", ""km"")"),"គំរូ {number}")</f>
        <v>គំរូ {number}</v>
      </c>
      <c r="AK20" s="3" t="str">
        <f>IFERROR(__xludf.DUMMYFUNCTION("GoogleTranslate(C20, ""en"", ""ko"")"),"샘플 {번호}")</f>
        <v>샘플 {번호}</v>
      </c>
      <c r="AL20" s="3" t="str">
        <f>IFERROR(__xludf.DUMMYFUNCTION("GoogleTranslate(C20, ""en"", ""lo"")"),"ຕົວຢ່າງ {number}")</f>
        <v>ຕົວຢ່າງ {number}</v>
      </c>
      <c r="AM20" s="3" t="str">
        <f>IFERROR(__xludf.DUMMYFUNCTION("GoogleTranslate(C20, ""en"", ""lv"")"),"{number} paraugs")</f>
        <v>{number} paraugs</v>
      </c>
      <c r="AN20" s="3" t="str">
        <f>IFERROR(__xludf.DUMMYFUNCTION("GoogleTranslate(C20, ""en"", ""lt"")"),"{number} pavyzdys")</f>
        <v>{number} pavyzdys</v>
      </c>
      <c r="AO20" s="3" t="str">
        <f>IFERROR(__xludf.DUMMYFUNCTION("GoogleTranslate(C20, ""en"", ""mk"")"),"Примерок {број}")</f>
        <v>Примерок {број}</v>
      </c>
      <c r="AP20" s="3" t="str">
        <f>IFERROR(__xludf.DUMMYFUNCTION("GoogleTranslate(C20, ""en"", ""ms"")"),"Sampel {nombor}")</f>
        <v>Sampel {nombor}</v>
      </c>
      <c r="AQ20" s="3" t="str">
        <f>IFERROR(__xludf.DUMMYFUNCTION("GoogleTranslate(C20, ""en"", ""ml"")"),"സാമ്പിൾ {നമ്പർ}")</f>
        <v>സാമ്പിൾ {നമ്പർ}</v>
      </c>
      <c r="AR20" s="3" t="str">
        <f>IFERROR(__xludf.DUMMYFUNCTION("GoogleTranslate(C20, ""en"", ""mr"")"),"नमुना {संख्या}")</f>
        <v>नमुना {संख्या}</v>
      </c>
      <c r="AS20" s="3" t="str">
        <f>IFERROR(__xludf.DUMMYFUNCTION("GoogleTranslate(C20, ""en"", ""mn"")"),"Жишээ {тоо}")</f>
        <v>Жишээ {тоо}</v>
      </c>
      <c r="AT20" s="3" t="str">
        <f>IFERROR(__xludf.DUMMYFUNCTION("GoogleTranslate(C20, ""en"", ""ne"")"),"नमूना {नम्बर}")</f>
        <v>नमूना {नम्बर}</v>
      </c>
      <c r="AU20" s="3" t="str">
        <f>IFERROR(__xludf.DUMMYFUNCTION("GoogleTranslate(C20, ""en"", ""nb"")"),"Eksempel {nummer}")</f>
        <v>Eksempel {nummer}</v>
      </c>
      <c r="AV20" s="3" t="str">
        <f>IFERROR(__xludf.DUMMYFUNCTION("GoogleTranslate(C20, ""en"", ""fa"")"),"نمونه {number}")</f>
        <v>نمونه {number}</v>
      </c>
      <c r="AW20" s="3" t="str">
        <f>IFERROR(__xludf.DUMMYFUNCTION("GoogleTranslate(C20, ""en"", ""pl"")"),"Próbka {numer}")</f>
        <v>Próbka {numer}</v>
      </c>
      <c r="AX20" s="3" t="str">
        <f>IFERROR(__xludf.DUMMYFUNCTION("GoogleTranslate(C20, ""en"", ""pt"")"),"Amostra {número}")</f>
        <v>Amostra {número}</v>
      </c>
      <c r="AY20" s="3" t="str">
        <f>IFERROR(__xludf.DUMMYFUNCTION("GoogleTranslate(C20, ""en"", ""ro"")"),"Probă {număr}")</f>
        <v>Probă {număr}</v>
      </c>
      <c r="AZ20" s="3" t="str">
        <f>IFERROR(__xludf.DUMMYFUNCTION("GoogleTranslate(C20, ""en"", ""ru"")"),"Образец {номер}")</f>
        <v>Образец {номер}</v>
      </c>
      <c r="BA20" s="3" t="str">
        <f>IFERROR(__xludf.DUMMYFUNCTION("GoogleTranslate(C20, ""en"", ""sr"")"),"Узорак {нумбер}")</f>
        <v>Узорак {нумбер}</v>
      </c>
      <c r="BB20" s="3" t="str">
        <f>IFERROR(__xludf.DUMMYFUNCTION("GoogleTranslate(C20, ""en"", ""si"")"),"නියැදිය {අංක}")</f>
        <v>නියැදිය {අංක}</v>
      </c>
      <c r="BC20" s="3" t="str">
        <f>IFERROR(__xludf.DUMMYFUNCTION("GoogleTranslate(C20, ""en"", ""sk"")"),"Ukážka {číslo}")</f>
        <v>Ukážka {číslo}</v>
      </c>
      <c r="BD20" s="3" t="str">
        <f>IFERROR(__xludf.DUMMYFUNCTION("GoogleTranslate(C20, ""en"", ""sl"")"),"Vzorec {število}")</f>
        <v>Vzorec {število}</v>
      </c>
      <c r="BE20" s="3" t="str">
        <f>IFERROR(__xludf.DUMMYFUNCTION("GoogleTranslate(C20, ""en"", ""es"")"),"Muestra {número}")</f>
        <v>Muestra {número}</v>
      </c>
      <c r="BF20" s="3" t="str">
        <f>IFERROR(__xludf.DUMMYFUNCTION("GoogleTranslate(C20, ""en"", ""sw"")"),"Sampuli {number}")</f>
        <v>Sampuli {number}</v>
      </c>
      <c r="BG20" s="3" t="str">
        <f>IFERROR(__xludf.DUMMYFUNCTION("GoogleTranslate(C20, ""en"", ""sv"")"),"Exempel {nummer}")</f>
        <v>Exempel {nummer}</v>
      </c>
      <c r="BH20" s="3" t="str">
        <f>IFERROR(__xludf.DUMMYFUNCTION("GoogleTranslate(C20, ""en"", ""te"")"),"నమూనా {number}")</f>
        <v>నమూనా {number}</v>
      </c>
      <c r="BI20" s="3" t="str">
        <f>IFERROR(__xludf.DUMMYFUNCTION("GoogleTranslate(C20, ""en"", ""th"")"),"ตัวอย่าง {หมายเลข}")</f>
        <v>ตัวอย่าง {หมายเลข}</v>
      </c>
      <c r="BJ20" s="3" t="str">
        <f>IFERROR(__xludf.DUMMYFUNCTION("GoogleTranslate(C20, ""en"", ""tr"")"),"Örnek {sayı}")</f>
        <v>Örnek {sayı}</v>
      </c>
      <c r="BK20" s="3" t="str">
        <f>IFERROR(__xludf.DUMMYFUNCTION("GoogleTranslate(C20, ""en"", ""uk"")"),"Зразок {число}")</f>
        <v>Зразок {число}</v>
      </c>
      <c r="BL20" s="3" t="str">
        <f>IFERROR(__xludf.DUMMYFUNCTION("GoogleTranslate(C20, ""en"", ""zu"")"),"Isampuli {number}")</f>
        <v>Isampuli {number}</v>
      </c>
    </row>
    <row r="21">
      <c r="A21" s="1" t="str">
        <f t="shared" si="1"/>
        <v>Number_of_days</v>
      </c>
      <c r="B21" s="4" t="s">
        <v>83</v>
      </c>
      <c r="C21" s="1" t="str">
        <f t="shared" si="2"/>
        <v>Number of days</v>
      </c>
      <c r="D21" s="3" t="str">
        <f>IFERROR(__xludf.DUMMYFUNCTION("GoogleTranslate(C21, ""en"", ""es"")"),"Número de días")</f>
        <v>Número de días</v>
      </c>
      <c r="E21" s="3" t="str">
        <f>IFERROR(__xludf.DUMMYFUNCTION("GoogleTranslate(C21, ""en"", ""ar"")"),"عدد الأيام")</f>
        <v>عدد الأيام</v>
      </c>
      <c r="F21" s="3" t="str">
        <f>IFERROR(__xludf.DUMMYFUNCTION("GoogleTranslate(C21, ""en"", ""hy"")"),"Օրերի քանակը")</f>
        <v>Օրերի քանակը</v>
      </c>
      <c r="G21" s="3" t="str">
        <f>IFERROR(__xludf.DUMMYFUNCTION("GoogleTranslate(C21, ""en"", ""vi"")"),"Số ngày")</f>
        <v>Số ngày</v>
      </c>
      <c r="H21" s="3" t="str">
        <f>IFERROR(__xludf.DUMMYFUNCTION("GoogleTranslate(C21, ""en"", ""az"")"),"Günlərin sayı")</f>
        <v>Günlərin sayı</v>
      </c>
      <c r="I21" s="3" t="str">
        <f>IFERROR(__xludf.DUMMYFUNCTION("GoogleTranslate(C21, ""en"", ""eu"")"),"Egun kopurua")</f>
        <v>Egun kopurua</v>
      </c>
      <c r="J21" s="3" t="str">
        <f>IFERROR(__xludf.DUMMYFUNCTION("GoogleTranslate(C21, ""en"", ""be"")"),"Колькасць дзён")</f>
        <v>Колькасць дзён</v>
      </c>
      <c r="K21" s="3" t="str">
        <f>IFERROR(__xludf.DUMMYFUNCTION("GoogleTranslate(C21, ""en"", ""bn"")"),"দিনের সংখ্যা")</f>
        <v>দিনের সংখ্যা</v>
      </c>
      <c r="L21" s="3" t="str">
        <f>IFERROR(__xludf.DUMMYFUNCTION("GoogleTranslate(C21, ""en"", ""bg"")"),"Брой дни")</f>
        <v>Брой дни</v>
      </c>
      <c r="M21" s="3" t="str">
        <f>IFERROR(__xludf.DUMMYFUNCTION("GoogleTranslate(C21, ""en"", ""my"")"),"ရက်အရေအတွက်")</f>
        <v>ရက်အရေအတွက်</v>
      </c>
      <c r="N21" s="3" t="str">
        <f>IFERROR(__xludf.DUMMYFUNCTION("GoogleTranslate(C21, ""en"", ""ca"")"),"Nombre de dies")</f>
        <v>Nombre de dies</v>
      </c>
      <c r="O21" s="3" t="str">
        <f>IFERROR(__xludf.DUMMYFUNCTION("GoogleTranslate(C21, ""en"", ""zh-cn"")"),"天数")</f>
        <v>天数</v>
      </c>
      <c r="P21" s="3" t="str">
        <f>IFERROR(__xludf.DUMMYFUNCTION("GoogleTranslate(C21, ""en"", ""zh-TW"")"),"天數")</f>
        <v>天數</v>
      </c>
      <c r="Q21" s="3" t="str">
        <f>IFERROR(__xludf.DUMMYFUNCTION("GoogleTranslate(C21, ""en"", ""hr"")"),"Broj dana")</f>
        <v>Broj dana</v>
      </c>
      <c r="R21" s="3" t="str">
        <f>IFERROR(__xludf.DUMMYFUNCTION("GoogleTranslate(C21, ""en"", ""cs"")"),"Počet dní")</f>
        <v>Počet dní</v>
      </c>
      <c r="S21" s="3" t="str">
        <f>IFERROR(__xludf.DUMMYFUNCTION("GoogleTranslate(C21, ""en"", ""da"")"),"Antal dage")</f>
        <v>Antal dage</v>
      </c>
      <c r="T21" s="3" t="str">
        <f>IFERROR(__xludf.DUMMYFUNCTION("GoogleTranslate(C21, ""en"", ""nl"")"),"Aantal dagen")</f>
        <v>Aantal dagen</v>
      </c>
      <c r="U21" s="3" t="str">
        <f>IFERROR(__xludf.DUMMYFUNCTION("GoogleTranslate(C21, ""en"", ""et"")"),"Päevade arv")</f>
        <v>Päevade arv</v>
      </c>
      <c r="V21" s="1" t="str">
        <f t="shared" si="3"/>
        <v>Number of days</v>
      </c>
      <c r="W21" s="3" t="str">
        <f>IFERROR(__xludf.DUMMYFUNCTION("GoogleTranslate(C21, ""en"", ""fi"")"),"Päivien lukumäärä")</f>
        <v>Päivien lukumäärä</v>
      </c>
      <c r="X21" s="3" t="str">
        <f>IFERROR(__xludf.DUMMYFUNCTION("GoogleTranslate(C21, ""en"", ""fr"")"),"Nombre de jours")</f>
        <v>Nombre de jours</v>
      </c>
      <c r="Y21" s="3" t="str">
        <f>IFERROR(__xludf.DUMMYFUNCTION("GoogleTranslate(C21, ""en"", ""de"")"),"Anzahl der Tage")</f>
        <v>Anzahl der Tage</v>
      </c>
      <c r="Z21" s="3" t="str">
        <f>IFERROR(__xludf.DUMMYFUNCTION("GoogleTranslate(C21, ""en"", ""el"")"),"Αριθμός ημερών")</f>
        <v>Αριθμός ημερών</v>
      </c>
      <c r="AA21" s="3" t="str">
        <f>IFERROR(__xludf.DUMMYFUNCTION("GoogleTranslate(C21, ""en"", ""iw"")"),"מספר ימים")</f>
        <v>מספר ימים</v>
      </c>
      <c r="AB21" s="3" t="str">
        <f>IFERROR(__xludf.DUMMYFUNCTION("GoogleTranslate(C21, ""en"", ""hi"")"),"दिनों की संख्या")</f>
        <v>दिनों की संख्या</v>
      </c>
      <c r="AC21" s="3" t="str">
        <f>IFERROR(__xludf.DUMMYFUNCTION("GoogleTranslate(C21, ""en"", ""hu"")"),"Napok száma")</f>
        <v>Napok száma</v>
      </c>
      <c r="AD21" s="3" t="str">
        <f>IFERROR(__xludf.DUMMYFUNCTION("GoogleTranslate(C21, ""en"", ""is"")"),"Fjöldi daga")</f>
        <v>Fjöldi daga</v>
      </c>
      <c r="AE21" s="3" t="str">
        <f>IFERROR(__xludf.DUMMYFUNCTION("GoogleTranslate(C21, ""en"", ""id"")"),"Jumlah hari")</f>
        <v>Jumlah hari</v>
      </c>
      <c r="AF21" s="3" t="str">
        <f>IFERROR(__xludf.DUMMYFUNCTION("GoogleTranslate(C21, ""en"", ""in"")"),"Jumlah hari")</f>
        <v>Jumlah hari</v>
      </c>
      <c r="AG21" s="3" t="str">
        <f>IFERROR(__xludf.DUMMYFUNCTION("GoogleTranslate(C21, ""en"", ""it"")"),"Numero di giorni")</f>
        <v>Numero di giorni</v>
      </c>
      <c r="AH21" s="3" t="str">
        <f>IFERROR(__xludf.DUMMYFUNCTION("GoogleTranslate(C21, ""en"", ""ja"")"),"日数")</f>
        <v>日数</v>
      </c>
      <c r="AI21" s="3" t="str">
        <f>IFERROR(__xludf.DUMMYFUNCTION("GoogleTranslate(C21, ""en"", ""kn"")"),"ದಿನಗಳ ಸಂಖ್ಯೆ")</f>
        <v>ದಿನಗಳ ಸಂಖ್ಯೆ</v>
      </c>
      <c r="AJ21" s="3" t="str">
        <f>IFERROR(__xludf.DUMMYFUNCTION("GoogleTranslate(C21, ""en"", ""km"")"),"ចំនួនថ្ងៃ")</f>
        <v>ចំនួនថ្ងៃ</v>
      </c>
      <c r="AK21" s="3" t="str">
        <f>IFERROR(__xludf.DUMMYFUNCTION("GoogleTranslate(C21, ""en"", ""ko"")"),"일수")</f>
        <v>일수</v>
      </c>
      <c r="AL21" s="3" t="str">
        <f>IFERROR(__xludf.DUMMYFUNCTION("GoogleTranslate(C21, ""en"", ""lo"")"),"ຈໍານວນມື້")</f>
        <v>ຈໍານວນມື້</v>
      </c>
      <c r="AM21" s="3" t="str">
        <f>IFERROR(__xludf.DUMMYFUNCTION("GoogleTranslate(C21, ""en"", ""lv"")"),"Dienu skaits")</f>
        <v>Dienu skaits</v>
      </c>
      <c r="AN21" s="3" t="str">
        <f>IFERROR(__xludf.DUMMYFUNCTION("GoogleTranslate(C21, ""en"", ""lt"")"),"Dienų skaičius")</f>
        <v>Dienų skaičius</v>
      </c>
      <c r="AO21" s="3" t="str">
        <f>IFERROR(__xludf.DUMMYFUNCTION("GoogleTranslate(C21, ""en"", ""mk"")"),"Број на денови")</f>
        <v>Број на денови</v>
      </c>
      <c r="AP21" s="3" t="str">
        <f>IFERROR(__xludf.DUMMYFUNCTION("GoogleTranslate(C21, ""en"", ""ms"")"),"Bilangan hari")</f>
        <v>Bilangan hari</v>
      </c>
      <c r="AQ21" s="3" t="str">
        <f>IFERROR(__xludf.DUMMYFUNCTION("GoogleTranslate(C21, ""en"", ""ml"")"),"ദിവസങ്ങളുടെ എണ്ണം")</f>
        <v>ദിവസങ്ങളുടെ എണ്ണം</v>
      </c>
      <c r="AR21" s="3" t="str">
        <f>IFERROR(__xludf.DUMMYFUNCTION("GoogleTranslate(C21, ""en"", ""mr"")"),"दिवसांची संख्या")</f>
        <v>दिवसांची संख्या</v>
      </c>
      <c r="AS21" s="3" t="str">
        <f>IFERROR(__xludf.DUMMYFUNCTION("GoogleTranslate(C21, ""en"", ""mn"")"),"Өдрийн тоо")</f>
        <v>Өдрийн тоо</v>
      </c>
      <c r="AT21" s="3" t="str">
        <f>IFERROR(__xludf.DUMMYFUNCTION("GoogleTranslate(C21, ""en"", ""ne"")"),"दिनको संख्या")</f>
        <v>दिनको संख्या</v>
      </c>
      <c r="AU21" s="3" t="str">
        <f>IFERROR(__xludf.DUMMYFUNCTION("GoogleTranslate(C21, ""en"", ""nb"")"),"Antall dager")</f>
        <v>Antall dager</v>
      </c>
      <c r="AV21" s="3" t="str">
        <f>IFERROR(__xludf.DUMMYFUNCTION("GoogleTranslate(C21, ""en"", ""fa"")"),"تعداد روزها")</f>
        <v>تعداد روزها</v>
      </c>
      <c r="AW21" s="3" t="str">
        <f>IFERROR(__xludf.DUMMYFUNCTION("GoogleTranslate(C21, ""en"", ""pl"")"),"Liczba dni")</f>
        <v>Liczba dni</v>
      </c>
      <c r="AX21" s="3" t="str">
        <f>IFERROR(__xludf.DUMMYFUNCTION("GoogleTranslate(C21, ""en"", ""pt"")"),"Número de dias")</f>
        <v>Número de dias</v>
      </c>
      <c r="AY21" s="3" t="str">
        <f>IFERROR(__xludf.DUMMYFUNCTION("GoogleTranslate(C21, ""en"", ""ro"")"),"Numărul de zile")</f>
        <v>Numărul de zile</v>
      </c>
      <c r="AZ21" s="3" t="str">
        <f>IFERROR(__xludf.DUMMYFUNCTION("GoogleTranslate(C21, ""en"", ""ru"")"),"Количество дней")</f>
        <v>Количество дней</v>
      </c>
      <c r="BA21" s="3" t="str">
        <f>IFERROR(__xludf.DUMMYFUNCTION("GoogleTranslate(C21, ""en"", ""sr"")"),"Број дана")</f>
        <v>Број дана</v>
      </c>
      <c r="BB21" s="3" t="str">
        <f>IFERROR(__xludf.DUMMYFUNCTION("GoogleTranslate(C21, ""en"", ""si"")"),"දින ගණන")</f>
        <v>දින ගණන</v>
      </c>
      <c r="BC21" s="3" t="str">
        <f>IFERROR(__xludf.DUMMYFUNCTION("GoogleTranslate(C21, ""en"", ""sk"")"),"Počet dní")</f>
        <v>Počet dní</v>
      </c>
      <c r="BD21" s="3" t="str">
        <f>IFERROR(__xludf.DUMMYFUNCTION("GoogleTranslate(C21, ""en"", ""sl"")"),"Število dni")</f>
        <v>Število dni</v>
      </c>
      <c r="BE21" s="3" t="str">
        <f>IFERROR(__xludf.DUMMYFUNCTION("GoogleTranslate(C21, ""en"", ""es"")"),"Número de días")</f>
        <v>Número de días</v>
      </c>
      <c r="BF21" s="3" t="str">
        <f>IFERROR(__xludf.DUMMYFUNCTION("GoogleTranslate(C21, ""en"", ""sw"")"),"Idadi ya siku")</f>
        <v>Idadi ya siku</v>
      </c>
      <c r="BG21" s="3" t="str">
        <f>IFERROR(__xludf.DUMMYFUNCTION("GoogleTranslate(C21, ""en"", ""sv"")"),"Antal dagar")</f>
        <v>Antal dagar</v>
      </c>
      <c r="BH21" s="3" t="str">
        <f>IFERROR(__xludf.DUMMYFUNCTION("GoogleTranslate(C21, ""en"", ""te"")"),"రోజుల సంఖ్య")</f>
        <v>రోజుల సంఖ్య</v>
      </c>
      <c r="BI21" s="3" t="str">
        <f>IFERROR(__xludf.DUMMYFUNCTION("GoogleTranslate(C21, ""en"", ""th"")"),"จำนวนวัน")</f>
        <v>จำนวนวัน</v>
      </c>
      <c r="BJ21" s="3" t="str">
        <f>IFERROR(__xludf.DUMMYFUNCTION("GoogleTranslate(C21, ""en"", ""tr"")"),"Gün sayısı")</f>
        <v>Gün sayısı</v>
      </c>
      <c r="BK21" s="3" t="str">
        <f>IFERROR(__xludf.DUMMYFUNCTION("GoogleTranslate(C21, ""en"", ""uk"")"),"Кількість днів")</f>
        <v>Кількість днів</v>
      </c>
      <c r="BL21" s="3" t="str">
        <f>IFERROR(__xludf.DUMMYFUNCTION("GoogleTranslate(C21, ""en"", ""zu"")"),"Inombolo yezinsuku")</f>
        <v>Inombolo yezinsuku</v>
      </c>
    </row>
    <row r="22">
      <c r="A22" s="1" t="str">
        <f t="shared" si="1"/>
        <v>{number}_days</v>
      </c>
      <c r="B22" s="4" t="s">
        <v>84</v>
      </c>
      <c r="C22" s="1" t="str">
        <f t="shared" si="2"/>
        <v>{number} days</v>
      </c>
      <c r="D22" s="3" t="str">
        <f>IFERROR(__xludf.DUMMYFUNCTION("GoogleTranslate(C22, ""en"", ""es"")"),"{número} días")</f>
        <v>{número} días</v>
      </c>
      <c r="E22" s="3" t="str">
        <f>IFERROR(__xludf.DUMMYFUNCTION("GoogleTranslate(C22, ""en"", ""ar"")"),"{عدد} يوم")</f>
        <v>{عدد} يوم</v>
      </c>
      <c r="F22" s="3" t="str">
        <f>IFERROR(__xludf.DUMMYFUNCTION("GoogleTranslate(C22, ""en"", ""hy"")"),"{number} օր")</f>
        <v>{number} օր</v>
      </c>
      <c r="G22" s="3" t="str">
        <f>IFERROR(__xludf.DUMMYFUNCTION("GoogleTranslate(C22, ""en"", ""vi"")"),"{số} ngày")</f>
        <v>{số} ngày</v>
      </c>
      <c r="H22" s="3" t="str">
        <f>IFERROR(__xludf.DUMMYFUNCTION("GoogleTranslate(C22, ""en"", ""az"")"),"{sayı} gün")</f>
        <v>{sayı} gün</v>
      </c>
      <c r="I22" s="3" t="str">
        <f>IFERROR(__xludf.DUMMYFUNCTION("GoogleTranslate(C22, ""en"", ""eu"")"),"{zenbaki} egun")</f>
        <v>{zenbaki} egun</v>
      </c>
      <c r="J22" s="3" t="str">
        <f>IFERROR(__xludf.DUMMYFUNCTION("GoogleTranslate(C22, ""en"", ""be"")"),"{number} дзён")</f>
        <v>{number} дзён</v>
      </c>
      <c r="K22" s="3" t="str">
        <f>IFERROR(__xludf.DUMMYFUNCTION("GoogleTranslate(C22, ""en"", ""bn"")"),"{number} দিন")</f>
        <v>{number} দিন</v>
      </c>
      <c r="L22" s="3" t="str">
        <f>IFERROR(__xludf.DUMMYFUNCTION("GoogleTranslate(C22, ""en"", ""bg"")"),"{number} дни")</f>
        <v>{number} дни</v>
      </c>
      <c r="M22" s="3" t="str">
        <f>IFERROR(__xludf.DUMMYFUNCTION("GoogleTranslate(C22, ""en"", ""my"")"),"{number} ရက်")</f>
        <v>{number} ရက်</v>
      </c>
      <c r="N22" s="3" t="str">
        <f>IFERROR(__xludf.DUMMYFUNCTION("GoogleTranslate(C22, ""en"", ""ca"")"),"{nombre} dies")</f>
        <v>{nombre} dies</v>
      </c>
      <c r="O22" s="3" t="str">
        <f>IFERROR(__xludf.DUMMYFUNCTION("GoogleTranslate(C22, ""en"", ""zh-cn"")"),"{number} 天")</f>
        <v>{number} 天</v>
      </c>
      <c r="P22" s="3" t="str">
        <f>IFERROR(__xludf.DUMMYFUNCTION("GoogleTranslate(C22, ""en"", ""zh-TW"")"),"{number} 天")</f>
        <v>{number} 天</v>
      </c>
      <c r="Q22" s="3" t="str">
        <f>IFERROR(__xludf.DUMMYFUNCTION("GoogleTranslate(C22, ""en"", ""hr"")"),"{number} dana")</f>
        <v>{number} dana</v>
      </c>
      <c r="R22" s="3" t="str">
        <f>IFERROR(__xludf.DUMMYFUNCTION("GoogleTranslate(C22, ""en"", ""cs"")"),"{number} dní")</f>
        <v>{number} dní</v>
      </c>
      <c r="S22" s="3" t="str">
        <f>IFERROR(__xludf.DUMMYFUNCTION("GoogleTranslate(C22, ""en"", ""da"")"),"{number} dage")</f>
        <v>{number} dage</v>
      </c>
      <c r="T22" s="3" t="str">
        <f>IFERROR(__xludf.DUMMYFUNCTION("GoogleTranslate(C22, ""en"", ""nl"")"),"{aantal} dagen")</f>
        <v>{aantal} dagen</v>
      </c>
      <c r="U22" s="3" t="str">
        <f>IFERROR(__xludf.DUMMYFUNCTION("GoogleTranslate(C22, ""en"", ""et"")"),"{number} päeva")</f>
        <v>{number} päeva</v>
      </c>
      <c r="V22" s="1" t="str">
        <f t="shared" si="3"/>
        <v>{number} days</v>
      </c>
      <c r="W22" s="3" t="str">
        <f>IFERROR(__xludf.DUMMYFUNCTION("GoogleTranslate(C22, ""en"", ""fi"")"),"{number} päivää")</f>
        <v>{number} päivää</v>
      </c>
      <c r="X22" s="3" t="str">
        <f>IFERROR(__xludf.DUMMYFUNCTION("GoogleTranslate(C22, ""en"", ""fr"")"),"{nombre} jours")</f>
        <v>{nombre} jours</v>
      </c>
      <c r="Y22" s="3" t="str">
        <f>IFERROR(__xludf.DUMMYFUNCTION("GoogleTranslate(C22, ""en"", ""de"")"),"{Anzahl} Tage")</f>
        <v>{Anzahl} Tage</v>
      </c>
      <c r="Z22" s="3" t="str">
        <f>IFERROR(__xludf.DUMMYFUNCTION("GoogleTranslate(C22, ""en"", ""el"")"),"{number} ημέρες")</f>
        <v>{number} ημέρες</v>
      </c>
      <c r="AA22" s="3" t="str">
        <f>IFERROR(__xludf.DUMMYFUNCTION("GoogleTranslate(C22, ""en"", ""iw"")"),"{number} ימים")</f>
        <v>{number} ימים</v>
      </c>
      <c r="AB22" s="3" t="str">
        <f>IFERROR(__xludf.DUMMYFUNCTION("GoogleTranslate(C22, ""en"", ""hi"")"),"{संख्या} दिन")</f>
        <v>{संख्या} दिन</v>
      </c>
      <c r="AC22" s="3" t="str">
        <f>IFERROR(__xludf.DUMMYFUNCTION("GoogleTranslate(C22, ""en"", ""hu"")"),"{number} nap")</f>
        <v>{number} nap</v>
      </c>
      <c r="AD22" s="3" t="str">
        <f>IFERROR(__xludf.DUMMYFUNCTION("GoogleTranslate(C22, ""en"", ""is"")"),"{number} dagar")</f>
        <v>{number} dagar</v>
      </c>
      <c r="AE22" s="3" t="str">
        <f>IFERROR(__xludf.DUMMYFUNCTION("GoogleTranslate(C22, ""en"", ""id"")"),"{angka} hari")</f>
        <v>{angka} hari</v>
      </c>
      <c r="AF22" s="3" t="str">
        <f>IFERROR(__xludf.DUMMYFUNCTION("GoogleTranslate(C22, ""en"", ""in"")"),"{angka} hari")</f>
        <v>{angka} hari</v>
      </c>
      <c r="AG22" s="3" t="str">
        <f>IFERROR(__xludf.DUMMYFUNCTION("GoogleTranslate(C22, ""en"", ""it"")"),"{numero} giorni")</f>
        <v>{numero} giorni</v>
      </c>
      <c r="AH22" s="3" t="str">
        <f>IFERROR(__xludf.DUMMYFUNCTION("GoogleTranslate(C22, ""en"", ""ja"")"),"{数字} 日")</f>
        <v>{数字} 日</v>
      </c>
      <c r="AI22" s="3" t="str">
        <f>IFERROR(__xludf.DUMMYFUNCTION("GoogleTranslate(C22, ""en"", ""kn"")"),"{number} ದಿನಗಳು")</f>
        <v>{number} ದಿನಗಳು</v>
      </c>
      <c r="AJ22" s="3" t="str">
        <f>IFERROR(__xludf.DUMMYFUNCTION("GoogleTranslate(C22, ""en"", ""km"")"),"{number} ថ្ងៃ។")</f>
        <v>{number} ថ្ងៃ។</v>
      </c>
      <c r="AK22" s="3" t="str">
        <f>IFERROR(__xludf.DUMMYFUNCTION("GoogleTranslate(C22, ""en"", ""ko"")"),"{number}일")</f>
        <v>{number}일</v>
      </c>
      <c r="AL22" s="3" t="str">
        <f>IFERROR(__xludf.DUMMYFUNCTION("GoogleTranslate(C22, ""en"", ""lo"")"),"{number} ມື້")</f>
        <v>{number} ມື້</v>
      </c>
      <c r="AM22" s="3" t="str">
        <f>IFERROR(__xludf.DUMMYFUNCTION("GoogleTranslate(C22, ""en"", ""lv"")"),"{number} dienas")</f>
        <v>{number} dienas</v>
      </c>
      <c r="AN22" s="3" t="str">
        <f>IFERROR(__xludf.DUMMYFUNCTION("GoogleTranslate(C22, ""en"", ""lt"")"),"{number} dienų")</f>
        <v>{number} dienų</v>
      </c>
      <c r="AO22" s="3" t="str">
        <f>IFERROR(__xludf.DUMMYFUNCTION("GoogleTranslate(C22, ""en"", ""mk"")"),"{number} дена")</f>
        <v>{number} дена</v>
      </c>
      <c r="AP22" s="3" t="str">
        <f>IFERROR(__xludf.DUMMYFUNCTION("GoogleTranslate(C22, ""en"", ""ms"")"),"{number} hari")</f>
        <v>{number} hari</v>
      </c>
      <c r="AQ22" s="3" t="str">
        <f>IFERROR(__xludf.DUMMYFUNCTION("GoogleTranslate(C22, ""en"", ""ml"")"),"{number} ദിവസം")</f>
        <v>{number} ദിവസം</v>
      </c>
      <c r="AR22" s="3" t="str">
        <f>IFERROR(__xludf.DUMMYFUNCTION("GoogleTranslate(C22, ""en"", ""mr"")"),"{number} दिवस")</f>
        <v>{number} दिवस</v>
      </c>
      <c r="AS22" s="3" t="str">
        <f>IFERROR(__xludf.DUMMYFUNCTION("GoogleTranslate(C22, ""en"", ""mn"")"),"{number} өдөр")</f>
        <v>{number} өдөр</v>
      </c>
      <c r="AT22" s="3" t="str">
        <f>IFERROR(__xludf.DUMMYFUNCTION("GoogleTranslate(C22, ""en"", ""ne"")"),"{number} दिन")</f>
        <v>{number} दिन</v>
      </c>
      <c r="AU22" s="3" t="str">
        <f>IFERROR(__xludf.DUMMYFUNCTION("GoogleTranslate(C22, ""en"", ""nb"")"),"{number} dager")</f>
        <v>{number} dager</v>
      </c>
      <c r="AV22" s="3" t="str">
        <f>IFERROR(__xludf.DUMMYFUNCTION("GoogleTranslate(C22, ""en"", ""fa"")"),"{number} روز")</f>
        <v>{number} روز</v>
      </c>
      <c r="AW22" s="3" t="str">
        <f>IFERROR(__xludf.DUMMYFUNCTION("GoogleTranslate(C22, ""en"", ""pl"")"),"{liczba} dni")</f>
        <v>{liczba} dni</v>
      </c>
      <c r="AX22" s="3" t="str">
        <f>IFERROR(__xludf.DUMMYFUNCTION("GoogleTranslate(C22, ""en"", ""pt"")"),"{número} dias")</f>
        <v>{número} dias</v>
      </c>
      <c r="AY22" s="3" t="str">
        <f>IFERROR(__xludf.DUMMYFUNCTION("GoogleTranslate(C22, ""en"", ""ro"")"),"{number} zile")</f>
        <v>{number} zile</v>
      </c>
      <c r="AZ22" s="3" t="str">
        <f>IFERROR(__xludf.DUMMYFUNCTION("GoogleTranslate(C22, ""en"", ""ru"")"),"{number} дней")</f>
        <v>{number} дней</v>
      </c>
      <c r="BA22" s="3" t="str">
        <f>IFERROR(__xludf.DUMMYFUNCTION("GoogleTranslate(C22, ""en"", ""sr"")"),"{нумбер} дана")</f>
        <v>{нумбер} дана</v>
      </c>
      <c r="BB22" s="3" t="str">
        <f>IFERROR(__xludf.DUMMYFUNCTION("GoogleTranslate(C22, ""en"", ""si"")"),"දින {number}")</f>
        <v>දින {number}</v>
      </c>
      <c r="BC22" s="3" t="str">
        <f>IFERROR(__xludf.DUMMYFUNCTION("GoogleTranslate(C22, ""en"", ""sk"")"),"{number} dní")</f>
        <v>{number} dní</v>
      </c>
      <c r="BD22" s="3" t="str">
        <f>IFERROR(__xludf.DUMMYFUNCTION("GoogleTranslate(C22, ""en"", ""sl"")"),"{number} dni")</f>
        <v>{number} dni</v>
      </c>
      <c r="BE22" s="3" t="str">
        <f>IFERROR(__xludf.DUMMYFUNCTION("GoogleTranslate(C22, ""en"", ""es"")"),"{número} días")</f>
        <v>{número} días</v>
      </c>
      <c r="BF22" s="3" t="str">
        <f>IFERROR(__xludf.DUMMYFUNCTION("GoogleTranslate(C22, ""en"", ""sw"")"),"siku {number}")</f>
        <v>siku {number}</v>
      </c>
      <c r="BG22" s="3" t="str">
        <f>IFERROR(__xludf.DUMMYFUNCTION("GoogleTranslate(C22, ""en"", ""sv"")"),"{number} dagar")</f>
        <v>{number} dagar</v>
      </c>
      <c r="BH22" s="3" t="str">
        <f>IFERROR(__xludf.DUMMYFUNCTION("GoogleTranslate(C22, ""en"", ""te"")"),"{number} రోజులు")</f>
        <v>{number} రోజులు</v>
      </c>
      <c r="BI22" s="3" t="str">
        <f>IFERROR(__xludf.DUMMYFUNCTION("GoogleTranslate(C22, ""en"", ""th"")"),"{จำนวน} วัน")</f>
        <v>{จำนวน} วัน</v>
      </c>
      <c r="BJ22" s="3" t="str">
        <f>IFERROR(__xludf.DUMMYFUNCTION("GoogleTranslate(C22, ""en"", ""tr"")"),"{number} gün")</f>
        <v>{number} gün</v>
      </c>
      <c r="BK22" s="3" t="str">
        <f>IFERROR(__xludf.DUMMYFUNCTION("GoogleTranslate(C22, ""en"", ""uk"")"),"{number} днів")</f>
        <v>{number} днів</v>
      </c>
      <c r="BL22" s="3" t="str">
        <f>IFERROR(__xludf.DUMMYFUNCTION("GoogleTranslate(C22, ""en"", ""zu"")"),"{number} izinsuku")</f>
        <v>{number} izinsuku</v>
      </c>
    </row>
    <row r="23">
      <c r="A23" s="1" t="str">
        <f t="shared" si="1"/>
        <v>Color_change_panel</v>
      </c>
      <c r="B23" s="4" t="s">
        <v>85</v>
      </c>
      <c r="C23" s="1" t="str">
        <f t="shared" si="2"/>
        <v>Color change panel</v>
      </c>
      <c r="D23" s="3" t="str">
        <f>IFERROR(__xludf.DUMMYFUNCTION("GoogleTranslate(C23, ""en"", ""es"")"),"Panel de cambio de color")</f>
        <v>Panel de cambio de color</v>
      </c>
      <c r="E23" s="3" t="str">
        <f>IFERROR(__xludf.DUMMYFUNCTION("GoogleTranslate(C23, ""en"", ""ar"")"),"لوحة تغيير اللون")</f>
        <v>لوحة تغيير اللون</v>
      </c>
      <c r="F23" s="3" t="str">
        <f>IFERROR(__xludf.DUMMYFUNCTION("GoogleTranslate(C23, ""en"", ""hy"")"),"Գույնի փոփոխման վահանակ")</f>
        <v>Գույնի փոփոխման վահանակ</v>
      </c>
      <c r="G23" s="3" t="str">
        <f>IFERROR(__xludf.DUMMYFUNCTION("GoogleTranslate(C23, ""en"", ""vi"")"),"Bảng đổi màu")</f>
        <v>Bảng đổi màu</v>
      </c>
      <c r="H23" s="3" t="str">
        <f>IFERROR(__xludf.DUMMYFUNCTION("GoogleTranslate(C23, ""en"", ""az"")"),"Rəng dəyişdirmə paneli")</f>
        <v>Rəng dəyişdirmə paneli</v>
      </c>
      <c r="I23" s="3" t="str">
        <f>IFERROR(__xludf.DUMMYFUNCTION("GoogleTranslate(C23, ""en"", ""eu"")"),"Kolore aldaketa panela")</f>
        <v>Kolore aldaketa panela</v>
      </c>
      <c r="J23" s="3" t="str">
        <f>IFERROR(__xludf.DUMMYFUNCTION("GoogleTranslate(C23, ""en"", ""be"")"),"Панэль змены колеру")</f>
        <v>Панэль змены колеру</v>
      </c>
      <c r="K23" s="3" t="str">
        <f>IFERROR(__xludf.DUMMYFUNCTION("GoogleTranslate(C23, ""en"", ""bn"")"),"রঙ পরিবর্তন প্যানেল")</f>
        <v>রঙ পরিবর্তন প্যানেল</v>
      </c>
      <c r="L23" s="3" t="str">
        <f>IFERROR(__xludf.DUMMYFUNCTION("GoogleTranslate(C23, ""en"", ""bg"")"),"Панел за промяна на цвета")</f>
        <v>Панел за промяна на цвета</v>
      </c>
      <c r="M23" s="3" t="str">
        <f>IFERROR(__xludf.DUMMYFUNCTION("GoogleTranslate(C23, ""en"", ""my"")"),"အရောင်ပြောင်းလဲမှုအကန့်")</f>
        <v>အရောင်ပြောင်းလဲမှုအကန့်</v>
      </c>
      <c r="N23" s="3" t="str">
        <f>IFERROR(__xludf.DUMMYFUNCTION("GoogleTranslate(C23, ""en"", ""ca"")"),"Panell de canvi de color")</f>
        <v>Panell de canvi de color</v>
      </c>
      <c r="O23" s="3" t="str">
        <f>IFERROR(__xludf.DUMMYFUNCTION("GoogleTranslate(C23, ""en"", ""zh-cn"")"),"换色面板")</f>
        <v>换色面板</v>
      </c>
      <c r="P23" s="3" t="str">
        <f>IFERROR(__xludf.DUMMYFUNCTION("GoogleTranslate(C23, ""en"", ""zh-TW"")"),"換色面板")</f>
        <v>換色面板</v>
      </c>
      <c r="Q23" s="3" t="str">
        <f>IFERROR(__xludf.DUMMYFUNCTION("GoogleTranslate(C23, ""en"", ""hr"")"),"Ploča za promjenu boje")</f>
        <v>Ploča za promjenu boje</v>
      </c>
      <c r="R23" s="3" t="str">
        <f>IFERROR(__xludf.DUMMYFUNCTION("GoogleTranslate(C23, ""en"", ""cs"")"),"Panel pro změnu barvy")</f>
        <v>Panel pro změnu barvy</v>
      </c>
      <c r="S23" s="3" t="str">
        <f>IFERROR(__xludf.DUMMYFUNCTION("GoogleTranslate(C23, ""en"", ""da"")"),"Panel for farveskift")</f>
        <v>Panel for farveskift</v>
      </c>
      <c r="T23" s="3" t="str">
        <f>IFERROR(__xludf.DUMMYFUNCTION("GoogleTranslate(C23, ""en"", ""nl"")"),"Kleurwisselpaneel")</f>
        <v>Kleurwisselpaneel</v>
      </c>
      <c r="U23" s="3" t="str">
        <f>IFERROR(__xludf.DUMMYFUNCTION("GoogleTranslate(C23, ""en"", ""et"")"),"Värvi muutmise paneel")</f>
        <v>Värvi muutmise paneel</v>
      </c>
      <c r="V23" s="1" t="str">
        <f t="shared" si="3"/>
        <v>Color change panel</v>
      </c>
      <c r="W23" s="3" t="str">
        <f>IFERROR(__xludf.DUMMYFUNCTION("GoogleTranslate(C23, ""en"", ""fi"")"),"Värinvaihtopaneeli")</f>
        <v>Värinvaihtopaneeli</v>
      </c>
      <c r="X23" s="3" t="str">
        <f>IFERROR(__xludf.DUMMYFUNCTION("GoogleTranslate(C23, ""en"", ""fr"")"),"Panneau de changement de couleur")</f>
        <v>Panneau de changement de couleur</v>
      </c>
      <c r="Y23" s="3" t="str">
        <f>IFERROR(__xludf.DUMMYFUNCTION("GoogleTranslate(C23, ""en"", ""de"")"),"Farbwechselfeld")</f>
        <v>Farbwechselfeld</v>
      </c>
      <c r="Z23" s="3" t="str">
        <f>IFERROR(__xludf.DUMMYFUNCTION("GoogleTranslate(C23, ""en"", ""el"")"),"Πίνακας αλλαγής χρώματος")</f>
        <v>Πίνακας αλλαγής χρώματος</v>
      </c>
      <c r="AA23" s="3" t="str">
        <f>IFERROR(__xludf.DUMMYFUNCTION("GoogleTranslate(C23, ""en"", ""iw"")"),"לוח שינוי צבע")</f>
        <v>לוח שינוי צבע</v>
      </c>
      <c r="AB23" s="3" t="str">
        <f>IFERROR(__xludf.DUMMYFUNCTION("GoogleTranslate(C23, ""en"", ""hi"")"),"रंग परिवर्तन पैनल")</f>
        <v>रंग परिवर्तन पैनल</v>
      </c>
      <c r="AC23" s="3" t="str">
        <f>IFERROR(__xludf.DUMMYFUNCTION("GoogleTranslate(C23, ""en"", ""hu"")"),"Színváltó panel")</f>
        <v>Színváltó panel</v>
      </c>
      <c r="AD23" s="3" t="str">
        <f>IFERROR(__xludf.DUMMYFUNCTION("GoogleTranslate(C23, ""en"", ""is"")"),"Litaskiptaborð")</f>
        <v>Litaskiptaborð</v>
      </c>
      <c r="AE23" s="3" t="str">
        <f>IFERROR(__xludf.DUMMYFUNCTION("GoogleTranslate(C23, ""en"", ""id"")"),"Panel perubahan warna")</f>
        <v>Panel perubahan warna</v>
      </c>
      <c r="AF23" s="3" t="str">
        <f>IFERROR(__xludf.DUMMYFUNCTION("GoogleTranslate(C23, ""en"", ""in"")"),"Panel perubahan warna")</f>
        <v>Panel perubahan warna</v>
      </c>
      <c r="AG23" s="3" t="str">
        <f>IFERROR(__xludf.DUMMYFUNCTION("GoogleTranslate(C23, ""en"", ""it"")"),"Pannello di cambio colore")</f>
        <v>Pannello di cambio colore</v>
      </c>
      <c r="AH23" s="3" t="str">
        <f>IFERROR(__xludf.DUMMYFUNCTION("GoogleTranslate(C23, ""en"", ""ja"")"),"色変更パネル")</f>
        <v>色変更パネル</v>
      </c>
      <c r="AI23" s="3" t="str">
        <f>IFERROR(__xludf.DUMMYFUNCTION("GoogleTranslate(C23, ""en"", ""kn"")"),"ಬಣ್ಣ ಬದಲಾವಣೆ ಫಲಕ")</f>
        <v>ಬಣ್ಣ ಬದಲಾವಣೆ ಫಲಕ</v>
      </c>
      <c r="AJ23" s="3" t="str">
        <f>IFERROR(__xludf.DUMMYFUNCTION("GoogleTranslate(C23, ""en"", ""km"")"),"ផ្ទាំងផ្លាស់ប្តូរពណ៌")</f>
        <v>ផ្ទាំងផ្លាស់ប្តូរពណ៌</v>
      </c>
      <c r="AK23" s="3" t="str">
        <f>IFERROR(__xludf.DUMMYFUNCTION("GoogleTranslate(C23, ""en"", ""ko"")"),"색상 변경 패널")</f>
        <v>색상 변경 패널</v>
      </c>
      <c r="AL23" s="3" t="str">
        <f>IFERROR(__xludf.DUMMYFUNCTION("GoogleTranslate(C23, ""en"", ""lo"")"),"ແຜງປ່ຽນສີ")</f>
        <v>ແຜງປ່ຽນສີ</v>
      </c>
      <c r="AM23" s="3" t="str">
        <f>IFERROR(__xludf.DUMMYFUNCTION("GoogleTranslate(C23, ""en"", ""lv"")"),"Krāsu maiņas panelis")</f>
        <v>Krāsu maiņas panelis</v>
      </c>
      <c r="AN23" s="3" t="str">
        <f>IFERROR(__xludf.DUMMYFUNCTION("GoogleTranslate(C23, ""en"", ""lt"")"),"Spalvos keitimo skydelis")</f>
        <v>Spalvos keitimo skydelis</v>
      </c>
      <c r="AO23" s="3" t="str">
        <f>IFERROR(__xludf.DUMMYFUNCTION("GoogleTranslate(C23, ""en"", ""mk"")"),"Панел за промена на боја")</f>
        <v>Панел за промена на боја</v>
      </c>
      <c r="AP23" s="3" t="str">
        <f>IFERROR(__xludf.DUMMYFUNCTION("GoogleTranslate(C23, ""en"", ""ms"")"),"Panel perubahan warna")</f>
        <v>Panel perubahan warna</v>
      </c>
      <c r="AQ23" s="3" t="str">
        <f>IFERROR(__xludf.DUMMYFUNCTION("GoogleTranslate(C23, ""en"", ""ml"")"),"നിറം മാറ്റുന്നതിനുള്ള പാനൽ")</f>
        <v>നിറം മാറ്റുന്നതിനുള്ള പാനൽ</v>
      </c>
      <c r="AR23" s="3" t="str">
        <f>IFERROR(__xludf.DUMMYFUNCTION("GoogleTranslate(C23, ""en"", ""mr"")"),"रंग बदलण्याचे पॅनेल")</f>
        <v>रंग बदलण्याचे पॅनेल</v>
      </c>
      <c r="AS23" s="3" t="str">
        <f>IFERROR(__xludf.DUMMYFUNCTION("GoogleTranslate(C23, ""en"", ""mn"")"),"Өнгө өөрчлөх самбар")</f>
        <v>Өнгө өөрчлөх самбар</v>
      </c>
      <c r="AT23" s="3" t="str">
        <f>IFERROR(__xludf.DUMMYFUNCTION("GoogleTranslate(C23, ""en"", ""ne"")"),"रङ परिवर्तन प्यानल")</f>
        <v>रङ परिवर्तन प्यानल</v>
      </c>
      <c r="AU23" s="3" t="str">
        <f>IFERROR(__xludf.DUMMYFUNCTION("GoogleTranslate(C23, ""en"", ""nb"")"),"Fargeskiftepanel")</f>
        <v>Fargeskiftepanel</v>
      </c>
      <c r="AV23" s="3" t="str">
        <f>IFERROR(__xludf.DUMMYFUNCTION("GoogleTranslate(C23, ""en"", ""fa"")"),"پنل تغییر رنگ")</f>
        <v>پنل تغییر رنگ</v>
      </c>
      <c r="AW23" s="3" t="str">
        <f>IFERROR(__xludf.DUMMYFUNCTION("GoogleTranslate(C23, ""en"", ""pl"")"),"Panel zmiany koloru")</f>
        <v>Panel zmiany koloru</v>
      </c>
      <c r="AX23" s="3" t="str">
        <f>IFERROR(__xludf.DUMMYFUNCTION("GoogleTranslate(C23, ""en"", ""pt"")"),"Painel de mudança de cor")</f>
        <v>Painel de mudança de cor</v>
      </c>
      <c r="AY23" s="3" t="str">
        <f>IFERROR(__xludf.DUMMYFUNCTION("GoogleTranslate(C23, ""en"", ""ro"")"),"Panou de schimbare a culorii")</f>
        <v>Panou de schimbare a culorii</v>
      </c>
      <c r="AZ23" s="3" t="str">
        <f>IFERROR(__xludf.DUMMYFUNCTION("GoogleTranslate(C23, ""en"", ""ru"")"),"Панель изменения цвета")</f>
        <v>Панель изменения цвета</v>
      </c>
      <c r="BA23" s="3" t="str">
        <f>IFERROR(__xludf.DUMMYFUNCTION("GoogleTranslate(C23, ""en"", ""sr"")"),"Панел за промену боје")</f>
        <v>Панел за промену боје</v>
      </c>
      <c r="BB23" s="3" t="str">
        <f>IFERROR(__xludf.DUMMYFUNCTION("GoogleTranslate(C23, ""en"", ""si"")"),"වර්ණ වෙනස් කිරීමේ පැනලය")</f>
        <v>වර්ණ වෙනස් කිරීමේ පැනලය</v>
      </c>
      <c r="BC23" s="3" t="str">
        <f>IFERROR(__xludf.DUMMYFUNCTION("GoogleTranslate(C23, ""en"", ""sk"")"),"Panel na zmenu farby")</f>
        <v>Panel na zmenu farby</v>
      </c>
      <c r="BD23" s="3" t="str">
        <f>IFERROR(__xludf.DUMMYFUNCTION("GoogleTranslate(C23, ""en"", ""sl"")"),"Plošča za spreminjanje barve")</f>
        <v>Plošča za spreminjanje barve</v>
      </c>
      <c r="BE23" s="3" t="str">
        <f>IFERROR(__xludf.DUMMYFUNCTION("GoogleTranslate(C23, ""en"", ""es"")"),"Panel de cambio de color")</f>
        <v>Panel de cambio de color</v>
      </c>
      <c r="BF23" s="3" t="str">
        <f>IFERROR(__xludf.DUMMYFUNCTION("GoogleTranslate(C23, ""en"", ""sw"")"),"Paneli ya kubadilisha rangi")</f>
        <v>Paneli ya kubadilisha rangi</v>
      </c>
      <c r="BG23" s="3" t="str">
        <f>IFERROR(__xludf.DUMMYFUNCTION("GoogleTranslate(C23, ""en"", ""sv"")"),"Panel för färgbyte")</f>
        <v>Panel för färgbyte</v>
      </c>
      <c r="BH23" s="3" t="str">
        <f>IFERROR(__xludf.DUMMYFUNCTION("GoogleTranslate(C23, ""en"", ""te"")"),"రంగు మార్పు ప్యానెల్")</f>
        <v>రంగు మార్పు ప్యానెల్</v>
      </c>
      <c r="BI23" s="3" t="str">
        <f>IFERROR(__xludf.DUMMYFUNCTION("GoogleTranslate(C23, ""en"", ""th"")"),"แผงเปลี่ยนสี")</f>
        <v>แผงเปลี่ยนสี</v>
      </c>
      <c r="BJ23" s="3" t="str">
        <f>IFERROR(__xludf.DUMMYFUNCTION("GoogleTranslate(C23, ""en"", ""tr"")"),"Renk değiştirme paneli")</f>
        <v>Renk değiştirme paneli</v>
      </c>
      <c r="BK23" s="3" t="str">
        <f>IFERROR(__xludf.DUMMYFUNCTION("GoogleTranslate(C23, ""en"", ""uk"")"),"Панель зміни кольору")</f>
        <v>Панель зміни кольору</v>
      </c>
      <c r="BL23" s="3" t="str">
        <f>IFERROR(__xludf.DUMMYFUNCTION("GoogleTranslate(C23, ""en"", ""zu"")"),"Iphaneli yokushintsha umbala")</f>
        <v>Iphaneli yokushintsha umbala</v>
      </c>
    </row>
    <row r="24">
      <c r="A24" s="1" t="str">
        <f t="shared" si="1"/>
        <v>Background_color</v>
      </c>
      <c r="B24" s="4" t="s">
        <v>86</v>
      </c>
      <c r="C24" s="1" t="str">
        <f t="shared" si="2"/>
        <v>Background color</v>
      </c>
      <c r="D24" s="3" t="str">
        <f>IFERROR(__xludf.DUMMYFUNCTION("GoogleTranslate(C24, ""en"", ""es"")"),"Color de fondo")</f>
        <v>Color de fondo</v>
      </c>
      <c r="E24" s="3" t="str">
        <f>IFERROR(__xludf.DUMMYFUNCTION("GoogleTranslate(C24, ""en"", ""ar"")"),"لون الخلفية")</f>
        <v>لون الخلفية</v>
      </c>
      <c r="F24" s="3" t="str">
        <f>IFERROR(__xludf.DUMMYFUNCTION("GoogleTranslate(C24, ""en"", ""hy"")"),"Ֆոնի գույնը")</f>
        <v>Ֆոնի գույնը</v>
      </c>
      <c r="G24" s="3" t="str">
        <f>IFERROR(__xludf.DUMMYFUNCTION("GoogleTranslate(C24, ""en"", ""vi"")"),"Màu nền")</f>
        <v>Màu nền</v>
      </c>
      <c r="H24" s="3" t="str">
        <f>IFERROR(__xludf.DUMMYFUNCTION("GoogleTranslate(C24, ""en"", ""az"")"),"Fon rəngi")</f>
        <v>Fon rəngi</v>
      </c>
      <c r="I24" s="3" t="str">
        <f>IFERROR(__xludf.DUMMYFUNCTION("GoogleTranslate(C24, ""en"", ""eu"")"),"Atzeko planoaren kolorea")</f>
        <v>Atzeko planoaren kolorea</v>
      </c>
      <c r="J24" s="3" t="str">
        <f>IFERROR(__xludf.DUMMYFUNCTION("GoogleTranslate(C24, ""en"", ""be"")"),"Колер фону")</f>
        <v>Колер фону</v>
      </c>
      <c r="K24" s="3" t="str">
        <f>IFERROR(__xludf.DUMMYFUNCTION("GoogleTranslate(C24, ""en"", ""bn"")"),"পটভূমির রঙ")</f>
        <v>পটভূমির রঙ</v>
      </c>
      <c r="L24" s="3" t="str">
        <f>IFERROR(__xludf.DUMMYFUNCTION("GoogleTranslate(C24, ""en"", ""bg"")"),"Цвят на фона")</f>
        <v>Цвят на фона</v>
      </c>
      <c r="M24" s="3" t="str">
        <f>IFERROR(__xludf.DUMMYFUNCTION("GoogleTranslate(C24, ""en"", ""my"")"),"နောက်ခံအရောင်")</f>
        <v>နောက်ခံအရောင်</v>
      </c>
      <c r="N24" s="3" t="str">
        <f>IFERROR(__xludf.DUMMYFUNCTION("GoogleTranslate(C24, ""en"", ""ca"")"),"Color de fons")</f>
        <v>Color de fons</v>
      </c>
      <c r="O24" s="3" t="str">
        <f>IFERROR(__xludf.DUMMYFUNCTION("GoogleTranslate(C24, ""en"", ""zh-cn"")"),"背景颜色")</f>
        <v>背景颜色</v>
      </c>
      <c r="P24" s="3" t="str">
        <f>IFERROR(__xludf.DUMMYFUNCTION("GoogleTranslate(C24, ""en"", ""zh-TW"")"),"背景顏色")</f>
        <v>背景顏色</v>
      </c>
      <c r="Q24" s="3" t="str">
        <f>IFERROR(__xludf.DUMMYFUNCTION("GoogleTranslate(C24, ""en"", ""hr"")"),"Boja pozadine")</f>
        <v>Boja pozadine</v>
      </c>
      <c r="R24" s="3" t="str">
        <f>IFERROR(__xludf.DUMMYFUNCTION("GoogleTranslate(C24, ""en"", ""cs"")"),"Barva pozadí")</f>
        <v>Barva pozadí</v>
      </c>
      <c r="S24" s="3" t="str">
        <f>IFERROR(__xludf.DUMMYFUNCTION("GoogleTranslate(C24, ""en"", ""da"")"),"Baggrundsfarve")</f>
        <v>Baggrundsfarve</v>
      </c>
      <c r="T24" s="3" t="str">
        <f>IFERROR(__xludf.DUMMYFUNCTION("GoogleTranslate(C24, ""en"", ""nl"")"),"Achtergrondkleur")</f>
        <v>Achtergrondkleur</v>
      </c>
      <c r="U24" s="3" t="str">
        <f>IFERROR(__xludf.DUMMYFUNCTION("GoogleTranslate(C24, ""en"", ""et"")"),"Tausta värv")</f>
        <v>Tausta värv</v>
      </c>
      <c r="V24" s="1" t="str">
        <f t="shared" si="3"/>
        <v>Background color</v>
      </c>
      <c r="W24" s="3" t="str">
        <f>IFERROR(__xludf.DUMMYFUNCTION("GoogleTranslate(C24, ""en"", ""fi"")"),"Taustaväri")</f>
        <v>Taustaväri</v>
      </c>
      <c r="X24" s="3" t="str">
        <f>IFERROR(__xludf.DUMMYFUNCTION("GoogleTranslate(C24, ""en"", ""fr"")"),"Couleur de fond")</f>
        <v>Couleur de fond</v>
      </c>
      <c r="Y24" s="3" t="str">
        <f>IFERROR(__xludf.DUMMYFUNCTION("GoogleTranslate(C24, ""en"", ""de"")"),"Hintergrundfarbe")</f>
        <v>Hintergrundfarbe</v>
      </c>
      <c r="Z24" s="3" t="str">
        <f>IFERROR(__xludf.DUMMYFUNCTION("GoogleTranslate(C24, ""en"", ""el"")"),"Χρώμα φόντου")</f>
        <v>Χρώμα φόντου</v>
      </c>
      <c r="AA24" s="3" t="str">
        <f>IFERROR(__xludf.DUMMYFUNCTION("GoogleTranslate(C24, ""en"", ""iw"")"),"צבע רקע")</f>
        <v>צבע רקע</v>
      </c>
      <c r="AB24" s="3" t="str">
        <f>IFERROR(__xludf.DUMMYFUNCTION("GoogleTranslate(C24, ""en"", ""hi"")"),"पृष्ठभूमि का रंग")</f>
        <v>पृष्ठभूमि का रंग</v>
      </c>
      <c r="AC24" s="3" t="str">
        <f>IFERROR(__xludf.DUMMYFUNCTION("GoogleTranslate(C24, ""en"", ""hu"")"),"Háttérszín")</f>
        <v>Háttérszín</v>
      </c>
      <c r="AD24" s="3" t="str">
        <f>IFERROR(__xludf.DUMMYFUNCTION("GoogleTranslate(C24, ""en"", ""is"")"),"Bakgrunnslitur")</f>
        <v>Bakgrunnslitur</v>
      </c>
      <c r="AE24" s="3" t="str">
        <f>IFERROR(__xludf.DUMMYFUNCTION("GoogleTranslate(C24, ""en"", ""id"")"),"Warna latar belakang")</f>
        <v>Warna latar belakang</v>
      </c>
      <c r="AF24" s="3" t="str">
        <f>IFERROR(__xludf.DUMMYFUNCTION("GoogleTranslate(C24, ""en"", ""in"")"),"Warna latar belakang")</f>
        <v>Warna latar belakang</v>
      </c>
      <c r="AG24" s="3" t="str">
        <f>IFERROR(__xludf.DUMMYFUNCTION("GoogleTranslate(C24, ""en"", ""it"")"),"Colore di sfondo")</f>
        <v>Colore di sfondo</v>
      </c>
      <c r="AH24" s="3" t="str">
        <f>IFERROR(__xludf.DUMMYFUNCTION("GoogleTranslate(C24, ""en"", ""ja"")"),"背景色")</f>
        <v>背景色</v>
      </c>
      <c r="AI24" s="3" t="str">
        <f>IFERROR(__xludf.DUMMYFUNCTION("GoogleTranslate(C24, ""en"", ""kn"")"),"ಹಿನ್ನೆಲೆ ಬಣ್ಣ")</f>
        <v>ಹಿನ್ನೆಲೆ ಬಣ್ಣ</v>
      </c>
      <c r="AJ24" s="3" t="str">
        <f>IFERROR(__xludf.DUMMYFUNCTION("GoogleTranslate(C24, ""en"", ""km"")"),"ពណ៌ផ្ទៃខាងក្រោយ")</f>
        <v>ពណ៌ផ្ទៃខាងក្រោយ</v>
      </c>
      <c r="AK24" s="3" t="str">
        <f>IFERROR(__xludf.DUMMYFUNCTION("GoogleTranslate(C24, ""en"", ""ko"")"),"배경색")</f>
        <v>배경색</v>
      </c>
      <c r="AL24" s="3" t="str">
        <f>IFERROR(__xludf.DUMMYFUNCTION("GoogleTranslate(C24, ""en"", ""lo"")"),"ສີພື້ນຫຼັງ")</f>
        <v>ສີພື້ນຫຼັງ</v>
      </c>
      <c r="AM24" s="3" t="str">
        <f>IFERROR(__xludf.DUMMYFUNCTION("GoogleTranslate(C24, ""en"", ""lv"")"),"Fona krāsa")</f>
        <v>Fona krāsa</v>
      </c>
      <c r="AN24" s="3" t="str">
        <f>IFERROR(__xludf.DUMMYFUNCTION("GoogleTranslate(C24, ""en"", ""lt"")"),"Fono spalva")</f>
        <v>Fono spalva</v>
      </c>
      <c r="AO24" s="3" t="str">
        <f>IFERROR(__xludf.DUMMYFUNCTION("GoogleTranslate(C24, ""en"", ""mk"")"),"Боја на позадина")</f>
        <v>Боја на позадина</v>
      </c>
      <c r="AP24" s="3" t="str">
        <f>IFERROR(__xludf.DUMMYFUNCTION("GoogleTranslate(C24, ""en"", ""ms"")"),"Warna latar belakang")</f>
        <v>Warna latar belakang</v>
      </c>
      <c r="AQ24" s="3" t="str">
        <f>IFERROR(__xludf.DUMMYFUNCTION("GoogleTranslate(C24, ""en"", ""ml"")"),"പശ്ചാത്തല നിറം")</f>
        <v>പശ്ചാത്തല നിറം</v>
      </c>
      <c r="AR24" s="3" t="str">
        <f>IFERROR(__xludf.DUMMYFUNCTION("GoogleTranslate(C24, ""en"", ""mr"")"),"पार्श्वभूमी रंग")</f>
        <v>पार्श्वभूमी रंग</v>
      </c>
      <c r="AS24" s="3" t="str">
        <f>IFERROR(__xludf.DUMMYFUNCTION("GoogleTranslate(C24, ""en"", ""mn"")"),"Арын дэвсгэр өнгө")</f>
        <v>Арын дэвсгэр өнгө</v>
      </c>
      <c r="AT24" s="3" t="str">
        <f>IFERROR(__xludf.DUMMYFUNCTION("GoogleTranslate(C24, ""en"", ""ne"")"),"पृष्ठभूमि रंग")</f>
        <v>पृष्ठभूमि रंग</v>
      </c>
      <c r="AU24" s="3" t="str">
        <f>IFERROR(__xludf.DUMMYFUNCTION("GoogleTranslate(C24, ""en"", ""nb"")"),"Bakgrunnsfarge")</f>
        <v>Bakgrunnsfarge</v>
      </c>
      <c r="AV24" s="3" t="str">
        <f>IFERROR(__xludf.DUMMYFUNCTION("GoogleTranslate(C24, ""en"", ""fa"")"),"رنگ پس زمینه")</f>
        <v>رنگ پس زمینه</v>
      </c>
      <c r="AW24" s="3" t="str">
        <f>IFERROR(__xludf.DUMMYFUNCTION("GoogleTranslate(C24, ""en"", ""pl"")"),"Kolor tła")</f>
        <v>Kolor tła</v>
      </c>
      <c r="AX24" s="3" t="str">
        <f>IFERROR(__xludf.DUMMYFUNCTION("GoogleTranslate(C24, ""en"", ""pt"")"),"Cor de fundo")</f>
        <v>Cor de fundo</v>
      </c>
      <c r="AY24" s="3" t="str">
        <f>IFERROR(__xludf.DUMMYFUNCTION("GoogleTranslate(C24, ""en"", ""ro"")"),"Culoare de fundal")</f>
        <v>Culoare de fundal</v>
      </c>
      <c r="AZ24" s="3" t="str">
        <f>IFERROR(__xludf.DUMMYFUNCTION("GoogleTranslate(C24, ""en"", ""ru"")"),"Цвет фона")</f>
        <v>Цвет фона</v>
      </c>
      <c r="BA24" s="3" t="str">
        <f>IFERROR(__xludf.DUMMYFUNCTION("GoogleTranslate(C24, ""en"", ""sr"")"),"Боја позадине")</f>
        <v>Боја позадине</v>
      </c>
      <c r="BB24" s="3" t="str">
        <f>IFERROR(__xludf.DUMMYFUNCTION("GoogleTranslate(C24, ""en"", ""si"")"),"පසුබිම් වර්ණය")</f>
        <v>පසුබිම් වර්ණය</v>
      </c>
      <c r="BC24" s="3" t="str">
        <f>IFERROR(__xludf.DUMMYFUNCTION("GoogleTranslate(C24, ""en"", ""sk"")"),"Farba pozadia")</f>
        <v>Farba pozadia</v>
      </c>
      <c r="BD24" s="3" t="str">
        <f>IFERROR(__xludf.DUMMYFUNCTION("GoogleTranslate(C24, ""en"", ""sl"")"),"Barva ozadja")</f>
        <v>Barva ozadja</v>
      </c>
      <c r="BE24" s="3" t="str">
        <f>IFERROR(__xludf.DUMMYFUNCTION("GoogleTranslate(C24, ""en"", ""es"")"),"Color de fondo")</f>
        <v>Color de fondo</v>
      </c>
      <c r="BF24" s="3" t="str">
        <f>IFERROR(__xludf.DUMMYFUNCTION("GoogleTranslate(C24, ""en"", ""sw"")"),"Rangi ya usuli")</f>
        <v>Rangi ya usuli</v>
      </c>
      <c r="BG24" s="3" t="str">
        <f>IFERROR(__xludf.DUMMYFUNCTION("GoogleTranslate(C24, ""en"", ""sv"")"),"Bakgrundsfärg")</f>
        <v>Bakgrundsfärg</v>
      </c>
      <c r="BH24" s="3" t="str">
        <f>IFERROR(__xludf.DUMMYFUNCTION("GoogleTranslate(C24, ""en"", ""te"")"),"నేపథ్య రంగు")</f>
        <v>నేపథ్య రంగు</v>
      </c>
      <c r="BI24" s="3" t="str">
        <f>IFERROR(__xludf.DUMMYFUNCTION("GoogleTranslate(C24, ""en"", ""th"")"),"สีพื้นหลัง")</f>
        <v>สีพื้นหลัง</v>
      </c>
      <c r="BJ24" s="3" t="str">
        <f>IFERROR(__xludf.DUMMYFUNCTION("GoogleTranslate(C24, ""en"", ""tr"")"),"Arka plan rengi")</f>
        <v>Arka plan rengi</v>
      </c>
      <c r="BK24" s="3" t="str">
        <f>IFERROR(__xludf.DUMMYFUNCTION("GoogleTranslate(C24, ""en"", ""uk"")"),"Колір фону")</f>
        <v>Колір фону</v>
      </c>
      <c r="BL24" s="3" t="str">
        <f>IFERROR(__xludf.DUMMYFUNCTION("GoogleTranslate(C24, ""en"", ""zu"")"),"Umbala wangemuva")</f>
        <v>Umbala wangemuva</v>
      </c>
    </row>
    <row r="25">
      <c r="A25" s="1" t="str">
        <f t="shared" si="1"/>
        <v>Color_description</v>
      </c>
      <c r="B25" s="4" t="s">
        <v>87</v>
      </c>
      <c r="C25" s="1" t="str">
        <f t="shared" si="2"/>
        <v>Color description</v>
      </c>
      <c r="D25" s="3" t="str">
        <f>IFERROR(__xludf.DUMMYFUNCTION("GoogleTranslate(C25, ""en"", ""es"")"),"Descripción del color")</f>
        <v>Descripción del color</v>
      </c>
      <c r="E25" s="3" t="str">
        <f>IFERROR(__xludf.DUMMYFUNCTION("GoogleTranslate(C25, ""en"", ""ar"")"),"وصف اللون")</f>
        <v>وصف اللون</v>
      </c>
      <c r="F25" s="3" t="str">
        <f>IFERROR(__xludf.DUMMYFUNCTION("GoogleTranslate(C25, ""en"", ""hy"")"),"Գույնի նկարագրություն")</f>
        <v>Գույնի նկարագրություն</v>
      </c>
      <c r="G25" s="3" t="str">
        <f>IFERROR(__xludf.DUMMYFUNCTION("GoogleTranslate(C25, ""en"", ""vi"")"),"Mô tả màu sắc")</f>
        <v>Mô tả màu sắc</v>
      </c>
      <c r="H25" s="3" t="str">
        <f>IFERROR(__xludf.DUMMYFUNCTION("GoogleTranslate(C25, ""en"", ""az"")"),"Rəng təsviri")</f>
        <v>Rəng təsviri</v>
      </c>
      <c r="I25" s="3" t="str">
        <f>IFERROR(__xludf.DUMMYFUNCTION("GoogleTranslate(C25, ""en"", ""eu"")"),"Kolorearen deskribapena")</f>
        <v>Kolorearen deskribapena</v>
      </c>
      <c r="J25" s="3" t="str">
        <f>IFERROR(__xludf.DUMMYFUNCTION("GoogleTranslate(C25, ""en"", ""be"")"),"Апісанне колеру")</f>
        <v>Апісанне колеру</v>
      </c>
      <c r="K25" s="3" t="str">
        <f>IFERROR(__xludf.DUMMYFUNCTION("GoogleTranslate(C25, ""en"", ""bn"")"),"রঙের বর্ণনা")</f>
        <v>রঙের বর্ণনা</v>
      </c>
      <c r="L25" s="3" t="str">
        <f>IFERROR(__xludf.DUMMYFUNCTION("GoogleTranslate(C25, ""en"", ""bg"")"),"Описание на цвета")</f>
        <v>Описание на цвета</v>
      </c>
      <c r="M25" s="3" t="str">
        <f>IFERROR(__xludf.DUMMYFUNCTION("GoogleTranslate(C25, ""en"", ""my"")"),"အရောင်ဖော်ပြချက်")</f>
        <v>အရောင်ဖော်ပြချက်</v>
      </c>
      <c r="N25" s="3" t="str">
        <f>IFERROR(__xludf.DUMMYFUNCTION("GoogleTranslate(C25, ""en"", ""ca"")"),"Descripció del color")</f>
        <v>Descripció del color</v>
      </c>
      <c r="O25" s="3" t="str">
        <f>IFERROR(__xludf.DUMMYFUNCTION("GoogleTranslate(C25, ""en"", ""zh-cn"")"),"颜色说明")</f>
        <v>颜色说明</v>
      </c>
      <c r="P25" s="3" t="str">
        <f>IFERROR(__xludf.DUMMYFUNCTION("GoogleTranslate(C25, ""en"", ""zh-TW"")"),"顏色說明")</f>
        <v>顏色說明</v>
      </c>
      <c r="Q25" s="3" t="str">
        <f>IFERROR(__xludf.DUMMYFUNCTION("GoogleTranslate(C25, ""en"", ""hr"")"),"Opis boja")</f>
        <v>Opis boja</v>
      </c>
      <c r="R25" s="3" t="str">
        <f>IFERROR(__xludf.DUMMYFUNCTION("GoogleTranslate(C25, ""en"", ""cs"")"),"Popis barvy")</f>
        <v>Popis barvy</v>
      </c>
      <c r="S25" s="3" t="str">
        <f>IFERROR(__xludf.DUMMYFUNCTION("GoogleTranslate(C25, ""en"", ""da"")"),"Farvebeskrivelse")</f>
        <v>Farvebeskrivelse</v>
      </c>
      <c r="T25" s="3" t="str">
        <f>IFERROR(__xludf.DUMMYFUNCTION("GoogleTranslate(C25, ""en"", ""nl"")"),"Kleurbeschrijving")</f>
        <v>Kleurbeschrijving</v>
      </c>
      <c r="U25" s="3" t="str">
        <f>IFERROR(__xludf.DUMMYFUNCTION("GoogleTranslate(C25, ""en"", ""et"")"),"Värvi kirjeldus")</f>
        <v>Värvi kirjeldus</v>
      </c>
      <c r="V25" s="1" t="str">
        <f t="shared" si="3"/>
        <v>Color description</v>
      </c>
      <c r="W25" s="3" t="str">
        <f>IFERROR(__xludf.DUMMYFUNCTION("GoogleTranslate(C25, ""en"", ""fi"")"),"Värin kuvaus")</f>
        <v>Värin kuvaus</v>
      </c>
      <c r="X25" s="3" t="str">
        <f>IFERROR(__xludf.DUMMYFUNCTION("GoogleTranslate(C25, ""en"", ""fr"")"),"Description de la couleur")</f>
        <v>Description de la couleur</v>
      </c>
      <c r="Y25" s="3" t="str">
        <f>IFERROR(__xludf.DUMMYFUNCTION("GoogleTranslate(C25, ""en"", ""de"")"),"Farbbeschreibung")</f>
        <v>Farbbeschreibung</v>
      </c>
      <c r="Z25" s="3" t="str">
        <f>IFERROR(__xludf.DUMMYFUNCTION("GoogleTranslate(C25, ""en"", ""el"")"),"Περιγραφή χρώματος")</f>
        <v>Περιγραφή χρώματος</v>
      </c>
      <c r="AA25" s="3" t="str">
        <f>IFERROR(__xludf.DUMMYFUNCTION("GoogleTranslate(C25, ""en"", ""iw"")"),"תיאור צבע")</f>
        <v>תיאור צבע</v>
      </c>
      <c r="AB25" s="3" t="str">
        <f>IFERROR(__xludf.DUMMYFUNCTION("GoogleTranslate(C25, ""en"", ""hi"")"),"रंग विवरण")</f>
        <v>रंग विवरण</v>
      </c>
      <c r="AC25" s="3" t="str">
        <f>IFERROR(__xludf.DUMMYFUNCTION("GoogleTranslate(C25, ""en"", ""hu"")"),"Szín leírása")</f>
        <v>Szín leírása</v>
      </c>
      <c r="AD25" s="3" t="str">
        <f>IFERROR(__xludf.DUMMYFUNCTION("GoogleTranslate(C25, ""en"", ""is"")"),"Litalýsing")</f>
        <v>Litalýsing</v>
      </c>
      <c r="AE25" s="3" t="str">
        <f>IFERROR(__xludf.DUMMYFUNCTION("GoogleTranslate(C25, ""en"", ""id"")"),"Deskripsi warna")</f>
        <v>Deskripsi warna</v>
      </c>
      <c r="AF25" s="3" t="str">
        <f>IFERROR(__xludf.DUMMYFUNCTION("GoogleTranslate(C25, ""en"", ""in"")"),"Deskripsi warna")</f>
        <v>Deskripsi warna</v>
      </c>
      <c r="AG25" s="3" t="str">
        <f>IFERROR(__xludf.DUMMYFUNCTION("GoogleTranslate(C25, ""en"", ""it"")"),"Descrizione del colore")</f>
        <v>Descrizione del colore</v>
      </c>
      <c r="AH25" s="3" t="str">
        <f>IFERROR(__xludf.DUMMYFUNCTION("GoogleTranslate(C25, ""en"", ""ja"")"),"色の説明")</f>
        <v>色の説明</v>
      </c>
      <c r="AI25" s="3" t="str">
        <f>IFERROR(__xludf.DUMMYFUNCTION("GoogleTranslate(C25, ""en"", ""kn"")"),"ಬಣ್ಣದ ವಿವರಣೆ")</f>
        <v>ಬಣ್ಣದ ವಿವರಣೆ</v>
      </c>
      <c r="AJ25" s="3" t="str">
        <f>IFERROR(__xludf.DUMMYFUNCTION("GoogleTranslate(C25, ""en"", ""km"")"),"ការពិពណ៌នាពណ៌")</f>
        <v>ការពិពណ៌នាពណ៌</v>
      </c>
      <c r="AK25" s="3" t="str">
        <f>IFERROR(__xludf.DUMMYFUNCTION("GoogleTranslate(C25, ""en"", ""ko"")"),"색상 설명")</f>
        <v>색상 설명</v>
      </c>
      <c r="AL25" s="3" t="str">
        <f>IFERROR(__xludf.DUMMYFUNCTION("GoogleTranslate(C25, ""en"", ""lo"")"),"ຄຳອະທິບາຍສີ")</f>
        <v>ຄຳອະທິບາຍສີ</v>
      </c>
      <c r="AM25" s="3" t="str">
        <f>IFERROR(__xludf.DUMMYFUNCTION("GoogleTranslate(C25, ""en"", ""lv"")"),"Krāsu apraksts")</f>
        <v>Krāsu apraksts</v>
      </c>
      <c r="AN25" s="3" t="str">
        <f>IFERROR(__xludf.DUMMYFUNCTION("GoogleTranslate(C25, ""en"", ""lt"")"),"Spalvos aprašymas")</f>
        <v>Spalvos aprašymas</v>
      </c>
      <c r="AO25" s="3" t="str">
        <f>IFERROR(__xludf.DUMMYFUNCTION("GoogleTranslate(C25, ""en"", ""mk"")"),"Опис на бојата")</f>
        <v>Опис на бојата</v>
      </c>
      <c r="AP25" s="3" t="str">
        <f>IFERROR(__xludf.DUMMYFUNCTION("GoogleTranslate(C25, ""en"", ""ms"")"),"Penerangan warna")</f>
        <v>Penerangan warna</v>
      </c>
      <c r="AQ25" s="3" t="str">
        <f>IFERROR(__xludf.DUMMYFUNCTION("GoogleTranslate(C25, ""en"", ""ml"")"),"വർണ്ണ വിവരണം")</f>
        <v>വർണ്ണ വിവരണം</v>
      </c>
      <c r="AR25" s="3" t="str">
        <f>IFERROR(__xludf.DUMMYFUNCTION("GoogleTranslate(C25, ""en"", ""mr"")"),"रंग वर्णन")</f>
        <v>रंग वर्णन</v>
      </c>
      <c r="AS25" s="3" t="str">
        <f>IFERROR(__xludf.DUMMYFUNCTION("GoogleTranslate(C25, ""en"", ""mn"")"),"Өнгөний тодорхойлолт")</f>
        <v>Өнгөний тодорхойлолт</v>
      </c>
      <c r="AT25" s="3" t="str">
        <f>IFERROR(__xludf.DUMMYFUNCTION("GoogleTranslate(C25, ""en"", ""ne"")"),"रंग विवरण")</f>
        <v>रंग विवरण</v>
      </c>
      <c r="AU25" s="3" t="str">
        <f>IFERROR(__xludf.DUMMYFUNCTION("GoogleTranslate(C25, ""en"", ""nb"")"),"Fargebeskrivelse")</f>
        <v>Fargebeskrivelse</v>
      </c>
      <c r="AV25" s="3" t="str">
        <f>IFERROR(__xludf.DUMMYFUNCTION("GoogleTranslate(C25, ""en"", ""fa"")"),"توضیحات رنگ")</f>
        <v>توضیحات رنگ</v>
      </c>
      <c r="AW25" s="3" t="str">
        <f>IFERROR(__xludf.DUMMYFUNCTION("GoogleTranslate(C25, ""en"", ""pl"")"),"Opis koloru")</f>
        <v>Opis koloru</v>
      </c>
      <c r="AX25" s="3" t="str">
        <f>IFERROR(__xludf.DUMMYFUNCTION("GoogleTranslate(C25, ""en"", ""pt"")"),"Descrição da cor")</f>
        <v>Descrição da cor</v>
      </c>
      <c r="AY25" s="3" t="str">
        <f>IFERROR(__xludf.DUMMYFUNCTION("GoogleTranslate(C25, ""en"", ""ro"")"),"Descrierea culorii")</f>
        <v>Descrierea culorii</v>
      </c>
      <c r="AZ25" s="3" t="str">
        <f>IFERROR(__xludf.DUMMYFUNCTION("GoogleTranslate(C25, ""en"", ""ru"")"),"Описание цвета")</f>
        <v>Описание цвета</v>
      </c>
      <c r="BA25" s="3" t="str">
        <f>IFERROR(__xludf.DUMMYFUNCTION("GoogleTranslate(C25, ""en"", ""sr"")"),"Опис боје")</f>
        <v>Опис боје</v>
      </c>
      <c r="BB25" s="3" t="str">
        <f>IFERROR(__xludf.DUMMYFUNCTION("GoogleTranslate(C25, ""en"", ""si"")"),"වර්ණ විස්තරය")</f>
        <v>වර්ණ විස්තරය</v>
      </c>
      <c r="BC25" s="3" t="str">
        <f>IFERROR(__xludf.DUMMYFUNCTION("GoogleTranslate(C25, ""en"", ""sk"")"),"Popis farby")</f>
        <v>Popis farby</v>
      </c>
      <c r="BD25" s="3" t="str">
        <f>IFERROR(__xludf.DUMMYFUNCTION("GoogleTranslate(C25, ""en"", ""sl"")"),"Barvni opis")</f>
        <v>Barvni opis</v>
      </c>
      <c r="BE25" s="3" t="str">
        <f>IFERROR(__xludf.DUMMYFUNCTION("GoogleTranslate(C25, ""en"", ""es"")"),"Descripción del color")</f>
        <v>Descripción del color</v>
      </c>
      <c r="BF25" s="3" t="str">
        <f>IFERROR(__xludf.DUMMYFUNCTION("GoogleTranslate(C25, ""en"", ""sw"")"),"Maelezo ya rangi")</f>
        <v>Maelezo ya rangi</v>
      </c>
      <c r="BG25" s="3" t="str">
        <f>IFERROR(__xludf.DUMMYFUNCTION("GoogleTranslate(C25, ""en"", ""sv"")"),"Färgbeskrivning")</f>
        <v>Färgbeskrivning</v>
      </c>
      <c r="BH25" s="3" t="str">
        <f>IFERROR(__xludf.DUMMYFUNCTION("GoogleTranslate(C25, ""en"", ""te"")"),"రంగు వివరణ")</f>
        <v>రంగు వివరణ</v>
      </c>
      <c r="BI25" s="3" t="str">
        <f>IFERROR(__xludf.DUMMYFUNCTION("GoogleTranslate(C25, ""en"", ""th"")"),"คำอธิบายสี")</f>
        <v>คำอธิบายสี</v>
      </c>
      <c r="BJ25" s="3" t="str">
        <f>IFERROR(__xludf.DUMMYFUNCTION("GoogleTranslate(C25, ""en"", ""tr"")"),"Renk açıklaması")</f>
        <v>Renk açıklaması</v>
      </c>
      <c r="BK25" s="3" t="str">
        <f>IFERROR(__xludf.DUMMYFUNCTION("GoogleTranslate(C25, ""en"", ""uk"")"),"Опис кольору")</f>
        <v>Опис кольору</v>
      </c>
      <c r="BL25" s="3" t="str">
        <f>IFERROR(__xludf.DUMMYFUNCTION("GoogleTranslate(C25, ""en"", ""zu"")"),"Incazelo yombala")</f>
        <v>Incazelo yombala</v>
      </c>
    </row>
    <row r="26">
      <c r="A26" s="1" t="str">
        <f t="shared" si="1"/>
        <v>Title_color</v>
      </c>
      <c r="B26" s="4" t="s">
        <v>88</v>
      </c>
      <c r="C26" s="1" t="str">
        <f t="shared" si="2"/>
        <v>Title color</v>
      </c>
      <c r="D26" s="3" t="str">
        <f>IFERROR(__xludf.DUMMYFUNCTION("GoogleTranslate(C26, ""en"", ""es"")"),"Color del título")</f>
        <v>Color del título</v>
      </c>
      <c r="E26" s="3" t="str">
        <f>IFERROR(__xludf.DUMMYFUNCTION("GoogleTranslate(C26, ""en"", ""ar"")"),"لون العنوان")</f>
        <v>لون العنوان</v>
      </c>
      <c r="F26" s="3" t="str">
        <f>IFERROR(__xludf.DUMMYFUNCTION("GoogleTranslate(C26, ""en"", ""hy"")"),"Վերնագրի գույնը")</f>
        <v>Վերնագրի գույնը</v>
      </c>
      <c r="G26" s="3" t="str">
        <f>IFERROR(__xludf.DUMMYFUNCTION("GoogleTranslate(C26, ""en"", ""vi"")"),"Màu tiêu đề")</f>
        <v>Màu tiêu đề</v>
      </c>
      <c r="H26" s="3" t="str">
        <f>IFERROR(__xludf.DUMMYFUNCTION("GoogleTranslate(C26, ""en"", ""az"")"),"Başlıq rəngi")</f>
        <v>Başlıq rəngi</v>
      </c>
      <c r="I26" s="3" t="str">
        <f>IFERROR(__xludf.DUMMYFUNCTION("GoogleTranslate(C26, ""en"", ""eu"")"),"Izenburuaren kolorea")</f>
        <v>Izenburuaren kolorea</v>
      </c>
      <c r="J26" s="3" t="str">
        <f>IFERROR(__xludf.DUMMYFUNCTION("GoogleTranslate(C26, ""en"", ""be"")"),"Колер загалоўка")</f>
        <v>Колер загалоўка</v>
      </c>
      <c r="K26" s="3" t="str">
        <f>IFERROR(__xludf.DUMMYFUNCTION("GoogleTranslate(C26, ""en"", ""bn"")"),"শিরোনামের রঙ")</f>
        <v>শিরোনামের রঙ</v>
      </c>
      <c r="L26" s="3" t="str">
        <f>IFERROR(__xludf.DUMMYFUNCTION("GoogleTranslate(C26, ""en"", ""bg"")"),"Цвят на заглавието")</f>
        <v>Цвят на заглавието</v>
      </c>
      <c r="M26" s="3" t="str">
        <f>IFERROR(__xludf.DUMMYFUNCTION("GoogleTranslate(C26, ""en"", ""my"")"),"ခေါင်းစဉ်အရောင်")</f>
        <v>ခေါင်းစဉ်အရောင်</v>
      </c>
      <c r="N26" s="3" t="str">
        <f>IFERROR(__xludf.DUMMYFUNCTION("GoogleTranslate(C26, ""en"", ""ca"")"),"Color del títol")</f>
        <v>Color del títol</v>
      </c>
      <c r="O26" s="3" t="str">
        <f>IFERROR(__xludf.DUMMYFUNCTION("GoogleTranslate(C26, ""en"", ""zh-cn"")"),"标题颜色")</f>
        <v>标题颜色</v>
      </c>
      <c r="P26" s="3" t="str">
        <f>IFERROR(__xludf.DUMMYFUNCTION("GoogleTranslate(C26, ""en"", ""zh-TW"")"),"標題顏色")</f>
        <v>標題顏色</v>
      </c>
      <c r="Q26" s="3" t="str">
        <f>IFERROR(__xludf.DUMMYFUNCTION("GoogleTranslate(C26, ""en"", ""hr"")"),"Boja naslova")</f>
        <v>Boja naslova</v>
      </c>
      <c r="R26" s="3" t="str">
        <f>IFERROR(__xludf.DUMMYFUNCTION("GoogleTranslate(C26, ""en"", ""cs"")"),"Barva názvu")</f>
        <v>Barva názvu</v>
      </c>
      <c r="S26" s="3" t="str">
        <f>IFERROR(__xludf.DUMMYFUNCTION("GoogleTranslate(C26, ""en"", ""da"")"),"Titelfarve")</f>
        <v>Titelfarve</v>
      </c>
      <c r="T26" s="3" t="str">
        <f>IFERROR(__xludf.DUMMYFUNCTION("GoogleTranslate(C26, ""en"", ""nl"")"),"Titel kleur")</f>
        <v>Titel kleur</v>
      </c>
      <c r="U26" s="3" t="str">
        <f>IFERROR(__xludf.DUMMYFUNCTION("GoogleTranslate(C26, ""en"", ""et"")"),"Pealkirja värv")</f>
        <v>Pealkirja värv</v>
      </c>
      <c r="V26" s="1" t="str">
        <f t="shared" si="3"/>
        <v>Title color</v>
      </c>
      <c r="W26" s="3" t="str">
        <f>IFERROR(__xludf.DUMMYFUNCTION("GoogleTranslate(C26, ""en"", ""fi"")"),"Otsikon väri")</f>
        <v>Otsikon väri</v>
      </c>
      <c r="X26" s="3" t="str">
        <f>IFERROR(__xludf.DUMMYFUNCTION("GoogleTranslate(C26, ""en"", ""fr"")"),"Couleur du titre")</f>
        <v>Couleur du titre</v>
      </c>
      <c r="Y26" s="3" t="str">
        <f>IFERROR(__xludf.DUMMYFUNCTION("GoogleTranslate(C26, ""en"", ""de"")"),"Titelfarbe")</f>
        <v>Titelfarbe</v>
      </c>
      <c r="Z26" s="3" t="str">
        <f>IFERROR(__xludf.DUMMYFUNCTION("GoogleTranslate(C26, ""en"", ""el"")"),"Χρώμα τίτλου")</f>
        <v>Χρώμα τίτλου</v>
      </c>
      <c r="AA26" s="3" t="str">
        <f>IFERROR(__xludf.DUMMYFUNCTION("GoogleTranslate(C26, ""en"", ""iw"")"),"צבע הכותרת")</f>
        <v>צבע הכותרת</v>
      </c>
      <c r="AB26" s="3" t="str">
        <f>IFERROR(__xludf.DUMMYFUNCTION("GoogleTranslate(C26, ""en"", ""hi"")"),"शीर्षक का रंग")</f>
        <v>शीर्षक का रंग</v>
      </c>
      <c r="AC26" s="3" t="str">
        <f>IFERROR(__xludf.DUMMYFUNCTION("GoogleTranslate(C26, ""en"", ""hu"")"),"Cím színe")</f>
        <v>Cím színe</v>
      </c>
      <c r="AD26" s="3" t="str">
        <f>IFERROR(__xludf.DUMMYFUNCTION("GoogleTranslate(C26, ""en"", ""is"")"),"Litur titils")</f>
        <v>Litur titils</v>
      </c>
      <c r="AE26" s="3" t="str">
        <f>IFERROR(__xludf.DUMMYFUNCTION("GoogleTranslate(C26, ""en"", ""id"")"),"Warna judul")</f>
        <v>Warna judul</v>
      </c>
      <c r="AF26" s="3" t="str">
        <f>IFERROR(__xludf.DUMMYFUNCTION("GoogleTranslate(C26, ""en"", ""in"")"),"Warna judul")</f>
        <v>Warna judul</v>
      </c>
      <c r="AG26" s="3" t="str">
        <f>IFERROR(__xludf.DUMMYFUNCTION("GoogleTranslate(C26, ""en"", ""it"")"),"Colore del titolo")</f>
        <v>Colore del titolo</v>
      </c>
      <c r="AH26" s="3" t="str">
        <f>IFERROR(__xludf.DUMMYFUNCTION("GoogleTranslate(C26, ""en"", ""ja"")"),"タイトルの色")</f>
        <v>タイトルの色</v>
      </c>
      <c r="AI26" s="3" t="str">
        <f>IFERROR(__xludf.DUMMYFUNCTION("GoogleTranslate(C26, ""en"", ""kn"")"),"ಶೀರ್ಷಿಕೆ ಬಣ್ಣ")</f>
        <v>ಶೀರ್ಷಿಕೆ ಬಣ್ಣ</v>
      </c>
      <c r="AJ26" s="3" t="str">
        <f>IFERROR(__xludf.DUMMYFUNCTION("GoogleTranslate(C26, ""en"", ""km"")"),"ពណ៌ចំណងជើង")</f>
        <v>ពណ៌ចំណងជើង</v>
      </c>
      <c r="AK26" s="3" t="str">
        <f>IFERROR(__xludf.DUMMYFUNCTION("GoogleTranslate(C26, ""en"", ""ko"")"),"제목 색상")</f>
        <v>제목 색상</v>
      </c>
      <c r="AL26" s="3" t="str">
        <f>IFERROR(__xludf.DUMMYFUNCTION("GoogleTranslate(C26, ""en"", ""lo"")"),"ສີຫົວຂໍ້")</f>
        <v>ສີຫົວຂໍ້</v>
      </c>
      <c r="AM26" s="3" t="str">
        <f>IFERROR(__xludf.DUMMYFUNCTION("GoogleTranslate(C26, ""en"", ""lv"")"),"Virsraksta krāsa")</f>
        <v>Virsraksta krāsa</v>
      </c>
      <c r="AN26" s="3" t="str">
        <f>IFERROR(__xludf.DUMMYFUNCTION("GoogleTranslate(C26, ""en"", ""lt"")"),"Pavadinimo spalva")</f>
        <v>Pavadinimo spalva</v>
      </c>
      <c r="AO26" s="3" t="str">
        <f>IFERROR(__xludf.DUMMYFUNCTION("GoogleTranslate(C26, ""en"", ""mk"")"),"Боја на насловот")</f>
        <v>Боја на насловот</v>
      </c>
      <c r="AP26" s="3" t="str">
        <f>IFERROR(__xludf.DUMMYFUNCTION("GoogleTranslate(C26, ""en"", ""ms"")"),"Warna tajuk")</f>
        <v>Warna tajuk</v>
      </c>
      <c r="AQ26" s="3" t="str">
        <f>IFERROR(__xludf.DUMMYFUNCTION("GoogleTranslate(C26, ""en"", ""ml"")"),"ശീർഷക നിറം")</f>
        <v>ശീർഷക നിറം</v>
      </c>
      <c r="AR26" s="3" t="str">
        <f>IFERROR(__xludf.DUMMYFUNCTION("GoogleTranslate(C26, ""en"", ""mr"")"),"शीर्षक रंग")</f>
        <v>शीर्षक रंग</v>
      </c>
      <c r="AS26" s="3" t="str">
        <f>IFERROR(__xludf.DUMMYFUNCTION("GoogleTranslate(C26, ""en"", ""mn"")"),"Гарчгийн өнгө")</f>
        <v>Гарчгийн өнгө</v>
      </c>
      <c r="AT26" s="3" t="str">
        <f>IFERROR(__xludf.DUMMYFUNCTION("GoogleTranslate(C26, ""en"", ""ne"")"),"शीर्षक रंग")</f>
        <v>शीर्षक रंग</v>
      </c>
      <c r="AU26" s="3" t="str">
        <f>IFERROR(__xludf.DUMMYFUNCTION("GoogleTranslate(C26, ""en"", ""nb"")"),"Tittelfarge")</f>
        <v>Tittelfarge</v>
      </c>
      <c r="AV26" s="3" t="str">
        <f>IFERROR(__xludf.DUMMYFUNCTION("GoogleTranslate(C26, ""en"", ""fa"")"),"رنگ عنوان")</f>
        <v>رنگ عنوان</v>
      </c>
      <c r="AW26" s="3" t="str">
        <f>IFERROR(__xludf.DUMMYFUNCTION("GoogleTranslate(C26, ""en"", ""pl"")"),"Kolor tytułu")</f>
        <v>Kolor tytułu</v>
      </c>
      <c r="AX26" s="3" t="str">
        <f>IFERROR(__xludf.DUMMYFUNCTION("GoogleTranslate(C26, ""en"", ""pt"")"),"Cor do título")</f>
        <v>Cor do título</v>
      </c>
      <c r="AY26" s="3" t="str">
        <f>IFERROR(__xludf.DUMMYFUNCTION("GoogleTranslate(C26, ""en"", ""ro"")"),"Culoarea titlului")</f>
        <v>Culoarea titlului</v>
      </c>
      <c r="AZ26" s="3" t="str">
        <f>IFERROR(__xludf.DUMMYFUNCTION("GoogleTranslate(C26, ""en"", ""ru"")"),"Цвет заголовка")</f>
        <v>Цвет заголовка</v>
      </c>
      <c r="BA26" s="3" t="str">
        <f>IFERROR(__xludf.DUMMYFUNCTION("GoogleTranslate(C26, ""en"", ""sr"")"),"Боја наслова")</f>
        <v>Боја наслова</v>
      </c>
      <c r="BB26" s="3" t="str">
        <f>IFERROR(__xludf.DUMMYFUNCTION("GoogleTranslate(C26, ""en"", ""si"")"),"මාතෘකා වර්ණය")</f>
        <v>මාතෘකා වර්ණය</v>
      </c>
      <c r="BC26" s="3" t="str">
        <f>IFERROR(__xludf.DUMMYFUNCTION("GoogleTranslate(C26, ""en"", ""sk"")"),"Farba nadpisu")</f>
        <v>Farba nadpisu</v>
      </c>
      <c r="BD26" s="3" t="str">
        <f>IFERROR(__xludf.DUMMYFUNCTION("GoogleTranslate(C26, ""en"", ""sl"")"),"Barva naslova")</f>
        <v>Barva naslova</v>
      </c>
      <c r="BE26" s="3" t="str">
        <f>IFERROR(__xludf.DUMMYFUNCTION("GoogleTranslate(C26, ""en"", ""es"")"),"Color del título")</f>
        <v>Color del título</v>
      </c>
      <c r="BF26" s="3" t="str">
        <f>IFERROR(__xludf.DUMMYFUNCTION("GoogleTranslate(C26, ""en"", ""sw"")"),"Rangi ya kichwa")</f>
        <v>Rangi ya kichwa</v>
      </c>
      <c r="BG26" s="3" t="str">
        <f>IFERROR(__xludf.DUMMYFUNCTION("GoogleTranslate(C26, ""en"", ""sv"")"),"Titelfärg")</f>
        <v>Titelfärg</v>
      </c>
      <c r="BH26" s="3" t="str">
        <f>IFERROR(__xludf.DUMMYFUNCTION("GoogleTranslate(C26, ""en"", ""te"")"),"శీర్షిక రంగు")</f>
        <v>శీర్షిక రంగు</v>
      </c>
      <c r="BI26" s="3" t="str">
        <f>IFERROR(__xludf.DUMMYFUNCTION("GoogleTranslate(C26, ""en"", ""th"")"),"สีของชื่อเรื่อง")</f>
        <v>สีของชื่อเรื่อง</v>
      </c>
      <c r="BJ26" s="3" t="str">
        <f>IFERROR(__xludf.DUMMYFUNCTION("GoogleTranslate(C26, ""en"", ""tr"")"),"Başlık rengi")</f>
        <v>Başlık rengi</v>
      </c>
      <c r="BK26" s="3" t="str">
        <f>IFERROR(__xludf.DUMMYFUNCTION("GoogleTranslate(C26, ""en"", ""uk"")"),"Колір заголовка")</f>
        <v>Колір заголовка</v>
      </c>
      <c r="BL26" s="3" t="str">
        <f>IFERROR(__xludf.DUMMYFUNCTION("GoogleTranslate(C26, ""en"", ""zu"")"),"Umbala wesihloko")</f>
        <v>Umbala wesihloko</v>
      </c>
    </row>
    <row r="27">
      <c r="A27" s="1" t="str">
        <f t="shared" si="1"/>
        <v>Text_color</v>
      </c>
      <c r="B27" s="4" t="s">
        <v>89</v>
      </c>
      <c r="C27" s="1" t="str">
        <f t="shared" si="2"/>
        <v>Text color</v>
      </c>
      <c r="D27" s="3" t="str">
        <f>IFERROR(__xludf.DUMMYFUNCTION("GoogleTranslate(C27, ""en"", ""es"")"),"Color del texto")</f>
        <v>Color del texto</v>
      </c>
      <c r="E27" s="3" t="str">
        <f>IFERROR(__xludf.DUMMYFUNCTION("GoogleTranslate(C27, ""en"", ""ar"")"),"لون النص")</f>
        <v>لون النص</v>
      </c>
      <c r="F27" s="3" t="str">
        <f>IFERROR(__xludf.DUMMYFUNCTION("GoogleTranslate(C27, ""en"", ""hy"")"),"Տեքստի գույնը")</f>
        <v>Տեքստի գույնը</v>
      </c>
      <c r="G27" s="3" t="str">
        <f>IFERROR(__xludf.DUMMYFUNCTION("GoogleTranslate(C27, ""en"", ""vi"")"),"Màu văn bản")</f>
        <v>Màu văn bản</v>
      </c>
      <c r="H27" s="3" t="str">
        <f>IFERROR(__xludf.DUMMYFUNCTION("GoogleTranslate(C27, ""en"", ""az"")"),"Mətnin rəngi")</f>
        <v>Mətnin rəngi</v>
      </c>
      <c r="I27" s="3" t="str">
        <f>IFERROR(__xludf.DUMMYFUNCTION("GoogleTranslate(C27, ""en"", ""eu"")"),"Testuaren kolorea")</f>
        <v>Testuaren kolorea</v>
      </c>
      <c r="J27" s="3" t="str">
        <f>IFERROR(__xludf.DUMMYFUNCTION("GoogleTranslate(C27, ""en"", ""be"")"),"Колер тэксту")</f>
        <v>Колер тэксту</v>
      </c>
      <c r="K27" s="3" t="str">
        <f>IFERROR(__xludf.DUMMYFUNCTION("GoogleTranslate(C27, ""en"", ""bn"")"),"পাঠ্যের রঙ")</f>
        <v>পাঠ্যের রঙ</v>
      </c>
      <c r="L27" s="3" t="str">
        <f>IFERROR(__xludf.DUMMYFUNCTION("GoogleTranslate(C27, ""en"", ""bg"")"),"Цвят на текста")</f>
        <v>Цвят на текста</v>
      </c>
      <c r="M27" s="3" t="str">
        <f>IFERROR(__xludf.DUMMYFUNCTION("GoogleTranslate(C27, ""en"", ""my"")"),"စာသားအရောင်")</f>
        <v>စာသားအရောင်</v>
      </c>
      <c r="N27" s="3" t="str">
        <f>IFERROR(__xludf.DUMMYFUNCTION("GoogleTranslate(C27, ""en"", ""ca"")"),"Color del text")</f>
        <v>Color del text</v>
      </c>
      <c r="O27" s="3" t="str">
        <f>IFERROR(__xludf.DUMMYFUNCTION("GoogleTranslate(C27, ""en"", ""zh-cn"")"),"文字颜色")</f>
        <v>文字颜色</v>
      </c>
      <c r="P27" s="3" t="str">
        <f>IFERROR(__xludf.DUMMYFUNCTION("GoogleTranslate(C27, ""en"", ""zh-TW"")"),"文字顏色")</f>
        <v>文字顏色</v>
      </c>
      <c r="Q27" s="3" t="str">
        <f>IFERROR(__xludf.DUMMYFUNCTION("GoogleTranslate(C27, ""en"", ""hr"")"),"Boja teksta")</f>
        <v>Boja teksta</v>
      </c>
      <c r="R27" s="3" t="str">
        <f>IFERROR(__xludf.DUMMYFUNCTION("GoogleTranslate(C27, ""en"", ""cs"")"),"Barva textu")</f>
        <v>Barva textu</v>
      </c>
      <c r="S27" s="3" t="str">
        <f>IFERROR(__xludf.DUMMYFUNCTION("GoogleTranslate(C27, ""en"", ""da"")"),"Tekstfarve")</f>
        <v>Tekstfarve</v>
      </c>
      <c r="T27" s="3" t="str">
        <f>IFERROR(__xludf.DUMMYFUNCTION("GoogleTranslate(C27, ""en"", ""nl"")"),"Tekstkleur")</f>
        <v>Tekstkleur</v>
      </c>
      <c r="U27" s="3" t="str">
        <f>IFERROR(__xludf.DUMMYFUNCTION("GoogleTranslate(C27, ""en"", ""et"")"),"Teksti värv")</f>
        <v>Teksti värv</v>
      </c>
      <c r="V27" s="1" t="str">
        <f t="shared" si="3"/>
        <v>Text color</v>
      </c>
      <c r="W27" s="3" t="str">
        <f>IFERROR(__xludf.DUMMYFUNCTION("GoogleTranslate(C27, ""en"", ""fi"")"),"Tekstin väri")</f>
        <v>Tekstin väri</v>
      </c>
      <c r="X27" s="3" t="str">
        <f>IFERROR(__xludf.DUMMYFUNCTION("GoogleTranslate(C27, ""en"", ""fr"")"),"Couleur du texte")</f>
        <v>Couleur du texte</v>
      </c>
      <c r="Y27" s="3" t="str">
        <f>IFERROR(__xludf.DUMMYFUNCTION("GoogleTranslate(C27, ""en"", ""de"")"),"Textfarbe")</f>
        <v>Textfarbe</v>
      </c>
      <c r="Z27" s="3" t="str">
        <f>IFERROR(__xludf.DUMMYFUNCTION("GoogleTranslate(C27, ""en"", ""el"")"),"Χρώμα κειμένου")</f>
        <v>Χρώμα κειμένου</v>
      </c>
      <c r="AA27" s="3" t="str">
        <f>IFERROR(__xludf.DUMMYFUNCTION("GoogleTranslate(C27, ""en"", ""iw"")"),"צבע טקסט")</f>
        <v>צבע טקסט</v>
      </c>
      <c r="AB27" s="3" t="str">
        <f>IFERROR(__xludf.DUMMYFUNCTION("GoogleTranslate(C27, ""en"", ""hi"")"),"पाठ का रंग")</f>
        <v>पाठ का रंग</v>
      </c>
      <c r="AC27" s="3" t="str">
        <f>IFERROR(__xludf.DUMMYFUNCTION("GoogleTranslate(C27, ""en"", ""hu"")"),"Szöveg színe")</f>
        <v>Szöveg színe</v>
      </c>
      <c r="AD27" s="3" t="str">
        <f>IFERROR(__xludf.DUMMYFUNCTION("GoogleTranslate(C27, ""en"", ""is"")"),"Litur texta")</f>
        <v>Litur texta</v>
      </c>
      <c r="AE27" s="3" t="str">
        <f>IFERROR(__xludf.DUMMYFUNCTION("GoogleTranslate(C27, ""en"", ""id"")"),"Warna teks")</f>
        <v>Warna teks</v>
      </c>
      <c r="AF27" s="3" t="str">
        <f>IFERROR(__xludf.DUMMYFUNCTION("GoogleTranslate(C27, ""en"", ""in"")"),"Warna teks")</f>
        <v>Warna teks</v>
      </c>
      <c r="AG27" s="3" t="str">
        <f>IFERROR(__xludf.DUMMYFUNCTION("GoogleTranslate(C27, ""en"", ""it"")"),"Colore del testo")</f>
        <v>Colore del testo</v>
      </c>
      <c r="AH27" s="3" t="str">
        <f>IFERROR(__xludf.DUMMYFUNCTION("GoogleTranslate(C27, ""en"", ""ja"")"),"文字の色")</f>
        <v>文字の色</v>
      </c>
      <c r="AI27" s="3" t="str">
        <f>IFERROR(__xludf.DUMMYFUNCTION("GoogleTranslate(C27, ""en"", ""kn"")"),"ಪಠ್ಯದ ಬಣ್ಣ")</f>
        <v>ಪಠ್ಯದ ಬಣ್ಣ</v>
      </c>
      <c r="AJ27" s="3" t="str">
        <f>IFERROR(__xludf.DUMMYFUNCTION("GoogleTranslate(C27, ""en"", ""km"")"),"ពណ៌អត្ថបទ")</f>
        <v>ពណ៌អត្ថបទ</v>
      </c>
      <c r="AK27" s="3" t="str">
        <f>IFERROR(__xludf.DUMMYFUNCTION("GoogleTranslate(C27, ""en"", ""ko"")"),"텍스트 색상")</f>
        <v>텍스트 색상</v>
      </c>
      <c r="AL27" s="3" t="str">
        <f>IFERROR(__xludf.DUMMYFUNCTION("GoogleTranslate(C27, ""en"", ""lo"")"),"ສີຂໍ້ຄວາມ")</f>
        <v>ສີຂໍ້ຄວາມ</v>
      </c>
      <c r="AM27" s="3" t="str">
        <f>IFERROR(__xludf.DUMMYFUNCTION("GoogleTranslate(C27, ""en"", ""lv"")"),"Teksta krāsa")</f>
        <v>Teksta krāsa</v>
      </c>
      <c r="AN27" s="3" t="str">
        <f>IFERROR(__xludf.DUMMYFUNCTION("GoogleTranslate(C27, ""en"", ""lt"")"),"Teksto spalva")</f>
        <v>Teksto spalva</v>
      </c>
      <c r="AO27" s="3" t="str">
        <f>IFERROR(__xludf.DUMMYFUNCTION("GoogleTranslate(C27, ""en"", ""mk"")"),"Боја на текстот")</f>
        <v>Боја на текстот</v>
      </c>
      <c r="AP27" s="3" t="str">
        <f>IFERROR(__xludf.DUMMYFUNCTION("GoogleTranslate(C27, ""en"", ""ms"")"),"Warna teks")</f>
        <v>Warna teks</v>
      </c>
      <c r="AQ27" s="3" t="str">
        <f>IFERROR(__xludf.DUMMYFUNCTION("GoogleTranslate(C27, ""en"", ""ml"")"),"ടെക്സ്റ്റ് നിറം")</f>
        <v>ടെക്സ്റ്റ് നിറം</v>
      </c>
      <c r="AR27" s="3" t="str">
        <f>IFERROR(__xludf.DUMMYFUNCTION("GoogleTranslate(C27, ""en"", ""mr"")"),"मजकूर रंग")</f>
        <v>मजकूर रंग</v>
      </c>
      <c r="AS27" s="3" t="str">
        <f>IFERROR(__xludf.DUMMYFUNCTION("GoogleTranslate(C27, ""en"", ""mn"")"),"Текстийн өнгө")</f>
        <v>Текстийн өнгө</v>
      </c>
      <c r="AT27" s="3" t="str">
        <f>IFERROR(__xludf.DUMMYFUNCTION("GoogleTranslate(C27, ""en"", ""ne"")"),"पाठ रङ")</f>
        <v>पाठ रङ</v>
      </c>
      <c r="AU27" s="3" t="str">
        <f>IFERROR(__xludf.DUMMYFUNCTION("GoogleTranslate(C27, ""en"", ""nb"")"),"Tekstfarge")</f>
        <v>Tekstfarge</v>
      </c>
      <c r="AV27" s="3" t="str">
        <f>IFERROR(__xludf.DUMMYFUNCTION("GoogleTranslate(C27, ""en"", ""fa"")"),"رنگ متن")</f>
        <v>رنگ متن</v>
      </c>
      <c r="AW27" s="3" t="str">
        <f>IFERROR(__xludf.DUMMYFUNCTION("GoogleTranslate(C27, ""en"", ""pl"")"),"Kolor tekstu")</f>
        <v>Kolor tekstu</v>
      </c>
      <c r="AX27" s="3" t="str">
        <f>IFERROR(__xludf.DUMMYFUNCTION("GoogleTranslate(C27, ""en"", ""pt"")"),"Cor do texto")</f>
        <v>Cor do texto</v>
      </c>
      <c r="AY27" s="3" t="str">
        <f>IFERROR(__xludf.DUMMYFUNCTION("GoogleTranslate(C27, ""en"", ""ro"")"),"Culoarea textului")</f>
        <v>Culoarea textului</v>
      </c>
      <c r="AZ27" s="3" t="str">
        <f>IFERROR(__xludf.DUMMYFUNCTION("GoogleTranslate(C27, ""en"", ""ru"")"),"Цвет текста")</f>
        <v>Цвет текста</v>
      </c>
      <c r="BA27" s="3" t="str">
        <f>IFERROR(__xludf.DUMMYFUNCTION("GoogleTranslate(C27, ""en"", ""sr"")"),"Боја текста")</f>
        <v>Боја текста</v>
      </c>
      <c r="BB27" s="3" t="str">
        <f>IFERROR(__xludf.DUMMYFUNCTION("GoogleTranslate(C27, ""en"", ""si"")"),"පෙළ වර්ණය")</f>
        <v>පෙළ වර්ණය</v>
      </c>
      <c r="BC27" s="3" t="str">
        <f>IFERROR(__xludf.DUMMYFUNCTION("GoogleTranslate(C27, ""en"", ""sk"")"),"Farba textu")</f>
        <v>Farba textu</v>
      </c>
      <c r="BD27" s="3" t="str">
        <f>IFERROR(__xludf.DUMMYFUNCTION("GoogleTranslate(C27, ""en"", ""sl"")"),"Barva besedila")</f>
        <v>Barva besedila</v>
      </c>
      <c r="BE27" s="3" t="str">
        <f>IFERROR(__xludf.DUMMYFUNCTION("GoogleTranslate(C27, ""en"", ""es"")"),"Color del texto")</f>
        <v>Color del texto</v>
      </c>
      <c r="BF27" s="3" t="str">
        <f>IFERROR(__xludf.DUMMYFUNCTION("GoogleTranslate(C27, ""en"", ""sw"")"),"Rangi ya maandishi")</f>
        <v>Rangi ya maandishi</v>
      </c>
      <c r="BG27" s="3" t="str">
        <f>IFERROR(__xludf.DUMMYFUNCTION("GoogleTranslate(C27, ""en"", ""sv"")"),"Textfärg")</f>
        <v>Textfärg</v>
      </c>
      <c r="BH27" s="3" t="str">
        <f>IFERROR(__xludf.DUMMYFUNCTION("GoogleTranslate(C27, ""en"", ""te"")"),"టెక్స్ట్ రంగు")</f>
        <v>టెక్స్ట్ రంగు</v>
      </c>
      <c r="BI27" s="3" t="str">
        <f>IFERROR(__xludf.DUMMYFUNCTION("GoogleTranslate(C27, ""en"", ""th"")"),"สีข้อความ")</f>
        <v>สีข้อความ</v>
      </c>
      <c r="BJ27" s="3" t="str">
        <f>IFERROR(__xludf.DUMMYFUNCTION("GoogleTranslate(C27, ""en"", ""tr"")"),"Metin rengi")</f>
        <v>Metin rengi</v>
      </c>
      <c r="BK27" s="3" t="str">
        <f>IFERROR(__xludf.DUMMYFUNCTION("GoogleTranslate(C27, ""en"", ""uk"")"),"Колір тексту")</f>
        <v>Колір тексту</v>
      </c>
      <c r="BL27" s="3" t="str">
        <f>IFERROR(__xludf.DUMMYFUNCTION("GoogleTranslate(C27, ""en"", ""zu"")"),"Umbala wombhalo")</f>
        <v>Umbala wombhalo</v>
      </c>
    </row>
    <row r="28">
      <c r="A28" s="1" t="str">
        <f t="shared" si="1"/>
        <v>Line_color</v>
      </c>
      <c r="B28" s="4" t="s">
        <v>90</v>
      </c>
      <c r="C28" s="1" t="str">
        <f t="shared" si="2"/>
        <v>Line color</v>
      </c>
      <c r="D28" s="3" t="str">
        <f>IFERROR(__xludf.DUMMYFUNCTION("GoogleTranslate(C28, ""en"", ""es"")"),"Color de línea")</f>
        <v>Color de línea</v>
      </c>
      <c r="E28" s="3" t="str">
        <f>IFERROR(__xludf.DUMMYFUNCTION("GoogleTranslate(C28, ""en"", ""ar"")"),"لون الخط")</f>
        <v>لون الخط</v>
      </c>
      <c r="F28" s="3" t="str">
        <f>IFERROR(__xludf.DUMMYFUNCTION("GoogleTranslate(C28, ""en"", ""hy"")"),"Գծի գույնը")</f>
        <v>Գծի գույնը</v>
      </c>
      <c r="G28" s="3" t="str">
        <f>IFERROR(__xludf.DUMMYFUNCTION("GoogleTranslate(C28, ""en"", ""vi"")"),"Màu đường")</f>
        <v>Màu đường</v>
      </c>
      <c r="H28" s="3" t="str">
        <f>IFERROR(__xludf.DUMMYFUNCTION("GoogleTranslate(C28, ""en"", ""az"")"),"Xətt rəngi")</f>
        <v>Xətt rəngi</v>
      </c>
      <c r="I28" s="3" t="str">
        <f>IFERROR(__xludf.DUMMYFUNCTION("GoogleTranslate(C28, ""en"", ""eu"")"),"Lerroaren kolorea")</f>
        <v>Lerroaren kolorea</v>
      </c>
      <c r="J28" s="3" t="str">
        <f>IFERROR(__xludf.DUMMYFUNCTION("GoogleTranslate(C28, ""en"", ""be"")"),"Колер лініі")</f>
        <v>Колер лініі</v>
      </c>
      <c r="K28" s="3" t="str">
        <f>IFERROR(__xludf.DUMMYFUNCTION("GoogleTranslate(C28, ""en"", ""bn"")"),"লাইনের রঙ")</f>
        <v>লাইনের রঙ</v>
      </c>
      <c r="L28" s="3" t="str">
        <f>IFERROR(__xludf.DUMMYFUNCTION("GoogleTranslate(C28, ""en"", ""bg"")"),"Цвят на линията")</f>
        <v>Цвят на линията</v>
      </c>
      <c r="M28" s="3" t="str">
        <f>IFERROR(__xludf.DUMMYFUNCTION("GoogleTranslate(C28, ""en"", ""my"")"),"လိုင်းအရောင်")</f>
        <v>လိုင်းအရောင်</v>
      </c>
      <c r="N28" s="3" t="str">
        <f>IFERROR(__xludf.DUMMYFUNCTION("GoogleTranslate(C28, ""en"", ""ca"")"),"Color de línia")</f>
        <v>Color de línia</v>
      </c>
      <c r="O28" s="3" t="str">
        <f>IFERROR(__xludf.DUMMYFUNCTION("GoogleTranslate(C28, ""en"", ""zh-cn"")"),"线条颜色")</f>
        <v>线条颜色</v>
      </c>
      <c r="P28" s="3" t="str">
        <f>IFERROR(__xludf.DUMMYFUNCTION("GoogleTranslate(C28, ""en"", ""zh-TW"")"),"線條顏色")</f>
        <v>線條顏色</v>
      </c>
      <c r="Q28" s="3" t="str">
        <f>IFERROR(__xludf.DUMMYFUNCTION("GoogleTranslate(C28, ""en"", ""hr"")"),"Boja linije")</f>
        <v>Boja linije</v>
      </c>
      <c r="R28" s="3" t="str">
        <f>IFERROR(__xludf.DUMMYFUNCTION("GoogleTranslate(C28, ""en"", ""cs"")"),"Barva čáry")</f>
        <v>Barva čáry</v>
      </c>
      <c r="S28" s="3" t="str">
        <f>IFERROR(__xludf.DUMMYFUNCTION("GoogleTranslate(C28, ""en"", ""da"")"),"Linje farve")</f>
        <v>Linje farve</v>
      </c>
      <c r="T28" s="3" t="str">
        <f>IFERROR(__xludf.DUMMYFUNCTION("GoogleTranslate(C28, ""en"", ""nl"")"),"Lijnkleur")</f>
        <v>Lijnkleur</v>
      </c>
      <c r="U28" s="3" t="str">
        <f>IFERROR(__xludf.DUMMYFUNCTION("GoogleTranslate(C28, ""en"", ""et"")"),"Joone värv")</f>
        <v>Joone värv</v>
      </c>
      <c r="V28" s="1" t="str">
        <f t="shared" si="3"/>
        <v>Line color</v>
      </c>
      <c r="W28" s="3" t="str">
        <f>IFERROR(__xludf.DUMMYFUNCTION("GoogleTranslate(C28, ""en"", ""fi"")"),"Viivan väri")</f>
        <v>Viivan väri</v>
      </c>
      <c r="X28" s="3" t="str">
        <f>IFERROR(__xludf.DUMMYFUNCTION("GoogleTranslate(C28, ""en"", ""fr"")"),"Couleur de ligne")</f>
        <v>Couleur de ligne</v>
      </c>
      <c r="Y28" s="3" t="str">
        <f>IFERROR(__xludf.DUMMYFUNCTION("GoogleTranslate(C28, ""en"", ""de"")"),"Linienfarbe")</f>
        <v>Linienfarbe</v>
      </c>
      <c r="Z28" s="3" t="str">
        <f>IFERROR(__xludf.DUMMYFUNCTION("GoogleTranslate(C28, ""en"", ""el"")"),"Χρώμα γραμμής")</f>
        <v>Χρώμα γραμμής</v>
      </c>
      <c r="AA28" s="3" t="str">
        <f>IFERROR(__xludf.DUMMYFUNCTION("GoogleTranslate(C28, ""en"", ""iw"")"),"צבע קו")</f>
        <v>צבע קו</v>
      </c>
      <c r="AB28" s="3" t="str">
        <f>IFERROR(__xludf.DUMMYFUNCTION("GoogleTranslate(C28, ""en"", ""hi"")"),"रेखा रंग")</f>
        <v>रेखा रंग</v>
      </c>
      <c r="AC28" s="3" t="str">
        <f>IFERROR(__xludf.DUMMYFUNCTION("GoogleTranslate(C28, ""en"", ""hu"")"),"Vonal színe")</f>
        <v>Vonal színe</v>
      </c>
      <c r="AD28" s="3" t="str">
        <f>IFERROR(__xludf.DUMMYFUNCTION("GoogleTranslate(C28, ""en"", ""is"")"),"Línulitur")</f>
        <v>Línulitur</v>
      </c>
      <c r="AE28" s="3" t="str">
        <f>IFERROR(__xludf.DUMMYFUNCTION("GoogleTranslate(C28, ""en"", ""id"")"),"Warna garis")</f>
        <v>Warna garis</v>
      </c>
      <c r="AF28" s="3" t="str">
        <f>IFERROR(__xludf.DUMMYFUNCTION("GoogleTranslate(C28, ""en"", ""in"")"),"Warna garis")</f>
        <v>Warna garis</v>
      </c>
      <c r="AG28" s="3" t="str">
        <f>IFERROR(__xludf.DUMMYFUNCTION("GoogleTranslate(C28, ""en"", ""it"")"),"Colore della linea")</f>
        <v>Colore della linea</v>
      </c>
      <c r="AH28" s="3" t="str">
        <f>IFERROR(__xludf.DUMMYFUNCTION("GoogleTranslate(C28, ""en"", ""ja"")"),"線の色")</f>
        <v>線の色</v>
      </c>
      <c r="AI28" s="3" t="str">
        <f>IFERROR(__xludf.DUMMYFUNCTION("GoogleTranslate(C28, ""en"", ""kn"")"),"ಸಾಲಿನ ಬಣ್ಣ")</f>
        <v>ಸಾಲಿನ ಬಣ್ಣ</v>
      </c>
      <c r="AJ28" s="3" t="str">
        <f>IFERROR(__xludf.DUMMYFUNCTION("GoogleTranslate(C28, ""en"", ""km"")"),"ពណ៌បន្ទាត់")</f>
        <v>ពណ៌បន្ទាត់</v>
      </c>
      <c r="AK28" s="3" t="str">
        <f>IFERROR(__xludf.DUMMYFUNCTION("GoogleTranslate(C28, ""en"", ""ko"")"),"선 색상")</f>
        <v>선 색상</v>
      </c>
      <c r="AL28" s="3" t="str">
        <f>IFERROR(__xludf.DUMMYFUNCTION("GoogleTranslate(C28, ""en"", ""lo"")"),"ສີເສັ້ນ")</f>
        <v>ສີເສັ້ນ</v>
      </c>
      <c r="AM28" s="3" t="str">
        <f>IFERROR(__xludf.DUMMYFUNCTION("GoogleTranslate(C28, ""en"", ""lv"")"),"Līnijas krāsa")</f>
        <v>Līnijas krāsa</v>
      </c>
      <c r="AN28" s="3" t="str">
        <f>IFERROR(__xludf.DUMMYFUNCTION("GoogleTranslate(C28, ""en"", ""lt"")"),"Linijos spalva")</f>
        <v>Linijos spalva</v>
      </c>
      <c r="AO28" s="3" t="str">
        <f>IFERROR(__xludf.DUMMYFUNCTION("GoogleTranslate(C28, ""en"", ""mk"")"),"Боја на линијата")</f>
        <v>Боја на линијата</v>
      </c>
      <c r="AP28" s="3" t="str">
        <f>IFERROR(__xludf.DUMMYFUNCTION("GoogleTranslate(C28, ""en"", ""ms"")"),"Warna garisan")</f>
        <v>Warna garisan</v>
      </c>
      <c r="AQ28" s="3" t="str">
        <f>IFERROR(__xludf.DUMMYFUNCTION("GoogleTranslate(C28, ""en"", ""ml"")"),"ലൈൻ നിറം")</f>
        <v>ലൈൻ നിറം</v>
      </c>
      <c r="AR28" s="3" t="str">
        <f>IFERROR(__xludf.DUMMYFUNCTION("GoogleTranslate(C28, ""en"", ""mr"")"),"रेषा रंग")</f>
        <v>रेषा रंग</v>
      </c>
      <c r="AS28" s="3" t="str">
        <f>IFERROR(__xludf.DUMMYFUNCTION("GoogleTranslate(C28, ""en"", ""mn"")"),"Шугамын өнгө")</f>
        <v>Шугамын өнгө</v>
      </c>
      <c r="AT28" s="3" t="str">
        <f>IFERROR(__xludf.DUMMYFUNCTION("GoogleTranslate(C28, ""en"", ""ne"")"),"रेखा रंग")</f>
        <v>रेखा रंग</v>
      </c>
      <c r="AU28" s="3" t="str">
        <f>IFERROR(__xludf.DUMMYFUNCTION("GoogleTranslate(C28, ""en"", ""nb"")"),"Linjefarge")</f>
        <v>Linjefarge</v>
      </c>
      <c r="AV28" s="3" t="str">
        <f>IFERROR(__xludf.DUMMYFUNCTION("GoogleTranslate(C28, ""en"", ""fa"")"),"رنگ خط")</f>
        <v>رنگ خط</v>
      </c>
      <c r="AW28" s="3" t="str">
        <f>IFERROR(__xludf.DUMMYFUNCTION("GoogleTranslate(C28, ""en"", ""pl"")"),"Kolor linii")</f>
        <v>Kolor linii</v>
      </c>
      <c r="AX28" s="3" t="str">
        <f>IFERROR(__xludf.DUMMYFUNCTION("GoogleTranslate(C28, ""en"", ""pt"")"),"Cor da linha")</f>
        <v>Cor da linha</v>
      </c>
      <c r="AY28" s="3" t="str">
        <f>IFERROR(__xludf.DUMMYFUNCTION("GoogleTranslate(C28, ""en"", ""ro"")"),"Culoarea liniei")</f>
        <v>Culoarea liniei</v>
      </c>
      <c r="AZ28" s="3" t="str">
        <f>IFERROR(__xludf.DUMMYFUNCTION("GoogleTranslate(C28, ""en"", ""ru"")"),"Цвет линии")</f>
        <v>Цвет линии</v>
      </c>
      <c r="BA28" s="3" t="str">
        <f>IFERROR(__xludf.DUMMYFUNCTION("GoogleTranslate(C28, ""en"", ""sr"")"),"Боја линије")</f>
        <v>Боја линије</v>
      </c>
      <c r="BB28" s="3" t="str">
        <f>IFERROR(__xludf.DUMMYFUNCTION("GoogleTranslate(C28, ""en"", ""si"")"),"රේඛා වර්ණය")</f>
        <v>රේඛා වර්ණය</v>
      </c>
      <c r="BC28" s="3" t="str">
        <f>IFERROR(__xludf.DUMMYFUNCTION("GoogleTranslate(C28, ""en"", ""sk"")"),"Farba čiary")</f>
        <v>Farba čiary</v>
      </c>
      <c r="BD28" s="3" t="str">
        <f>IFERROR(__xludf.DUMMYFUNCTION("GoogleTranslate(C28, ""en"", ""sl"")"),"Barva črte")</f>
        <v>Barva črte</v>
      </c>
      <c r="BE28" s="3" t="str">
        <f>IFERROR(__xludf.DUMMYFUNCTION("GoogleTranslate(C28, ""en"", ""es"")"),"Color de línea")</f>
        <v>Color de línea</v>
      </c>
      <c r="BF28" s="3" t="str">
        <f>IFERROR(__xludf.DUMMYFUNCTION("GoogleTranslate(C28, ""en"", ""sw"")"),"Rangi ya mstari")</f>
        <v>Rangi ya mstari</v>
      </c>
      <c r="BG28" s="3" t="str">
        <f>IFERROR(__xludf.DUMMYFUNCTION("GoogleTranslate(C28, ""en"", ""sv"")"),"Linjefärg")</f>
        <v>Linjefärg</v>
      </c>
      <c r="BH28" s="3" t="str">
        <f>IFERROR(__xludf.DUMMYFUNCTION("GoogleTranslate(C28, ""en"", ""te"")"),"పంక్తి రంగు")</f>
        <v>పంక్తి రంగు</v>
      </c>
      <c r="BI28" s="3" t="str">
        <f>IFERROR(__xludf.DUMMYFUNCTION("GoogleTranslate(C28, ""en"", ""th"")"),"สีเส้น")</f>
        <v>สีเส้น</v>
      </c>
      <c r="BJ28" s="3" t="str">
        <f>IFERROR(__xludf.DUMMYFUNCTION("GoogleTranslate(C28, ""en"", ""tr"")"),"Çizgi rengi")</f>
        <v>Çizgi rengi</v>
      </c>
      <c r="BK28" s="3" t="str">
        <f>IFERROR(__xludf.DUMMYFUNCTION("GoogleTranslate(C28, ""en"", ""uk"")"),"Колір лінії")</f>
        <v>Колір лінії</v>
      </c>
      <c r="BL28" s="3" t="str">
        <f>IFERROR(__xludf.DUMMYFUNCTION("GoogleTranslate(C28, ""en"", ""zu"")"),"Umbala womugqa")</f>
        <v>Umbala womugqa</v>
      </c>
    </row>
    <row r="29">
      <c r="A29" s="1" t="str">
        <f t="shared" si="1"/>
        <v>Add_Widget</v>
      </c>
      <c r="B29" s="4" t="s">
        <v>91</v>
      </c>
      <c r="C29" s="1" t="str">
        <f t="shared" si="2"/>
        <v>Add Widget</v>
      </c>
      <c r="D29" s="3" t="str">
        <f>IFERROR(__xludf.DUMMYFUNCTION("GoogleTranslate(C29, ""en"", ""es"")"),"Agregar widget")</f>
        <v>Agregar widget</v>
      </c>
      <c r="E29" s="3" t="str">
        <f>IFERROR(__xludf.DUMMYFUNCTION("GoogleTranslate(C29, ""en"", ""ar"")"),"إضافة القطعة")</f>
        <v>إضافة القطعة</v>
      </c>
      <c r="F29" s="3" t="str">
        <f>IFERROR(__xludf.DUMMYFUNCTION("GoogleTranslate(C29, ""en"", ""hy"")"),"Ավելացնել վիդջեթ")</f>
        <v>Ավելացնել վիդջեթ</v>
      </c>
      <c r="G29" s="3" t="str">
        <f>IFERROR(__xludf.DUMMYFUNCTION("GoogleTranslate(C29, ""en"", ""vi"")"),"Thêm tiện ích")</f>
        <v>Thêm tiện ích</v>
      </c>
      <c r="H29" s="3" t="str">
        <f>IFERROR(__xludf.DUMMYFUNCTION("GoogleTranslate(C29, ""en"", ""az"")"),"Vidcet əlavə edin")</f>
        <v>Vidcet əlavə edin</v>
      </c>
      <c r="I29" s="3" t="str">
        <f>IFERROR(__xludf.DUMMYFUNCTION("GoogleTranslate(C29, ""en"", ""eu"")"),"Gehitu widgeta")</f>
        <v>Gehitu widgeta</v>
      </c>
      <c r="J29" s="3" t="str">
        <f>IFERROR(__xludf.DUMMYFUNCTION("GoogleTranslate(C29, ""en"", ""be"")"),"Дадаць віджэт")</f>
        <v>Дадаць віджэт</v>
      </c>
      <c r="K29" s="3" t="str">
        <f>IFERROR(__xludf.DUMMYFUNCTION("GoogleTranslate(C29, ""en"", ""bn"")"),"উইজেট যোগ করুন")</f>
        <v>উইজেট যোগ করুন</v>
      </c>
      <c r="L29" s="3" t="str">
        <f>IFERROR(__xludf.DUMMYFUNCTION("GoogleTranslate(C29, ""en"", ""bg"")"),"Добавете Widget")</f>
        <v>Добавете Widget</v>
      </c>
      <c r="M29" s="3" t="str">
        <f>IFERROR(__xludf.DUMMYFUNCTION("GoogleTranslate(C29, ""en"", ""my"")"),"ဝစ်ဂျက်ထည့်ပါ။")</f>
        <v>ဝစ်ဂျက်ထည့်ပါ။</v>
      </c>
      <c r="N29" s="3" t="str">
        <f>IFERROR(__xludf.DUMMYFUNCTION("GoogleTranslate(C29, ""en"", ""ca"")"),"Afegeix un widget")</f>
        <v>Afegeix un widget</v>
      </c>
      <c r="O29" s="3" t="str">
        <f>IFERROR(__xludf.DUMMYFUNCTION("GoogleTranslate(C29, ""en"", ""zh-cn"")"),"添加小部件")</f>
        <v>添加小部件</v>
      </c>
      <c r="P29" s="3" t="str">
        <f>IFERROR(__xludf.DUMMYFUNCTION("GoogleTranslate(C29, ""en"", ""zh-TW"")"),"添加小部件")</f>
        <v>添加小部件</v>
      </c>
      <c r="Q29" s="3" t="str">
        <f>IFERROR(__xludf.DUMMYFUNCTION("GoogleTranslate(C29, ""en"", ""hr"")"),"Dodaj widget")</f>
        <v>Dodaj widget</v>
      </c>
      <c r="R29" s="3" t="str">
        <f>IFERROR(__xludf.DUMMYFUNCTION("GoogleTranslate(C29, ""en"", ""cs"")"),"Přidat widget")</f>
        <v>Přidat widget</v>
      </c>
      <c r="S29" s="3" t="str">
        <f>IFERROR(__xludf.DUMMYFUNCTION("GoogleTranslate(C29, ""en"", ""da"")"),"Tilføj widget")</f>
        <v>Tilføj widget</v>
      </c>
      <c r="T29" s="3" t="str">
        <f>IFERROR(__xludf.DUMMYFUNCTION("GoogleTranslate(C29, ""en"", ""nl"")"),"Widget toevoegen")</f>
        <v>Widget toevoegen</v>
      </c>
      <c r="U29" s="3" t="str">
        <f>IFERROR(__xludf.DUMMYFUNCTION("GoogleTranslate(C29, ""en"", ""et"")"),"Lisa vidin")</f>
        <v>Lisa vidin</v>
      </c>
      <c r="V29" s="1" t="str">
        <f t="shared" si="3"/>
        <v>Add Widget</v>
      </c>
      <c r="W29" s="3" t="str">
        <f>IFERROR(__xludf.DUMMYFUNCTION("GoogleTranslate(C29, ""en"", ""fi"")"),"Lisää widget")</f>
        <v>Lisää widget</v>
      </c>
      <c r="X29" s="3" t="str">
        <f>IFERROR(__xludf.DUMMYFUNCTION("GoogleTranslate(C29, ""en"", ""fr"")"),"Ajouter un widget")</f>
        <v>Ajouter un widget</v>
      </c>
      <c r="Y29" s="3" t="str">
        <f>IFERROR(__xludf.DUMMYFUNCTION("GoogleTranslate(C29, ""en"", ""de"")"),"Widget hinzufügen")</f>
        <v>Widget hinzufügen</v>
      </c>
      <c r="Z29" s="3" t="str">
        <f>IFERROR(__xludf.DUMMYFUNCTION("GoogleTranslate(C29, ""en"", ""el"")"),"Προσθήκη Widget")</f>
        <v>Προσθήκη Widget</v>
      </c>
      <c r="AA29" s="3" t="str">
        <f>IFERROR(__xludf.DUMMYFUNCTION("GoogleTranslate(C29, ""en"", ""iw"")"),"הוסף ווידג'ט")</f>
        <v>הוסף ווידג'ט</v>
      </c>
      <c r="AB29" s="3" t="str">
        <f>IFERROR(__xludf.DUMMYFUNCTION("GoogleTranslate(C29, ""en"", ""hi"")"),"विजेट जोड़ें")</f>
        <v>विजेट जोड़ें</v>
      </c>
      <c r="AC29" s="3" t="str">
        <f>IFERROR(__xludf.DUMMYFUNCTION("GoogleTranslate(C29, ""en"", ""hu"")"),"Widget hozzáadása")</f>
        <v>Widget hozzáadása</v>
      </c>
      <c r="AD29" s="3" t="str">
        <f>IFERROR(__xludf.DUMMYFUNCTION("GoogleTranslate(C29, ""en"", ""is"")"),"Bæta við græju")</f>
        <v>Bæta við græju</v>
      </c>
      <c r="AE29" s="3" t="str">
        <f>IFERROR(__xludf.DUMMYFUNCTION("GoogleTranslate(C29, ""en"", ""id"")"),"Tambahkan Widget")</f>
        <v>Tambahkan Widget</v>
      </c>
      <c r="AF29" s="3" t="str">
        <f>IFERROR(__xludf.DUMMYFUNCTION("GoogleTranslate(C29, ""en"", ""in"")"),"Tambahkan Widget")</f>
        <v>Tambahkan Widget</v>
      </c>
      <c r="AG29" s="3" t="str">
        <f>IFERROR(__xludf.DUMMYFUNCTION("GoogleTranslate(C29, ""en"", ""it"")"),"Aggiungi widget")</f>
        <v>Aggiungi widget</v>
      </c>
      <c r="AH29" s="3" t="str">
        <f>IFERROR(__xludf.DUMMYFUNCTION("GoogleTranslate(C29, ""en"", ""ja"")"),"ウィジェットの追加")</f>
        <v>ウィジェットの追加</v>
      </c>
      <c r="AI29" s="3" t="str">
        <f>IFERROR(__xludf.DUMMYFUNCTION("GoogleTranslate(C29, ""en"", ""kn"")"),"ವಿಜೆಟ್ ಸೇರಿಸಿ")</f>
        <v>ವಿಜೆಟ್ ಸೇರಿಸಿ</v>
      </c>
      <c r="AJ29" s="3" t="str">
        <f>IFERROR(__xludf.DUMMYFUNCTION("GoogleTranslate(C29, ""en"", ""km"")"),"បន្ថែមធាតុក្រាហ្វិក")</f>
        <v>បន្ថែមធាតុក្រាហ្វិក</v>
      </c>
      <c r="AK29" s="3" t="str">
        <f>IFERROR(__xludf.DUMMYFUNCTION("GoogleTranslate(C29, ""en"", ""ko"")"),"위젯 추가")</f>
        <v>위젯 추가</v>
      </c>
      <c r="AL29" s="3" t="str">
        <f>IFERROR(__xludf.DUMMYFUNCTION("GoogleTranslate(C29, ""en"", ""lo"")"),"ເພີ່ມ Widget")</f>
        <v>ເພີ່ມ Widget</v>
      </c>
      <c r="AM29" s="3" t="str">
        <f>IFERROR(__xludf.DUMMYFUNCTION("GoogleTranslate(C29, ""en"", ""lv"")"),"Pievienot logrīku")</f>
        <v>Pievienot logrīku</v>
      </c>
      <c r="AN29" s="3" t="str">
        <f>IFERROR(__xludf.DUMMYFUNCTION("GoogleTranslate(C29, ""en"", ""lt"")"),"Pridėti valdiklį")</f>
        <v>Pridėti valdiklį</v>
      </c>
      <c r="AO29" s="3" t="str">
        <f>IFERROR(__xludf.DUMMYFUNCTION("GoogleTranslate(C29, ""en"", ""mk"")"),"Додадете виџет")</f>
        <v>Додадете виџет</v>
      </c>
      <c r="AP29" s="3" t="str">
        <f>IFERROR(__xludf.DUMMYFUNCTION("GoogleTranslate(C29, ""en"", ""ms"")"),"Tambah Widget")</f>
        <v>Tambah Widget</v>
      </c>
      <c r="AQ29" s="3" t="str">
        <f>IFERROR(__xludf.DUMMYFUNCTION("GoogleTranslate(C29, ""en"", ""ml"")"),"വിജറ്റ് ചേർക്കുക")</f>
        <v>വിജറ്റ് ചേർക്കുക</v>
      </c>
      <c r="AR29" s="3" t="str">
        <f>IFERROR(__xludf.DUMMYFUNCTION("GoogleTranslate(C29, ""en"", ""mr"")"),"विजेट जोडा")</f>
        <v>विजेट जोडा</v>
      </c>
      <c r="AS29" s="3" t="str">
        <f>IFERROR(__xludf.DUMMYFUNCTION("GoogleTranslate(C29, ""en"", ""mn"")"),"Виджет нэмэх")</f>
        <v>Виджет нэмэх</v>
      </c>
      <c r="AT29" s="3" t="str">
        <f>IFERROR(__xludf.DUMMYFUNCTION("GoogleTranslate(C29, ""en"", ""ne"")"),"विजेट थप्नुहोस्")</f>
        <v>विजेट थप्नुहोस्</v>
      </c>
      <c r="AU29" s="3" t="str">
        <f>IFERROR(__xludf.DUMMYFUNCTION("GoogleTranslate(C29, ""en"", ""nb"")"),"Legg til widget")</f>
        <v>Legg til widget</v>
      </c>
      <c r="AV29" s="3" t="str">
        <f>IFERROR(__xludf.DUMMYFUNCTION("GoogleTranslate(C29, ""en"", ""fa"")"),"افزودن ویجت")</f>
        <v>افزودن ویجت</v>
      </c>
      <c r="AW29" s="3" t="str">
        <f>IFERROR(__xludf.DUMMYFUNCTION("GoogleTranslate(C29, ""en"", ""pl"")"),"Dodaj widżet")</f>
        <v>Dodaj widżet</v>
      </c>
      <c r="AX29" s="3" t="str">
        <f>IFERROR(__xludf.DUMMYFUNCTION("GoogleTranslate(C29, ""en"", ""pt"")"),"Adicionar widget")</f>
        <v>Adicionar widget</v>
      </c>
      <c r="AY29" s="3" t="str">
        <f>IFERROR(__xludf.DUMMYFUNCTION("GoogleTranslate(C29, ""en"", ""ro"")"),"Adăugați widget")</f>
        <v>Adăugați widget</v>
      </c>
      <c r="AZ29" s="3" t="str">
        <f>IFERROR(__xludf.DUMMYFUNCTION("GoogleTranslate(C29, ""en"", ""ru"")"),"Добавить виджет")</f>
        <v>Добавить виджет</v>
      </c>
      <c r="BA29" s="3" t="str">
        <f>IFERROR(__xludf.DUMMYFUNCTION("GoogleTranslate(C29, ""en"", ""sr"")"),"Додај виџет")</f>
        <v>Додај виџет</v>
      </c>
      <c r="BB29" s="3" t="str">
        <f>IFERROR(__xludf.DUMMYFUNCTION("GoogleTranslate(C29, ""en"", ""si"")"),"Widget එක් කරන්න")</f>
        <v>Widget එක් කරන්න</v>
      </c>
      <c r="BC29" s="3" t="str">
        <f>IFERROR(__xludf.DUMMYFUNCTION("GoogleTranslate(C29, ""en"", ""sk"")"),"Pridať miniaplikáciu")</f>
        <v>Pridať miniaplikáciu</v>
      </c>
      <c r="BD29" s="3" t="str">
        <f>IFERROR(__xludf.DUMMYFUNCTION("GoogleTranslate(C29, ""en"", ""sl"")"),"Dodaj pripomoček")</f>
        <v>Dodaj pripomoček</v>
      </c>
      <c r="BE29" s="3" t="str">
        <f>IFERROR(__xludf.DUMMYFUNCTION("GoogleTranslate(C29, ""en"", ""es"")"),"Agregar widget")</f>
        <v>Agregar widget</v>
      </c>
      <c r="BF29" s="3" t="str">
        <f>IFERROR(__xludf.DUMMYFUNCTION("GoogleTranslate(C29, ""en"", ""sw"")"),"Ongeza Wijeti")</f>
        <v>Ongeza Wijeti</v>
      </c>
      <c r="BG29" s="3" t="str">
        <f>IFERROR(__xludf.DUMMYFUNCTION("GoogleTranslate(C29, ""en"", ""sv"")"),"Lägg till widget")</f>
        <v>Lägg till widget</v>
      </c>
      <c r="BH29" s="3" t="str">
        <f>IFERROR(__xludf.DUMMYFUNCTION("GoogleTranslate(C29, ""en"", ""te"")"),"విడ్జెట్ జోడించండి")</f>
        <v>విడ్జెట్ జోడించండి</v>
      </c>
      <c r="BI29" s="3" t="str">
        <f>IFERROR(__xludf.DUMMYFUNCTION("GoogleTranslate(C29, ""en"", ""th"")"),"เพิ่มวิดเจ็ต")</f>
        <v>เพิ่มวิดเจ็ต</v>
      </c>
      <c r="BJ29" s="3" t="str">
        <f>IFERROR(__xludf.DUMMYFUNCTION("GoogleTranslate(C29, ""en"", ""tr"")"),"Widget Ekle")</f>
        <v>Widget Ekle</v>
      </c>
      <c r="BK29" s="3" t="str">
        <f>IFERROR(__xludf.DUMMYFUNCTION("GoogleTranslate(C29, ""en"", ""uk"")"),"Додати віджет")</f>
        <v>Додати віджет</v>
      </c>
      <c r="BL29" s="3" t="str">
        <f>IFERROR(__xludf.DUMMYFUNCTION("GoogleTranslate(C29, ""en"", ""zu"")"),"Engeza Iwijethi")</f>
        <v>Engeza Iwijethi</v>
      </c>
    </row>
    <row r="30">
      <c r="A30" s="1" t="str">
        <f t="shared" si="1"/>
        <v>Copy_code</v>
      </c>
      <c r="B30" s="4" t="s">
        <v>92</v>
      </c>
      <c r="C30" s="1" t="str">
        <f t="shared" si="2"/>
        <v>Copy code</v>
      </c>
      <c r="D30" s="3" t="str">
        <f>IFERROR(__xludf.DUMMYFUNCTION("GoogleTranslate(C30, ""en"", ""es"")"),"Copiar código")</f>
        <v>Copiar código</v>
      </c>
      <c r="E30" s="3" t="str">
        <f>IFERROR(__xludf.DUMMYFUNCTION("GoogleTranslate(C30, ""en"", ""ar"")"),"نسخ الرمز")</f>
        <v>نسخ الرمز</v>
      </c>
      <c r="F30" s="3" t="str">
        <f>IFERROR(__xludf.DUMMYFUNCTION("GoogleTranslate(C30, ""en"", ""hy"")"),"Պատճենել կոդը")</f>
        <v>Պատճենել կոդը</v>
      </c>
      <c r="G30" s="3" t="str">
        <f>IFERROR(__xludf.DUMMYFUNCTION("GoogleTranslate(C30, ""en"", ""vi"")"),"Sao chép mã")</f>
        <v>Sao chép mã</v>
      </c>
      <c r="H30" s="3" t="str">
        <f>IFERROR(__xludf.DUMMYFUNCTION("GoogleTranslate(C30, ""en"", ""az"")"),"Kodu kopyalayın")</f>
        <v>Kodu kopyalayın</v>
      </c>
      <c r="I30" s="3" t="str">
        <f>IFERROR(__xludf.DUMMYFUNCTION("GoogleTranslate(C30, ""en"", ""eu"")"),"Kopiatu kodea")</f>
        <v>Kopiatu kodea</v>
      </c>
      <c r="J30" s="3" t="str">
        <f>IFERROR(__xludf.DUMMYFUNCTION("GoogleTranslate(C30, ""en"", ""be"")"),"Скапіруйце код")</f>
        <v>Скапіруйце код</v>
      </c>
      <c r="K30" s="3" t="str">
        <f>IFERROR(__xludf.DUMMYFUNCTION("GoogleTranslate(C30, ""en"", ""bn"")"),"কোড কপি করুন")</f>
        <v>কোড কপি করুন</v>
      </c>
      <c r="L30" s="3" t="str">
        <f>IFERROR(__xludf.DUMMYFUNCTION("GoogleTranslate(C30, ""en"", ""bg"")"),"Копирайте кода")</f>
        <v>Копирайте кода</v>
      </c>
      <c r="M30" s="3" t="str">
        <f>IFERROR(__xludf.DUMMYFUNCTION("GoogleTranslate(C30, ""en"", ""my"")"),"ကုဒ်ကို ကူးယူပါ။")</f>
        <v>ကုဒ်ကို ကူးယူပါ။</v>
      </c>
      <c r="N30" s="3" t="str">
        <f>IFERROR(__xludf.DUMMYFUNCTION("GoogleTranslate(C30, ""en"", ""ca"")"),"Copia el codi")</f>
        <v>Copia el codi</v>
      </c>
      <c r="O30" s="3" t="str">
        <f>IFERROR(__xludf.DUMMYFUNCTION("GoogleTranslate(C30, ""en"", ""zh-cn"")"),"复制代码")</f>
        <v>复制代码</v>
      </c>
      <c r="P30" s="3" t="str">
        <f>IFERROR(__xludf.DUMMYFUNCTION("GoogleTranslate(C30, ""en"", ""zh-TW"")"),"複製程式碼")</f>
        <v>複製程式碼</v>
      </c>
      <c r="Q30" s="3" t="str">
        <f>IFERROR(__xludf.DUMMYFUNCTION("GoogleTranslate(C30, ""en"", ""hr"")"),"Kopiraj kod")</f>
        <v>Kopiraj kod</v>
      </c>
      <c r="R30" s="3" t="str">
        <f>IFERROR(__xludf.DUMMYFUNCTION("GoogleTranslate(C30, ""en"", ""cs"")"),"Kopírovat kód")</f>
        <v>Kopírovat kód</v>
      </c>
      <c r="S30" s="3" t="str">
        <f>IFERROR(__xludf.DUMMYFUNCTION("GoogleTranslate(C30, ""en"", ""da"")"),"Kopiér kode")</f>
        <v>Kopiér kode</v>
      </c>
      <c r="T30" s="3" t="str">
        <f>IFERROR(__xludf.DUMMYFUNCTION("GoogleTranslate(C30, ""en"", ""nl"")"),"Kopieer code")</f>
        <v>Kopieer code</v>
      </c>
      <c r="U30" s="3" t="str">
        <f>IFERROR(__xludf.DUMMYFUNCTION("GoogleTranslate(C30, ""en"", ""et"")"),"Kopeeri kood")</f>
        <v>Kopeeri kood</v>
      </c>
      <c r="V30" s="1" t="str">
        <f t="shared" si="3"/>
        <v>Copy code</v>
      </c>
      <c r="W30" s="3" t="str">
        <f>IFERROR(__xludf.DUMMYFUNCTION("GoogleTranslate(C30, ""en"", ""fi"")"),"Kopioi koodi")</f>
        <v>Kopioi koodi</v>
      </c>
      <c r="X30" s="3" t="str">
        <f>IFERROR(__xludf.DUMMYFUNCTION("GoogleTranslate(C30, ""en"", ""fr"")"),"Copier le code")</f>
        <v>Copier le code</v>
      </c>
      <c r="Y30" s="3" t="str">
        <f>IFERROR(__xludf.DUMMYFUNCTION("GoogleTranslate(C30, ""en"", ""de"")"),"Code kopieren")</f>
        <v>Code kopieren</v>
      </c>
      <c r="Z30" s="3" t="str">
        <f>IFERROR(__xludf.DUMMYFUNCTION("GoogleTranslate(C30, ""en"", ""el"")"),"Αντιγραφή κωδικού")</f>
        <v>Αντιγραφή κωδικού</v>
      </c>
      <c r="AA30" s="3" t="str">
        <f>IFERROR(__xludf.DUMMYFUNCTION("GoogleTranslate(C30, ""en"", ""iw"")"),"העתק קוד")</f>
        <v>העתק קוד</v>
      </c>
      <c r="AB30" s="3" t="str">
        <f>IFERROR(__xludf.DUMMYFUNCTION("GoogleTranslate(C30, ""en"", ""hi"")"),"कोड कॉपी करें")</f>
        <v>कोड कॉपी करें</v>
      </c>
      <c r="AC30" s="3" t="str">
        <f>IFERROR(__xludf.DUMMYFUNCTION("GoogleTranslate(C30, ""en"", ""hu"")"),"Kód másolása")</f>
        <v>Kód másolása</v>
      </c>
      <c r="AD30" s="3" t="str">
        <f>IFERROR(__xludf.DUMMYFUNCTION("GoogleTranslate(C30, ""en"", ""is"")"),"Afritaðu kóða")</f>
        <v>Afritaðu kóða</v>
      </c>
      <c r="AE30" s="3" t="str">
        <f>IFERROR(__xludf.DUMMYFUNCTION("GoogleTranslate(C30, ""en"", ""id"")"),"Salin kode")</f>
        <v>Salin kode</v>
      </c>
      <c r="AF30" s="3" t="str">
        <f>IFERROR(__xludf.DUMMYFUNCTION("GoogleTranslate(C30, ""en"", ""in"")"),"Salin kode")</f>
        <v>Salin kode</v>
      </c>
      <c r="AG30" s="3" t="str">
        <f>IFERROR(__xludf.DUMMYFUNCTION("GoogleTranslate(C30, ""en"", ""it"")"),"Copia il codice")</f>
        <v>Copia il codice</v>
      </c>
      <c r="AH30" s="3" t="str">
        <f>IFERROR(__xludf.DUMMYFUNCTION("GoogleTranslate(C30, ""en"", ""ja"")"),"コードをコピーする")</f>
        <v>コードをコピーする</v>
      </c>
      <c r="AI30" s="3" t="str">
        <f>IFERROR(__xludf.DUMMYFUNCTION("GoogleTranslate(C30, ""en"", ""kn"")"),"ಕೋಡ್ ನಕಲಿಸಿ")</f>
        <v>ಕೋಡ್ ನಕಲಿಸಿ</v>
      </c>
      <c r="AJ30" s="3" t="str">
        <f>IFERROR(__xludf.DUMMYFUNCTION("GoogleTranslate(C30, ""en"", ""km"")"),"ចម្លងកូដ")</f>
        <v>ចម្លងកូដ</v>
      </c>
      <c r="AK30" s="3" t="str">
        <f>IFERROR(__xludf.DUMMYFUNCTION("GoogleTranslate(C30, ""en"", ""ko"")"),"코드 복사")</f>
        <v>코드 복사</v>
      </c>
      <c r="AL30" s="3" t="str">
        <f>IFERROR(__xludf.DUMMYFUNCTION("GoogleTranslate(C30, ""en"", ""lo"")"),"ສຳເນົາລະຫັດ")</f>
        <v>ສຳເນົາລະຫັດ</v>
      </c>
      <c r="AM30" s="3" t="str">
        <f>IFERROR(__xludf.DUMMYFUNCTION("GoogleTranslate(C30, ""en"", ""lv"")"),"Kopēt kodu")</f>
        <v>Kopēt kodu</v>
      </c>
      <c r="AN30" s="3" t="str">
        <f>IFERROR(__xludf.DUMMYFUNCTION("GoogleTranslate(C30, ""en"", ""lt"")"),"Nukopijuokite kodą")</f>
        <v>Nukopijuokite kodą</v>
      </c>
      <c r="AO30" s="3" t="str">
        <f>IFERROR(__xludf.DUMMYFUNCTION("GoogleTranslate(C30, ""en"", ""mk"")"),"Копирајте го кодот")</f>
        <v>Копирајте го кодот</v>
      </c>
      <c r="AP30" s="3" t="str">
        <f>IFERROR(__xludf.DUMMYFUNCTION("GoogleTranslate(C30, ""en"", ""ms"")"),"Salin kod")</f>
        <v>Salin kod</v>
      </c>
      <c r="AQ30" s="3" t="str">
        <f>IFERROR(__xludf.DUMMYFUNCTION("GoogleTranslate(C30, ""en"", ""ml"")"),"കോഡ് പകർത്തുക")</f>
        <v>കോഡ് പകർത്തുക</v>
      </c>
      <c r="AR30" s="3" t="str">
        <f>IFERROR(__xludf.DUMMYFUNCTION("GoogleTranslate(C30, ""en"", ""mr"")"),"कोड कॉपी करा")</f>
        <v>कोड कॉपी करा</v>
      </c>
      <c r="AS30" s="3" t="str">
        <f>IFERROR(__xludf.DUMMYFUNCTION("GoogleTranslate(C30, ""en"", ""mn"")"),"Код хуулах")</f>
        <v>Код хуулах</v>
      </c>
      <c r="AT30" s="3" t="str">
        <f>IFERROR(__xludf.DUMMYFUNCTION("GoogleTranslate(C30, ""en"", ""ne"")"),"कोड प्रतिलिपि गर्नुहोस्")</f>
        <v>कोड प्रतिलिपि गर्नुहोस्</v>
      </c>
      <c r="AU30" s="3" t="str">
        <f>IFERROR(__xludf.DUMMYFUNCTION("GoogleTranslate(C30, ""en"", ""nb"")"),"Kopier koden")</f>
        <v>Kopier koden</v>
      </c>
      <c r="AV30" s="3" t="str">
        <f>IFERROR(__xludf.DUMMYFUNCTION("GoogleTranslate(C30, ""en"", ""fa"")"),"کد را کپی کنید")</f>
        <v>کد را کپی کنید</v>
      </c>
      <c r="AW30" s="3" t="str">
        <f>IFERROR(__xludf.DUMMYFUNCTION("GoogleTranslate(C30, ""en"", ""pl"")"),"Skopiuj kod")</f>
        <v>Skopiuj kod</v>
      </c>
      <c r="AX30" s="3" t="str">
        <f>IFERROR(__xludf.DUMMYFUNCTION("GoogleTranslate(C30, ""en"", ""pt"")"),"Copiar código")</f>
        <v>Copiar código</v>
      </c>
      <c r="AY30" s="3" t="str">
        <f>IFERROR(__xludf.DUMMYFUNCTION("GoogleTranslate(C30, ""en"", ""ro"")"),"Copiați codul")</f>
        <v>Copiați codul</v>
      </c>
      <c r="AZ30" s="3" t="str">
        <f>IFERROR(__xludf.DUMMYFUNCTION("GoogleTranslate(C30, ""en"", ""ru"")"),"Скопировать код")</f>
        <v>Скопировать код</v>
      </c>
      <c r="BA30" s="3" t="str">
        <f>IFERROR(__xludf.DUMMYFUNCTION("GoogleTranslate(C30, ""en"", ""sr"")"),"Копирај код")</f>
        <v>Копирај код</v>
      </c>
      <c r="BB30" s="3" t="str">
        <f>IFERROR(__xludf.DUMMYFUNCTION("GoogleTranslate(C30, ""en"", ""si"")"),"කේතය පිටපත් කරන්න")</f>
        <v>කේතය පිටපත් කරන්න</v>
      </c>
      <c r="BC30" s="3" t="str">
        <f>IFERROR(__xludf.DUMMYFUNCTION("GoogleTranslate(C30, ""en"", ""sk"")"),"Kopírovať kód")</f>
        <v>Kopírovať kód</v>
      </c>
      <c r="BD30" s="3" t="str">
        <f>IFERROR(__xludf.DUMMYFUNCTION("GoogleTranslate(C30, ""en"", ""sl"")"),"Kopiraj kodo")</f>
        <v>Kopiraj kodo</v>
      </c>
      <c r="BE30" s="3" t="str">
        <f>IFERROR(__xludf.DUMMYFUNCTION("GoogleTranslate(C30, ""en"", ""es"")"),"Copiar código")</f>
        <v>Copiar código</v>
      </c>
      <c r="BF30" s="3" t="str">
        <f>IFERROR(__xludf.DUMMYFUNCTION("GoogleTranslate(C30, ""en"", ""sw"")"),"Nakili msimbo")</f>
        <v>Nakili msimbo</v>
      </c>
      <c r="BG30" s="3" t="str">
        <f>IFERROR(__xludf.DUMMYFUNCTION("GoogleTranslate(C30, ""en"", ""sv"")"),"Kopiera kod")</f>
        <v>Kopiera kod</v>
      </c>
      <c r="BH30" s="3" t="str">
        <f>IFERROR(__xludf.DUMMYFUNCTION("GoogleTranslate(C30, ""en"", ""te"")"),"కాపీ కోడ్")</f>
        <v>కాపీ కోడ్</v>
      </c>
      <c r="BI30" s="3" t="str">
        <f>IFERROR(__xludf.DUMMYFUNCTION("GoogleTranslate(C30, ""en"", ""th"")"),"คัดลอกรหัส")</f>
        <v>คัดลอกรหัส</v>
      </c>
      <c r="BJ30" s="3" t="str">
        <f>IFERROR(__xludf.DUMMYFUNCTION("GoogleTranslate(C30, ""en"", ""tr"")"),"Kodu kopyala")</f>
        <v>Kodu kopyala</v>
      </c>
      <c r="BK30" s="3" t="str">
        <f>IFERROR(__xludf.DUMMYFUNCTION("GoogleTranslate(C30, ""en"", ""uk"")"),"Скопіюйте код")</f>
        <v>Скопіюйте код</v>
      </c>
      <c r="BL30" s="3" t="str">
        <f>IFERROR(__xludf.DUMMYFUNCTION("GoogleTranslate(C30, ""en"", ""zu"")"),"Kopisha ikhodi")</f>
        <v>Kopisha ikhodi</v>
      </c>
    </row>
    <row r="31">
      <c r="A31" s="1" t="str">
        <f t="shared" si="1"/>
        <v>Home_Page</v>
      </c>
      <c r="B31" s="4" t="s">
        <v>93</v>
      </c>
      <c r="C31" s="1" t="str">
        <f t="shared" si="2"/>
        <v>Home Page</v>
      </c>
      <c r="D31" s="3" t="str">
        <f>IFERROR(__xludf.DUMMYFUNCTION("GoogleTranslate(C31, ""en"", ""es"")"),"Página de inicio")</f>
        <v>Página de inicio</v>
      </c>
      <c r="E31" s="3" t="str">
        <f>IFERROR(__xludf.DUMMYFUNCTION("GoogleTranslate(C31, ""en"", ""ar"")"),"الصفحة الرئيسية")</f>
        <v>الصفحة الرئيسية</v>
      </c>
      <c r="F31" s="3" t="str">
        <f>IFERROR(__xludf.DUMMYFUNCTION("GoogleTranslate(C31, ""en"", ""hy"")"),"Գլխավոր Էջ")</f>
        <v>Գլխավոր Էջ</v>
      </c>
      <c r="G31" s="3" t="str">
        <f>IFERROR(__xludf.DUMMYFUNCTION("GoogleTranslate(C31, ""en"", ""vi"")"),"Trang chủ")</f>
        <v>Trang chủ</v>
      </c>
      <c r="H31" s="3" t="str">
        <f>IFERROR(__xludf.DUMMYFUNCTION("GoogleTranslate(C31, ""en"", ""az"")"),"Əsas Səhifə")</f>
        <v>Əsas Səhifə</v>
      </c>
      <c r="I31" s="3" t="str">
        <f>IFERROR(__xludf.DUMMYFUNCTION("GoogleTranslate(C31, ""en"", ""eu"")"),"Hasiera Orria")</f>
        <v>Hasiera Orria</v>
      </c>
      <c r="J31" s="3" t="str">
        <f>IFERROR(__xludf.DUMMYFUNCTION("GoogleTranslate(C31, ""en"", ""be"")"),"Галоўная старонка")</f>
        <v>Галоўная старонка</v>
      </c>
      <c r="K31" s="3" t="str">
        <f>IFERROR(__xludf.DUMMYFUNCTION("GoogleTranslate(C31, ""en"", ""bn"")"),"হোম পেজ")</f>
        <v>হোম পেজ</v>
      </c>
      <c r="L31" s="3" t="str">
        <f>IFERROR(__xludf.DUMMYFUNCTION("GoogleTranslate(C31, ""en"", ""bg"")"),"Начална страница")</f>
        <v>Начална страница</v>
      </c>
      <c r="M31" s="3" t="str">
        <f>IFERROR(__xludf.DUMMYFUNCTION("GoogleTranslate(C31, ""en"", ""my"")"),"ပင်မစာမျက်နှာ")</f>
        <v>ပင်မစာမျက်နှာ</v>
      </c>
      <c r="N31" s="3" t="str">
        <f>IFERROR(__xludf.DUMMYFUNCTION("GoogleTranslate(C31, ""en"", ""ca"")"),"Pàgina d'inici")</f>
        <v>Pàgina d'inici</v>
      </c>
      <c r="O31" s="3" t="str">
        <f>IFERROR(__xludf.DUMMYFUNCTION("GoogleTranslate(C31, ""en"", ""zh-cn"")"),"主页")</f>
        <v>主页</v>
      </c>
      <c r="P31" s="3" t="str">
        <f>IFERROR(__xludf.DUMMYFUNCTION("GoogleTranslate(C31, ""en"", ""zh-TW"")"),"首頁")</f>
        <v>首頁</v>
      </c>
      <c r="Q31" s="3" t="str">
        <f>IFERROR(__xludf.DUMMYFUNCTION("GoogleTranslate(C31, ""en"", ""hr"")"),"Početna stranica")</f>
        <v>Početna stranica</v>
      </c>
      <c r="R31" s="3" t="str">
        <f>IFERROR(__xludf.DUMMYFUNCTION("GoogleTranslate(C31, ""en"", ""cs"")"),"Domovská stránka")</f>
        <v>Domovská stránka</v>
      </c>
      <c r="S31" s="3" t="str">
        <f>IFERROR(__xludf.DUMMYFUNCTION("GoogleTranslate(C31, ""en"", ""da"")"),"Hjemmeside")</f>
        <v>Hjemmeside</v>
      </c>
      <c r="T31" s="3" t="str">
        <f>IFERROR(__xludf.DUMMYFUNCTION("GoogleTranslate(C31, ""en"", ""nl"")"),"Startpagina")</f>
        <v>Startpagina</v>
      </c>
      <c r="U31" s="3" t="str">
        <f>IFERROR(__xludf.DUMMYFUNCTION("GoogleTranslate(C31, ""en"", ""et"")"),"Avaleht")</f>
        <v>Avaleht</v>
      </c>
      <c r="V31" s="1" t="str">
        <f t="shared" si="3"/>
        <v>Home Page</v>
      </c>
      <c r="W31" s="3" t="str">
        <f>IFERROR(__xludf.DUMMYFUNCTION("GoogleTranslate(C31, ""en"", ""fi"")"),"Kotisivu")</f>
        <v>Kotisivu</v>
      </c>
      <c r="X31" s="3" t="str">
        <f>IFERROR(__xludf.DUMMYFUNCTION("GoogleTranslate(C31, ""en"", ""fr"")"),"Page d'accueil")</f>
        <v>Page d'accueil</v>
      </c>
      <c r="Y31" s="3" t="str">
        <f>IFERROR(__xludf.DUMMYFUNCTION("GoogleTranslate(C31, ""en"", ""de"")"),"Startseite")</f>
        <v>Startseite</v>
      </c>
      <c r="Z31" s="3" t="str">
        <f>IFERROR(__xludf.DUMMYFUNCTION("GoogleTranslate(C31, ""en"", ""el"")"),"Αρχική Σελίδα")</f>
        <v>Αρχική Σελίδα</v>
      </c>
      <c r="AA31" s="3" t="str">
        <f>IFERROR(__xludf.DUMMYFUNCTION("GoogleTranslate(C31, ""en"", ""iw"")"),"עמוד הבית")</f>
        <v>עמוד הבית</v>
      </c>
      <c r="AB31" s="3" t="str">
        <f>IFERROR(__xludf.DUMMYFUNCTION("GoogleTranslate(C31, ""en"", ""hi"")"),"होम पेज")</f>
        <v>होम पेज</v>
      </c>
      <c r="AC31" s="3" t="str">
        <f>IFERROR(__xludf.DUMMYFUNCTION("GoogleTranslate(C31, ""en"", ""hu"")"),"Kezdőlap")</f>
        <v>Kezdőlap</v>
      </c>
      <c r="AD31" s="3" t="str">
        <f>IFERROR(__xludf.DUMMYFUNCTION("GoogleTranslate(C31, ""en"", ""is"")"),"Heimasíða")</f>
        <v>Heimasíða</v>
      </c>
      <c r="AE31" s="3" t="str">
        <f>IFERROR(__xludf.DUMMYFUNCTION("GoogleTranslate(C31, ""en"", ""id"")"),"Halaman Beranda")</f>
        <v>Halaman Beranda</v>
      </c>
      <c r="AF31" s="3" t="str">
        <f>IFERROR(__xludf.DUMMYFUNCTION("GoogleTranslate(C31, ""en"", ""in"")"),"Halaman Beranda")</f>
        <v>Halaman Beranda</v>
      </c>
      <c r="AG31" s="3" t="str">
        <f>IFERROR(__xludf.DUMMYFUNCTION("GoogleTranslate(C31, ""en"", ""it"")"),"Pagina iniziale")</f>
        <v>Pagina iniziale</v>
      </c>
      <c r="AH31" s="3" t="str">
        <f>IFERROR(__xludf.DUMMYFUNCTION("GoogleTranslate(C31, ""en"", ""ja"")"),"ホームページ")</f>
        <v>ホームページ</v>
      </c>
      <c r="AI31" s="3" t="str">
        <f>IFERROR(__xludf.DUMMYFUNCTION("GoogleTranslate(C31, ""en"", ""kn"")"),"ಮುಖಪುಟ")</f>
        <v>ಮುಖಪುಟ</v>
      </c>
      <c r="AJ31" s="3" t="str">
        <f>IFERROR(__xludf.DUMMYFUNCTION("GoogleTranslate(C31, ""en"", ""km"")"),"ទំព័រដើម")</f>
        <v>ទំព័រដើម</v>
      </c>
      <c r="AK31" s="3" t="str">
        <f>IFERROR(__xludf.DUMMYFUNCTION("GoogleTranslate(C31, ""en"", ""ko"")"),"홈 페이지")</f>
        <v>홈 페이지</v>
      </c>
      <c r="AL31" s="3" t="str">
        <f>IFERROR(__xludf.DUMMYFUNCTION("GoogleTranslate(C31, ""en"", ""lo"")"),"ຫນ້າທໍາອິດ")</f>
        <v>ຫນ້າທໍາອິດ</v>
      </c>
      <c r="AM31" s="3" t="str">
        <f>IFERROR(__xludf.DUMMYFUNCTION("GoogleTranslate(C31, ""en"", ""lv"")"),"Mājas lapa")</f>
        <v>Mājas lapa</v>
      </c>
      <c r="AN31" s="3" t="str">
        <f>IFERROR(__xludf.DUMMYFUNCTION("GoogleTranslate(C31, ""en"", ""lt"")"),"Pagrindinis puslapis")</f>
        <v>Pagrindinis puslapis</v>
      </c>
      <c r="AO31" s="3" t="str">
        <f>IFERROR(__xludf.DUMMYFUNCTION("GoogleTranslate(C31, ""en"", ""mk"")"),"Почетна страница")</f>
        <v>Почетна страница</v>
      </c>
      <c r="AP31" s="3" t="str">
        <f>IFERROR(__xludf.DUMMYFUNCTION("GoogleTranslate(C31, ""en"", ""ms"")"),"Halaman Utama")</f>
        <v>Halaman Utama</v>
      </c>
      <c r="AQ31" s="3" t="str">
        <f>IFERROR(__xludf.DUMMYFUNCTION("GoogleTranslate(C31, ""en"", ""ml"")"),"ഹോം പേജ്")</f>
        <v>ഹോം പേജ്</v>
      </c>
      <c r="AR31" s="3" t="str">
        <f>IFERROR(__xludf.DUMMYFUNCTION("GoogleTranslate(C31, ""en"", ""mr"")"),"मुखपृष्ठ")</f>
        <v>मुखपृष्ठ</v>
      </c>
      <c r="AS31" s="3" t="str">
        <f>IFERROR(__xludf.DUMMYFUNCTION("GoogleTranslate(C31, ""en"", ""mn"")"),"Нүүр хуудас")</f>
        <v>Нүүр хуудас</v>
      </c>
      <c r="AT31" s="3" t="str">
        <f>IFERROR(__xludf.DUMMYFUNCTION("GoogleTranslate(C31, ""en"", ""ne"")"),"गृह पृष्ठ")</f>
        <v>गृह पृष्ठ</v>
      </c>
      <c r="AU31" s="3" t="str">
        <f>IFERROR(__xludf.DUMMYFUNCTION("GoogleTranslate(C31, ""en"", ""nb"")"),"Hjemmeside")</f>
        <v>Hjemmeside</v>
      </c>
      <c r="AV31" s="3" t="str">
        <f>IFERROR(__xludf.DUMMYFUNCTION("GoogleTranslate(C31, ""en"", ""fa"")"),"صفحه اصلی")</f>
        <v>صفحه اصلی</v>
      </c>
      <c r="AW31" s="3" t="str">
        <f>IFERROR(__xludf.DUMMYFUNCTION("GoogleTranslate(C31, ""en"", ""pl"")"),"Strona główna")</f>
        <v>Strona główna</v>
      </c>
      <c r="AX31" s="3" t="str">
        <f>IFERROR(__xludf.DUMMYFUNCTION("GoogleTranslate(C31, ""en"", ""pt"")"),"Página inicial")</f>
        <v>Página inicial</v>
      </c>
      <c r="AY31" s="3" t="str">
        <f>IFERROR(__xludf.DUMMYFUNCTION("GoogleTranslate(C31, ""en"", ""ro"")"),"Pagina principală")</f>
        <v>Pagina principală</v>
      </c>
      <c r="AZ31" s="3" t="str">
        <f>IFERROR(__xludf.DUMMYFUNCTION("GoogleTranslate(C31, ""en"", ""ru"")"),"Домашняя страница")</f>
        <v>Домашняя страница</v>
      </c>
      <c r="BA31" s="3" t="str">
        <f>IFERROR(__xludf.DUMMYFUNCTION("GoogleTranslate(C31, ""en"", ""sr"")"),"Почетна страница")</f>
        <v>Почетна страница</v>
      </c>
      <c r="BB31" s="3" t="str">
        <f>IFERROR(__xludf.DUMMYFUNCTION("GoogleTranslate(C31, ""en"", ""si"")"),"මුල් පිටුව")</f>
        <v>මුල් පිටුව</v>
      </c>
      <c r="BC31" s="3" t="str">
        <f>IFERROR(__xludf.DUMMYFUNCTION("GoogleTranslate(C31, ""en"", ""sk"")"),"Domovská stránka")</f>
        <v>Domovská stránka</v>
      </c>
      <c r="BD31" s="3" t="str">
        <f>IFERROR(__xludf.DUMMYFUNCTION("GoogleTranslate(C31, ""en"", ""sl"")"),"Domača stran")</f>
        <v>Domača stran</v>
      </c>
      <c r="BE31" s="3" t="str">
        <f>IFERROR(__xludf.DUMMYFUNCTION("GoogleTranslate(C31, ""en"", ""es"")"),"Página de inicio")</f>
        <v>Página de inicio</v>
      </c>
      <c r="BF31" s="3" t="str">
        <f>IFERROR(__xludf.DUMMYFUNCTION("GoogleTranslate(C31, ""en"", ""sw"")"),"Ukurasa wa Nyumbani")</f>
        <v>Ukurasa wa Nyumbani</v>
      </c>
      <c r="BG31" s="3" t="str">
        <f>IFERROR(__xludf.DUMMYFUNCTION("GoogleTranslate(C31, ""en"", ""sv"")"),"Hemsida")</f>
        <v>Hemsida</v>
      </c>
      <c r="BH31" s="3" t="str">
        <f>IFERROR(__xludf.DUMMYFUNCTION("GoogleTranslate(C31, ""en"", ""te"")"),"హోమ్ పేజీ")</f>
        <v>హోమ్ పేజీ</v>
      </c>
      <c r="BI31" s="3" t="str">
        <f>IFERROR(__xludf.DUMMYFUNCTION("GoogleTranslate(C31, ""en"", ""th"")"),"หน้าแรก")</f>
        <v>หน้าแรก</v>
      </c>
      <c r="BJ31" s="3" t="str">
        <f>IFERROR(__xludf.DUMMYFUNCTION("GoogleTranslate(C31, ""en"", ""tr"")"),"Ana Sayfa")</f>
        <v>Ana Sayfa</v>
      </c>
      <c r="BK31" s="3" t="str">
        <f>IFERROR(__xludf.DUMMYFUNCTION("GoogleTranslate(C31, ""en"", ""uk"")"),"Домашня сторінка")</f>
        <v>Домашня сторінка</v>
      </c>
      <c r="BL31" s="3" t="str">
        <f>IFERROR(__xludf.DUMMYFUNCTION("GoogleTranslate(C31, ""en"", ""zu"")"),"Ikhasi Lasekhaya")</f>
        <v>Ikhasi Lasekhaya</v>
      </c>
    </row>
    <row r="32">
      <c r="A32" s="1" t="str">
        <f t="shared" si="1"/>
        <v>Present</v>
      </c>
      <c r="B32" s="4" t="s">
        <v>94</v>
      </c>
      <c r="C32" s="1" t="str">
        <f t="shared" si="2"/>
        <v>Present</v>
      </c>
      <c r="D32" s="3" t="str">
        <f>IFERROR(__xludf.DUMMYFUNCTION("GoogleTranslate(C32, ""en"", ""es"")"),"Presente")</f>
        <v>Presente</v>
      </c>
      <c r="E32" s="3" t="str">
        <f>IFERROR(__xludf.DUMMYFUNCTION("GoogleTranslate(C32, ""en"", ""ar"")"),"حاضر")</f>
        <v>حاضر</v>
      </c>
      <c r="F32" s="3" t="str">
        <f>IFERROR(__xludf.DUMMYFUNCTION("GoogleTranslate(C32, ""en"", ""hy"")"),"Ներկա")</f>
        <v>Ներկա</v>
      </c>
      <c r="G32" s="3" t="str">
        <f>IFERROR(__xludf.DUMMYFUNCTION("GoogleTranslate(C32, ""en"", ""vi"")"),"Hiện tại")</f>
        <v>Hiện tại</v>
      </c>
      <c r="H32" s="3" t="str">
        <f>IFERROR(__xludf.DUMMYFUNCTION("GoogleTranslate(C32, ""en"", ""az"")"),"təqdim")</f>
        <v>təqdim</v>
      </c>
      <c r="I32" s="3" t="str">
        <f>IFERROR(__xludf.DUMMYFUNCTION("GoogleTranslate(C32, ""en"", ""eu"")"),"Oraina")</f>
        <v>Oraina</v>
      </c>
      <c r="J32" s="3" t="str">
        <f>IFERROR(__xludf.DUMMYFUNCTION("GoogleTranslate(C32, ""en"", ""be"")"),"прысутнічае")</f>
        <v>прысутнічае</v>
      </c>
      <c r="K32" s="3" t="str">
        <f>IFERROR(__xludf.DUMMYFUNCTION("GoogleTranslate(C32, ""en"", ""bn"")"),"বর্তমান")</f>
        <v>বর্তমান</v>
      </c>
      <c r="L32" s="3" t="str">
        <f>IFERROR(__xludf.DUMMYFUNCTION("GoogleTranslate(C32, ""en"", ""bg"")"),"Настояще")</f>
        <v>Настояще</v>
      </c>
      <c r="M32" s="3" t="str">
        <f>IFERROR(__xludf.DUMMYFUNCTION("GoogleTranslate(C32, ""en"", ""my"")"),"ပစ္စုပ္ပန်")</f>
        <v>ပစ္စုပ္ပန်</v>
      </c>
      <c r="N32" s="3" t="str">
        <f>IFERROR(__xludf.DUMMYFUNCTION("GoogleTranslate(C32, ""en"", ""ca"")"),"Present")</f>
        <v>Present</v>
      </c>
      <c r="O32" s="3" t="str">
        <f>IFERROR(__xludf.DUMMYFUNCTION("GoogleTranslate(C32, ""en"", ""zh-cn"")"),"展示")</f>
        <v>展示</v>
      </c>
      <c r="P32" s="3" t="str">
        <f>IFERROR(__xludf.DUMMYFUNCTION("GoogleTranslate(C32, ""en"", ""zh-TW"")"),"展示")</f>
        <v>展示</v>
      </c>
      <c r="Q32" s="3" t="str">
        <f>IFERROR(__xludf.DUMMYFUNCTION("GoogleTranslate(C32, ""en"", ""hr"")"),"Predstaviti")</f>
        <v>Predstaviti</v>
      </c>
      <c r="R32" s="3" t="str">
        <f>IFERROR(__xludf.DUMMYFUNCTION("GoogleTranslate(C32, ""en"", ""cs"")"),"Současnost")</f>
        <v>Současnost</v>
      </c>
      <c r="S32" s="3" t="str">
        <f>IFERROR(__xludf.DUMMYFUNCTION("GoogleTranslate(C32, ""en"", ""da"")"),"Nuværende")</f>
        <v>Nuværende</v>
      </c>
      <c r="T32" s="3" t="str">
        <f>IFERROR(__xludf.DUMMYFUNCTION("GoogleTranslate(C32, ""en"", ""nl"")"),"Cadeau")</f>
        <v>Cadeau</v>
      </c>
      <c r="U32" s="3" t="str">
        <f>IFERROR(__xludf.DUMMYFUNCTION("GoogleTranslate(C32, ""en"", ""et"")"),"kohal")</f>
        <v>kohal</v>
      </c>
      <c r="V32" s="1" t="str">
        <f t="shared" si="3"/>
        <v>Present</v>
      </c>
      <c r="W32" s="3" t="str">
        <f>IFERROR(__xludf.DUMMYFUNCTION("GoogleTranslate(C32, ""en"", ""fi"")"),"Esittää")</f>
        <v>Esittää</v>
      </c>
      <c r="X32" s="3" t="str">
        <f>IFERROR(__xludf.DUMMYFUNCTION("GoogleTranslate(C32, ""en"", ""fr"")"),"Présent")</f>
        <v>Présent</v>
      </c>
      <c r="Y32" s="3" t="str">
        <f>IFERROR(__xludf.DUMMYFUNCTION("GoogleTranslate(C32, ""en"", ""de"")"),"Gegenwärtig")</f>
        <v>Gegenwärtig</v>
      </c>
      <c r="Z32" s="3" t="str">
        <f>IFERROR(__xludf.DUMMYFUNCTION("GoogleTranslate(C32, ""en"", ""el"")"),"Παρόν")</f>
        <v>Παρόν</v>
      </c>
      <c r="AA32" s="3" t="str">
        <f>IFERROR(__xludf.DUMMYFUNCTION("GoogleTranslate(C32, ""en"", ""iw"")"),"לְהַצִיג")</f>
        <v>לְהַצִיג</v>
      </c>
      <c r="AB32" s="3" t="str">
        <f>IFERROR(__xludf.DUMMYFUNCTION("GoogleTranslate(C32, ""en"", ""hi"")"),"उपस्थित")</f>
        <v>उपस्थित</v>
      </c>
      <c r="AC32" s="3" t="str">
        <f>IFERROR(__xludf.DUMMYFUNCTION("GoogleTranslate(C32, ""en"", ""hu"")"),"Jelenlegi")</f>
        <v>Jelenlegi</v>
      </c>
      <c r="AD32" s="3" t="str">
        <f>IFERROR(__xludf.DUMMYFUNCTION("GoogleTranslate(C32, ""en"", ""is"")"),"Viðstaddur")</f>
        <v>Viðstaddur</v>
      </c>
      <c r="AE32" s="3" t="str">
        <f>IFERROR(__xludf.DUMMYFUNCTION("GoogleTranslate(C32, ""en"", ""id"")"),"Hadiah")</f>
        <v>Hadiah</v>
      </c>
      <c r="AF32" s="3" t="str">
        <f>IFERROR(__xludf.DUMMYFUNCTION("GoogleTranslate(C32, ""en"", ""in"")"),"Hadiah")</f>
        <v>Hadiah</v>
      </c>
      <c r="AG32" s="3" t="str">
        <f>IFERROR(__xludf.DUMMYFUNCTION("GoogleTranslate(C32, ""en"", ""it"")"),"Presente")</f>
        <v>Presente</v>
      </c>
      <c r="AH32" s="3" t="str">
        <f>IFERROR(__xludf.DUMMYFUNCTION("GoogleTranslate(C32, ""en"", ""ja"")"),"現在")</f>
        <v>現在</v>
      </c>
      <c r="AI32" s="3" t="str">
        <f>IFERROR(__xludf.DUMMYFUNCTION("GoogleTranslate(C32, ""en"", ""kn"")"),"ಪ್ರಸ್ತುತ")</f>
        <v>ಪ್ರಸ್ತುತ</v>
      </c>
      <c r="AJ32" s="3" t="str">
        <f>IFERROR(__xludf.DUMMYFUNCTION("GoogleTranslate(C32, ""en"", ""km"")"),"បច្ចុប្បន្ន")</f>
        <v>បច្ចុប្បន្ន</v>
      </c>
      <c r="AK32" s="3" t="str">
        <f>IFERROR(__xludf.DUMMYFUNCTION("GoogleTranslate(C32, ""en"", ""ko"")"),"현재의")</f>
        <v>현재의</v>
      </c>
      <c r="AL32" s="3" t="str">
        <f>IFERROR(__xludf.DUMMYFUNCTION("GoogleTranslate(C32, ""en"", ""lo"")"),"ປະຈຸບັນ")</f>
        <v>ປະຈຸບັນ</v>
      </c>
      <c r="AM32" s="3" t="str">
        <f>IFERROR(__xludf.DUMMYFUNCTION("GoogleTranslate(C32, ""en"", ""lv"")"),"Klāt")</f>
        <v>Klāt</v>
      </c>
      <c r="AN32" s="3" t="str">
        <f>IFERROR(__xludf.DUMMYFUNCTION("GoogleTranslate(C32, ""en"", ""lt"")"),"Pateikti")</f>
        <v>Pateikti</v>
      </c>
      <c r="AO32" s="3" t="str">
        <f>IFERROR(__xludf.DUMMYFUNCTION("GoogleTranslate(C32, ""en"", ""mk"")"),"Присутни")</f>
        <v>Присутни</v>
      </c>
      <c r="AP32" s="3" t="str">
        <f>IFERROR(__xludf.DUMMYFUNCTION("GoogleTranslate(C32, ""en"", ""ms"")"),"Hadir")</f>
        <v>Hadir</v>
      </c>
      <c r="AQ32" s="3" t="str">
        <f>IFERROR(__xludf.DUMMYFUNCTION("GoogleTranslate(C32, ""en"", ""ml"")"),"അവതരിപ്പിക്കുക")</f>
        <v>അവതരിപ്പിക്കുക</v>
      </c>
      <c r="AR32" s="3" t="str">
        <f>IFERROR(__xludf.DUMMYFUNCTION("GoogleTranslate(C32, ""en"", ""mr"")"),"उपस्थित")</f>
        <v>उपस्थित</v>
      </c>
      <c r="AS32" s="3" t="str">
        <f>IFERROR(__xludf.DUMMYFUNCTION("GoogleTranslate(C32, ""en"", ""mn"")"),"Одоо байна")</f>
        <v>Одоо байна</v>
      </c>
      <c r="AT32" s="3" t="str">
        <f>IFERROR(__xludf.DUMMYFUNCTION("GoogleTranslate(C32, ""en"", ""ne"")"),"उपस्थित")</f>
        <v>उपस्थित</v>
      </c>
      <c r="AU32" s="3" t="str">
        <f>IFERROR(__xludf.DUMMYFUNCTION("GoogleTranslate(C32, ""en"", ""nb"")"),"Nåværende")</f>
        <v>Nåværende</v>
      </c>
      <c r="AV32" s="3" t="str">
        <f>IFERROR(__xludf.DUMMYFUNCTION("GoogleTranslate(C32, ""en"", ""fa"")"),"حاضر شود")</f>
        <v>حاضر شود</v>
      </c>
      <c r="AW32" s="3" t="str">
        <f>IFERROR(__xludf.DUMMYFUNCTION("GoogleTranslate(C32, ""en"", ""pl"")"),"Obecny")</f>
        <v>Obecny</v>
      </c>
      <c r="AX32" s="3" t="str">
        <f>IFERROR(__xludf.DUMMYFUNCTION("GoogleTranslate(C32, ""en"", ""pt"")"),"Presente")</f>
        <v>Presente</v>
      </c>
      <c r="AY32" s="3" t="str">
        <f>IFERROR(__xludf.DUMMYFUNCTION("GoogleTranslate(C32, ""en"", ""ro"")"),"Prezent")</f>
        <v>Prezent</v>
      </c>
      <c r="AZ32" s="3" t="str">
        <f>IFERROR(__xludf.DUMMYFUNCTION("GoogleTranslate(C32, ""en"", ""ru"")"),"Подарок")</f>
        <v>Подарок</v>
      </c>
      <c r="BA32" s="3" t="str">
        <f>IFERROR(__xludf.DUMMYFUNCTION("GoogleTranslate(C32, ""en"", ""sr"")"),"Пресент")</f>
        <v>Пресент</v>
      </c>
      <c r="BB32" s="3" t="str">
        <f>IFERROR(__xludf.DUMMYFUNCTION("GoogleTranslate(C32, ""en"", ""si"")"),"ඉදිරිපත් කරන්න")</f>
        <v>ඉදිරිපත් කරන්න</v>
      </c>
      <c r="BC32" s="3" t="str">
        <f>IFERROR(__xludf.DUMMYFUNCTION("GoogleTranslate(C32, ""en"", ""sk"")"),"Súčasnosť")</f>
        <v>Súčasnosť</v>
      </c>
      <c r="BD32" s="3" t="str">
        <f>IFERROR(__xludf.DUMMYFUNCTION("GoogleTranslate(C32, ""en"", ""sl"")"),"prisoten")</f>
        <v>prisoten</v>
      </c>
      <c r="BE32" s="3" t="str">
        <f>IFERROR(__xludf.DUMMYFUNCTION("GoogleTranslate(C32, ""en"", ""es"")"),"Presente")</f>
        <v>Presente</v>
      </c>
      <c r="BF32" s="3" t="str">
        <f>IFERROR(__xludf.DUMMYFUNCTION("GoogleTranslate(C32, ""en"", ""sw"")"),"Wasilisha")</f>
        <v>Wasilisha</v>
      </c>
      <c r="BG32" s="3" t="str">
        <f>IFERROR(__xludf.DUMMYFUNCTION("GoogleTranslate(C32, ""en"", ""sv"")"),"Presentera")</f>
        <v>Presentera</v>
      </c>
      <c r="BH32" s="3" t="str">
        <f>IFERROR(__xludf.DUMMYFUNCTION("GoogleTranslate(C32, ""en"", ""te"")"),"వర్తమానం")</f>
        <v>వర్తమానం</v>
      </c>
      <c r="BI32" s="3" t="str">
        <f>IFERROR(__xludf.DUMMYFUNCTION("GoogleTranslate(C32, ""en"", ""th"")"),"ปัจจุบัน")</f>
        <v>ปัจจุบัน</v>
      </c>
      <c r="BJ32" s="3" t="str">
        <f>IFERROR(__xludf.DUMMYFUNCTION("GoogleTranslate(C32, ""en"", ""tr"")"),"Sunmak")</f>
        <v>Sunmak</v>
      </c>
      <c r="BK32" s="3" t="str">
        <f>IFERROR(__xludf.DUMMYFUNCTION("GoogleTranslate(C32, ""en"", ""uk"")"),"присутній")</f>
        <v>присутній</v>
      </c>
      <c r="BL32" s="3" t="str">
        <f>IFERROR(__xludf.DUMMYFUNCTION("GoogleTranslate(C32, ""en"", ""zu"")"),"Phrezenta")</f>
        <v>Phrezenta</v>
      </c>
    </row>
    <row r="33">
      <c r="A33" s="1" t="str">
        <f t="shared" si="1"/>
        <v>Hourly</v>
      </c>
      <c r="B33" s="4" t="s">
        <v>95</v>
      </c>
      <c r="C33" s="1" t="str">
        <f t="shared" si="2"/>
        <v>Hourly</v>
      </c>
      <c r="D33" s="3" t="str">
        <f>IFERROR(__xludf.DUMMYFUNCTION("GoogleTranslate(C33, ""en"", ""es"")"),"Cada hora")</f>
        <v>Cada hora</v>
      </c>
      <c r="E33" s="3" t="str">
        <f>IFERROR(__xludf.DUMMYFUNCTION("GoogleTranslate(C33, ""en"", ""ar"")"),"كل ساعة")</f>
        <v>كل ساعة</v>
      </c>
      <c r="F33" s="3" t="str">
        <f>IFERROR(__xludf.DUMMYFUNCTION("GoogleTranslate(C33, ""en"", ""hy"")"),"Ժամային")</f>
        <v>Ժամային</v>
      </c>
      <c r="G33" s="3" t="str">
        <f>IFERROR(__xludf.DUMMYFUNCTION("GoogleTranslate(C33, ""en"", ""vi"")"),"Hàng giờ")</f>
        <v>Hàng giờ</v>
      </c>
      <c r="H33" s="3" t="str">
        <f>IFERROR(__xludf.DUMMYFUNCTION("GoogleTranslate(C33, ""en"", ""az"")"),"Saatlıq")</f>
        <v>Saatlıq</v>
      </c>
      <c r="I33" s="3" t="str">
        <f>IFERROR(__xludf.DUMMYFUNCTION("GoogleTranslate(C33, ""en"", ""eu"")"),"Orduka")</f>
        <v>Orduka</v>
      </c>
      <c r="J33" s="3" t="str">
        <f>IFERROR(__xludf.DUMMYFUNCTION("GoogleTranslate(C33, ""en"", ""be"")"),"Штогадзіны")</f>
        <v>Штогадзіны</v>
      </c>
      <c r="K33" s="3" t="str">
        <f>IFERROR(__xludf.DUMMYFUNCTION("GoogleTranslate(C33, ""en"", ""bn"")"),"ঘণ্টায়")</f>
        <v>ঘণ্টায়</v>
      </c>
      <c r="L33" s="3" t="str">
        <f>IFERROR(__xludf.DUMMYFUNCTION("GoogleTranslate(C33, ""en"", ""bg"")"),"Почасово")</f>
        <v>Почасово</v>
      </c>
      <c r="M33" s="3" t="str">
        <f>IFERROR(__xludf.DUMMYFUNCTION("GoogleTranslate(C33, ""en"", ""my"")"),"နာရီတိုင်း")</f>
        <v>နာရီတိုင်း</v>
      </c>
      <c r="N33" s="3" t="str">
        <f>IFERROR(__xludf.DUMMYFUNCTION("GoogleTranslate(C33, ""en"", ""ca"")"),"Cada hora")</f>
        <v>Cada hora</v>
      </c>
      <c r="O33" s="3" t="str">
        <f>IFERROR(__xludf.DUMMYFUNCTION("GoogleTranslate(C33, ""en"", ""zh-cn"")"),"每小时")</f>
        <v>每小时</v>
      </c>
      <c r="P33" s="3" t="str">
        <f>IFERROR(__xludf.DUMMYFUNCTION("GoogleTranslate(C33, ""en"", ""zh-TW"")"),"每小時")</f>
        <v>每小時</v>
      </c>
      <c r="Q33" s="3" t="str">
        <f>IFERROR(__xludf.DUMMYFUNCTION("GoogleTranslate(C33, ""en"", ""hr"")"),"Svaki sat")</f>
        <v>Svaki sat</v>
      </c>
      <c r="R33" s="3" t="str">
        <f>IFERROR(__xludf.DUMMYFUNCTION("GoogleTranslate(C33, ""en"", ""cs"")"),"Hodinově")</f>
        <v>Hodinově</v>
      </c>
      <c r="S33" s="3" t="str">
        <f>IFERROR(__xludf.DUMMYFUNCTION("GoogleTranslate(C33, ""en"", ""da"")"),"Hver time")</f>
        <v>Hver time</v>
      </c>
      <c r="T33" s="3" t="str">
        <f>IFERROR(__xludf.DUMMYFUNCTION("GoogleTranslate(C33, ""en"", ""nl"")"),"Per uur")</f>
        <v>Per uur</v>
      </c>
      <c r="U33" s="3" t="str">
        <f>IFERROR(__xludf.DUMMYFUNCTION("GoogleTranslate(C33, ""en"", ""et"")"),"Tunni kaupa")</f>
        <v>Tunni kaupa</v>
      </c>
      <c r="V33" s="1" t="str">
        <f t="shared" si="3"/>
        <v>Hourly</v>
      </c>
      <c r="W33" s="3" t="str">
        <f>IFERROR(__xludf.DUMMYFUNCTION("GoogleTranslate(C33, ""en"", ""fi"")"),"Tunneittain")</f>
        <v>Tunneittain</v>
      </c>
      <c r="X33" s="3" t="str">
        <f>IFERROR(__xludf.DUMMYFUNCTION("GoogleTranslate(C33, ""en"", ""fr"")"),"Horaire")</f>
        <v>Horaire</v>
      </c>
      <c r="Y33" s="3" t="str">
        <f>IFERROR(__xludf.DUMMYFUNCTION("GoogleTranslate(C33, ""en"", ""de"")"),"Stündlich")</f>
        <v>Stündlich</v>
      </c>
      <c r="Z33" s="3" t="str">
        <f>IFERROR(__xludf.DUMMYFUNCTION("GoogleTranslate(C33, ""en"", ""el"")"),"Ωριαίος")</f>
        <v>Ωριαίος</v>
      </c>
      <c r="AA33" s="3" t="str">
        <f>IFERROR(__xludf.DUMMYFUNCTION("GoogleTranslate(C33, ""en"", ""iw"")"),"מדי שעה")</f>
        <v>מדי שעה</v>
      </c>
      <c r="AB33" s="3" t="str">
        <f>IFERROR(__xludf.DUMMYFUNCTION("GoogleTranslate(C33, ""en"", ""hi"")"),"प्रति घंटा")</f>
        <v>प्रति घंटा</v>
      </c>
      <c r="AC33" s="3" t="str">
        <f>IFERROR(__xludf.DUMMYFUNCTION("GoogleTranslate(C33, ""en"", ""hu"")"),"Óránkénti")</f>
        <v>Óránkénti</v>
      </c>
      <c r="AD33" s="3" t="str">
        <f>IFERROR(__xludf.DUMMYFUNCTION("GoogleTranslate(C33, ""en"", ""is"")"),"Á klukkutíma fresti")</f>
        <v>Á klukkutíma fresti</v>
      </c>
      <c r="AE33" s="3" t="str">
        <f>IFERROR(__xludf.DUMMYFUNCTION("GoogleTranslate(C33, ""en"", ""id"")"),"Per jam")</f>
        <v>Per jam</v>
      </c>
      <c r="AF33" s="3" t="str">
        <f>IFERROR(__xludf.DUMMYFUNCTION("GoogleTranslate(C33, ""en"", ""in"")"),"Per jam")</f>
        <v>Per jam</v>
      </c>
      <c r="AG33" s="3" t="str">
        <f>IFERROR(__xludf.DUMMYFUNCTION("GoogleTranslate(C33, ""en"", ""it"")"),"Ogni ora")</f>
        <v>Ogni ora</v>
      </c>
      <c r="AH33" s="3" t="str">
        <f>IFERROR(__xludf.DUMMYFUNCTION("GoogleTranslate(C33, ""en"", ""ja"")"),"毎時")</f>
        <v>毎時</v>
      </c>
      <c r="AI33" s="3" t="str">
        <f>IFERROR(__xludf.DUMMYFUNCTION("GoogleTranslate(C33, ""en"", ""kn"")"),"ಗಂಟೆಗೊಮ್ಮೆ")</f>
        <v>ಗಂಟೆಗೊಮ್ಮೆ</v>
      </c>
      <c r="AJ33" s="3" t="str">
        <f>IFERROR(__xludf.DUMMYFUNCTION("GoogleTranslate(C33, ""en"", ""km"")"),"រៀងរាល់ម៉ោង")</f>
        <v>រៀងរាល់ម៉ោង</v>
      </c>
      <c r="AK33" s="3" t="str">
        <f>IFERROR(__xludf.DUMMYFUNCTION("GoogleTranslate(C33, ""en"", ""ko"")"),"시간별")</f>
        <v>시간별</v>
      </c>
      <c r="AL33" s="3" t="str">
        <f>IFERROR(__xludf.DUMMYFUNCTION("GoogleTranslate(C33, ""en"", ""lo"")"),"ທຸກໆຊົ່ວໂມງ")</f>
        <v>ທຸກໆຊົ່ວໂມງ</v>
      </c>
      <c r="AM33" s="3" t="str">
        <f>IFERROR(__xludf.DUMMYFUNCTION("GoogleTranslate(C33, ""en"", ""lv"")"),"Stundu")</f>
        <v>Stundu</v>
      </c>
      <c r="AN33" s="3" t="str">
        <f>IFERROR(__xludf.DUMMYFUNCTION("GoogleTranslate(C33, ""en"", ""lt"")"),"Kas valandą")</f>
        <v>Kas valandą</v>
      </c>
      <c r="AO33" s="3" t="str">
        <f>IFERROR(__xludf.DUMMYFUNCTION("GoogleTranslate(C33, ""en"", ""mk"")"),"На час")</f>
        <v>На час</v>
      </c>
      <c r="AP33" s="3" t="str">
        <f>IFERROR(__xludf.DUMMYFUNCTION("GoogleTranslate(C33, ""en"", ""ms"")"),"setiap jam")</f>
        <v>setiap jam</v>
      </c>
      <c r="AQ33" s="3" t="str">
        <f>IFERROR(__xludf.DUMMYFUNCTION("GoogleTranslate(C33, ""en"", ""ml"")"),"മണിക്കൂറിൽ")</f>
        <v>മണിക്കൂറിൽ</v>
      </c>
      <c r="AR33" s="3" t="str">
        <f>IFERROR(__xludf.DUMMYFUNCTION("GoogleTranslate(C33, ""en"", ""mr"")"),"प्रति तास")</f>
        <v>प्रति तास</v>
      </c>
      <c r="AS33" s="3" t="str">
        <f>IFERROR(__xludf.DUMMYFUNCTION("GoogleTranslate(C33, ""en"", ""mn"")"),"Цаг тутамд")</f>
        <v>Цаг тутамд</v>
      </c>
      <c r="AT33" s="3" t="str">
        <f>IFERROR(__xludf.DUMMYFUNCTION("GoogleTranslate(C33, ""en"", ""ne"")"),"प्रति घण्टा")</f>
        <v>प्रति घण्टा</v>
      </c>
      <c r="AU33" s="3" t="str">
        <f>IFERROR(__xludf.DUMMYFUNCTION("GoogleTranslate(C33, ""en"", ""nb"")"),"Hver time")</f>
        <v>Hver time</v>
      </c>
      <c r="AV33" s="3" t="str">
        <f>IFERROR(__xludf.DUMMYFUNCTION("GoogleTranslate(C33, ""en"", ""fa"")"),"ساعتی")</f>
        <v>ساعتی</v>
      </c>
      <c r="AW33" s="3" t="str">
        <f>IFERROR(__xludf.DUMMYFUNCTION("GoogleTranslate(C33, ""en"", ""pl"")"),"Cogodzinny")</f>
        <v>Cogodzinny</v>
      </c>
      <c r="AX33" s="3" t="str">
        <f>IFERROR(__xludf.DUMMYFUNCTION("GoogleTranslate(C33, ""en"", ""pt"")"),"De hora em hora")</f>
        <v>De hora em hora</v>
      </c>
      <c r="AY33" s="3" t="str">
        <f>IFERROR(__xludf.DUMMYFUNCTION("GoogleTranslate(C33, ""en"", ""ro"")"),"Orar")</f>
        <v>Orar</v>
      </c>
      <c r="AZ33" s="3" t="str">
        <f>IFERROR(__xludf.DUMMYFUNCTION("GoogleTranslate(C33, ""en"", ""ru"")"),"Ежечасно")</f>
        <v>Ежечасно</v>
      </c>
      <c r="BA33" s="3" t="str">
        <f>IFERROR(__xludf.DUMMYFUNCTION("GoogleTranslate(C33, ""en"", ""sr"")"),"По сату")</f>
        <v>По сату</v>
      </c>
      <c r="BB33" s="3" t="str">
        <f>IFERROR(__xludf.DUMMYFUNCTION("GoogleTranslate(C33, ""en"", ""si"")"),"පැයකට වරක්")</f>
        <v>පැයකට වරක්</v>
      </c>
      <c r="BC33" s="3" t="str">
        <f>IFERROR(__xludf.DUMMYFUNCTION("GoogleTranslate(C33, ""en"", ""sk"")"),"Každú hodinu")</f>
        <v>Každú hodinu</v>
      </c>
      <c r="BD33" s="3" t="str">
        <f>IFERROR(__xludf.DUMMYFUNCTION("GoogleTranslate(C33, ""en"", ""sl"")"),"Vsako uro")</f>
        <v>Vsako uro</v>
      </c>
      <c r="BE33" s="3" t="str">
        <f>IFERROR(__xludf.DUMMYFUNCTION("GoogleTranslate(C33, ""en"", ""es"")"),"Cada hora")</f>
        <v>Cada hora</v>
      </c>
      <c r="BF33" s="3" t="str">
        <f>IFERROR(__xludf.DUMMYFUNCTION("GoogleTranslate(C33, ""en"", ""sw"")"),"Kila saa")</f>
        <v>Kila saa</v>
      </c>
      <c r="BG33" s="3" t="str">
        <f>IFERROR(__xludf.DUMMYFUNCTION("GoogleTranslate(C33, ""en"", ""sv"")"),"Varje timme")</f>
        <v>Varje timme</v>
      </c>
      <c r="BH33" s="3" t="str">
        <f>IFERROR(__xludf.DUMMYFUNCTION("GoogleTranslate(C33, ""en"", ""te"")"),"గంటకోసారి")</f>
        <v>గంటకోసారి</v>
      </c>
      <c r="BI33" s="3" t="str">
        <f>IFERROR(__xludf.DUMMYFUNCTION("GoogleTranslate(C33, ""en"", ""th"")"),"รายชั่วโมง")</f>
        <v>รายชั่วโมง</v>
      </c>
      <c r="BJ33" s="3" t="str">
        <f>IFERROR(__xludf.DUMMYFUNCTION("GoogleTranslate(C33, ""en"", ""tr"")"),"Saatlik")</f>
        <v>Saatlik</v>
      </c>
      <c r="BK33" s="3" t="str">
        <f>IFERROR(__xludf.DUMMYFUNCTION("GoogleTranslate(C33, ""en"", ""uk"")"),"щогодини")</f>
        <v>щогодини</v>
      </c>
      <c r="BL33" s="3" t="str">
        <f>IFERROR(__xludf.DUMMYFUNCTION("GoogleTranslate(C33, ""en"", ""zu"")"),"Ngehora")</f>
        <v>Ngehora</v>
      </c>
    </row>
    <row r="34">
      <c r="A34" s="1" t="str">
        <f t="shared" si="1"/>
        <v>Current_parameters</v>
      </c>
      <c r="B34" s="4" t="s">
        <v>96</v>
      </c>
      <c r="C34" s="1" t="str">
        <f t="shared" si="2"/>
        <v>Current parameters</v>
      </c>
      <c r="D34" s="3" t="str">
        <f>IFERROR(__xludf.DUMMYFUNCTION("GoogleTranslate(C34, ""en"", ""es"")"),"Parámetros actuales")</f>
        <v>Parámetros actuales</v>
      </c>
      <c r="E34" s="3" t="str">
        <f>IFERROR(__xludf.DUMMYFUNCTION("GoogleTranslate(C34, ""en"", ""ar"")"),"المعلمات الحالية")</f>
        <v>المعلمات الحالية</v>
      </c>
      <c r="F34" s="3" t="str">
        <f>IFERROR(__xludf.DUMMYFUNCTION("GoogleTranslate(C34, ""en"", ""hy"")"),"Ընթացիկ պարամետրեր")</f>
        <v>Ընթացիկ պարամետրեր</v>
      </c>
      <c r="G34" s="3" t="str">
        <f>IFERROR(__xludf.DUMMYFUNCTION("GoogleTranslate(C34, ""en"", ""vi"")"),"Thông số hiện tại")</f>
        <v>Thông số hiện tại</v>
      </c>
      <c r="H34" s="3" t="str">
        <f>IFERROR(__xludf.DUMMYFUNCTION("GoogleTranslate(C34, ""en"", ""az"")"),"Cari parametrlər")</f>
        <v>Cari parametrlər</v>
      </c>
      <c r="I34" s="3" t="str">
        <f>IFERROR(__xludf.DUMMYFUNCTION("GoogleTranslate(C34, ""en"", ""eu"")"),"Egungo parametroak")</f>
        <v>Egungo parametroak</v>
      </c>
      <c r="J34" s="3" t="str">
        <f>IFERROR(__xludf.DUMMYFUNCTION("GoogleTranslate(C34, ""en"", ""be"")"),"Параметры току")</f>
        <v>Параметры току</v>
      </c>
      <c r="K34" s="3" t="str">
        <f>IFERROR(__xludf.DUMMYFUNCTION("GoogleTranslate(C34, ""en"", ""bn"")"),"বর্তমান পরামিতি")</f>
        <v>বর্তমান পরামিতি</v>
      </c>
      <c r="L34" s="3" t="str">
        <f>IFERROR(__xludf.DUMMYFUNCTION("GoogleTranslate(C34, ""en"", ""bg"")"),"Текущи параметри")</f>
        <v>Текущи параметри</v>
      </c>
      <c r="M34" s="3" t="str">
        <f>IFERROR(__xludf.DUMMYFUNCTION("GoogleTranslate(C34, ""en"", ""my"")"),"လက်ရှိဘောင်များ")</f>
        <v>လက်ရှိဘောင်များ</v>
      </c>
      <c r="N34" s="3" t="str">
        <f>IFERROR(__xludf.DUMMYFUNCTION("GoogleTranslate(C34, ""en"", ""ca"")"),"Paràmetres actuals")</f>
        <v>Paràmetres actuals</v>
      </c>
      <c r="O34" s="3" t="str">
        <f>IFERROR(__xludf.DUMMYFUNCTION("GoogleTranslate(C34, ""en"", ""zh-cn"")"),"当前参数")</f>
        <v>当前参数</v>
      </c>
      <c r="P34" s="3" t="str">
        <f>IFERROR(__xludf.DUMMYFUNCTION("GoogleTranslate(C34, ""en"", ""zh-TW"")"),"目前參數")</f>
        <v>目前參數</v>
      </c>
      <c r="Q34" s="3" t="str">
        <f>IFERROR(__xludf.DUMMYFUNCTION("GoogleTranslate(C34, ""en"", ""hr"")"),"Trenutni parametri")</f>
        <v>Trenutni parametri</v>
      </c>
      <c r="R34" s="3" t="str">
        <f>IFERROR(__xludf.DUMMYFUNCTION("GoogleTranslate(C34, ""en"", ""cs"")"),"Aktuální parametry")</f>
        <v>Aktuální parametry</v>
      </c>
      <c r="S34" s="3" t="str">
        <f>IFERROR(__xludf.DUMMYFUNCTION("GoogleTranslate(C34, ""en"", ""da"")"),"Aktuelle parametre")</f>
        <v>Aktuelle parametre</v>
      </c>
      <c r="T34" s="3" t="str">
        <f>IFERROR(__xludf.DUMMYFUNCTION("GoogleTranslate(C34, ""en"", ""nl"")"),"Huidige parameters")</f>
        <v>Huidige parameters</v>
      </c>
      <c r="U34" s="3" t="str">
        <f>IFERROR(__xludf.DUMMYFUNCTION("GoogleTranslate(C34, ""en"", ""et"")"),"Praegused parameetrid")</f>
        <v>Praegused parameetrid</v>
      </c>
      <c r="V34" s="1" t="str">
        <f t="shared" si="3"/>
        <v>Current parameters</v>
      </c>
      <c r="W34" s="3" t="str">
        <f>IFERROR(__xludf.DUMMYFUNCTION("GoogleTranslate(C34, ""en"", ""fi"")"),"Nykyiset parametrit")</f>
        <v>Nykyiset parametrit</v>
      </c>
      <c r="X34" s="3" t="str">
        <f>IFERROR(__xludf.DUMMYFUNCTION("GoogleTranslate(C34, ""en"", ""fr"")"),"Paramètres actuels")</f>
        <v>Paramètres actuels</v>
      </c>
      <c r="Y34" s="3" t="str">
        <f>IFERROR(__xludf.DUMMYFUNCTION("GoogleTranslate(C34, ""en"", ""de"")"),"Aktuelle Parameter")</f>
        <v>Aktuelle Parameter</v>
      </c>
      <c r="Z34" s="3" t="str">
        <f>IFERROR(__xludf.DUMMYFUNCTION("GoogleTranslate(C34, ""en"", ""el"")"),"Τρέχουσες παράμετροι")</f>
        <v>Τρέχουσες παράμετροι</v>
      </c>
      <c r="AA34" s="3" t="str">
        <f>IFERROR(__xludf.DUMMYFUNCTION("GoogleTranslate(C34, ""en"", ""iw"")"),"פרמטרים נוכחיים")</f>
        <v>פרמטרים נוכחיים</v>
      </c>
      <c r="AB34" s="3" t="str">
        <f>IFERROR(__xludf.DUMMYFUNCTION("GoogleTranslate(C34, ""en"", ""hi"")"),"वर्तमान पैरामीटर")</f>
        <v>वर्तमान पैरामीटर</v>
      </c>
      <c r="AC34" s="3" t="str">
        <f>IFERROR(__xludf.DUMMYFUNCTION("GoogleTranslate(C34, ""en"", ""hu"")"),"Aktuális paraméterek")</f>
        <v>Aktuális paraméterek</v>
      </c>
      <c r="AD34" s="3" t="str">
        <f>IFERROR(__xludf.DUMMYFUNCTION("GoogleTranslate(C34, ""en"", ""is"")"),"Núverandi breytur")</f>
        <v>Núverandi breytur</v>
      </c>
      <c r="AE34" s="3" t="str">
        <f>IFERROR(__xludf.DUMMYFUNCTION("GoogleTranslate(C34, ""en"", ""id"")"),"Parameter saat ini")</f>
        <v>Parameter saat ini</v>
      </c>
      <c r="AF34" s="3" t="str">
        <f>IFERROR(__xludf.DUMMYFUNCTION("GoogleTranslate(C34, ""en"", ""in"")"),"Parameter saat ini")</f>
        <v>Parameter saat ini</v>
      </c>
      <c r="AG34" s="3" t="str">
        <f>IFERROR(__xludf.DUMMYFUNCTION("GoogleTranslate(C34, ""en"", ""it"")"),"Parametri attuali")</f>
        <v>Parametri attuali</v>
      </c>
      <c r="AH34" s="3" t="str">
        <f>IFERROR(__xludf.DUMMYFUNCTION("GoogleTranslate(C34, ""en"", ""ja"")"),"現在のパラメータ")</f>
        <v>現在のパラメータ</v>
      </c>
      <c r="AI34" s="3" t="str">
        <f>IFERROR(__xludf.DUMMYFUNCTION("GoogleTranslate(C34, ""en"", ""kn"")"),"ಪ್ರಸ್ತುತ ನಿಯತಾಂಕಗಳು")</f>
        <v>ಪ್ರಸ್ತುತ ನಿಯತಾಂಕಗಳು</v>
      </c>
      <c r="AJ34" s="3" t="str">
        <f>IFERROR(__xludf.DUMMYFUNCTION("GoogleTranslate(C34, ""en"", ""km"")"),"ប៉ារ៉ាម៉ែត្របច្ចុប្បន្ន")</f>
        <v>ប៉ារ៉ាម៉ែត្របច្ចុប្បន្ន</v>
      </c>
      <c r="AK34" s="3" t="str">
        <f>IFERROR(__xludf.DUMMYFUNCTION("GoogleTranslate(C34, ""en"", ""ko"")"),"현재 매개변수")</f>
        <v>현재 매개변수</v>
      </c>
      <c r="AL34" s="3" t="str">
        <f>IFERROR(__xludf.DUMMYFUNCTION("GoogleTranslate(C34, ""en"", ""lo"")"),"ຕົວກໍານົດການປະຈຸບັນ")</f>
        <v>ຕົວກໍານົດການປະຈຸບັນ</v>
      </c>
      <c r="AM34" s="3" t="str">
        <f>IFERROR(__xludf.DUMMYFUNCTION("GoogleTranslate(C34, ""en"", ""lv"")"),"Pašreizējie parametri")</f>
        <v>Pašreizējie parametri</v>
      </c>
      <c r="AN34" s="3" t="str">
        <f>IFERROR(__xludf.DUMMYFUNCTION("GoogleTranslate(C34, ""en"", ""lt"")"),"Dabartiniai parametrai")</f>
        <v>Dabartiniai parametrai</v>
      </c>
      <c r="AO34" s="3" t="str">
        <f>IFERROR(__xludf.DUMMYFUNCTION("GoogleTranslate(C34, ""en"", ""mk"")"),"Тековни параметри")</f>
        <v>Тековни параметри</v>
      </c>
      <c r="AP34" s="3" t="str">
        <f>IFERROR(__xludf.DUMMYFUNCTION("GoogleTranslate(C34, ""en"", ""ms"")"),"Parameter semasa")</f>
        <v>Parameter semasa</v>
      </c>
      <c r="AQ34" s="3" t="str">
        <f>IFERROR(__xludf.DUMMYFUNCTION("GoogleTranslate(C34, ""en"", ""ml"")"),"നിലവിലെ പാരാമീറ്ററുകൾ")</f>
        <v>നിലവിലെ പാരാമീറ്ററുകൾ</v>
      </c>
      <c r="AR34" s="3" t="str">
        <f>IFERROR(__xludf.DUMMYFUNCTION("GoogleTranslate(C34, ""en"", ""mr"")"),"वर्तमान मापदंड")</f>
        <v>वर्तमान मापदंड</v>
      </c>
      <c r="AS34" s="3" t="str">
        <f>IFERROR(__xludf.DUMMYFUNCTION("GoogleTranslate(C34, ""en"", ""mn"")"),"Одоогийн параметрүүд")</f>
        <v>Одоогийн параметрүүд</v>
      </c>
      <c r="AT34" s="3" t="str">
        <f>IFERROR(__xludf.DUMMYFUNCTION("GoogleTranslate(C34, ""en"", ""ne"")"),"हालको प्यारामिटरहरू")</f>
        <v>हालको प्यारामिटरहरू</v>
      </c>
      <c r="AU34" s="3" t="str">
        <f>IFERROR(__xludf.DUMMYFUNCTION("GoogleTranslate(C34, ""en"", ""nb"")"),"Gjeldende parametere")</f>
        <v>Gjeldende parametere</v>
      </c>
      <c r="AV34" s="3" t="str">
        <f>IFERROR(__xludf.DUMMYFUNCTION("GoogleTranslate(C34, ""en"", ""fa"")"),"پارامترهای فعلی")</f>
        <v>پارامترهای فعلی</v>
      </c>
      <c r="AW34" s="3" t="str">
        <f>IFERROR(__xludf.DUMMYFUNCTION("GoogleTranslate(C34, ""en"", ""pl"")"),"Aktualne parametry")</f>
        <v>Aktualne parametry</v>
      </c>
      <c r="AX34" s="3" t="str">
        <f>IFERROR(__xludf.DUMMYFUNCTION("GoogleTranslate(C34, ""en"", ""pt"")"),"Parâmetros atuais")</f>
        <v>Parâmetros atuais</v>
      </c>
      <c r="AY34" s="3" t="str">
        <f>IFERROR(__xludf.DUMMYFUNCTION("GoogleTranslate(C34, ""en"", ""ro"")"),"Parametrii curenti")</f>
        <v>Parametrii curenti</v>
      </c>
      <c r="AZ34" s="3" t="str">
        <f>IFERROR(__xludf.DUMMYFUNCTION("GoogleTranslate(C34, ""en"", ""ru"")"),"Текущие параметры")</f>
        <v>Текущие параметры</v>
      </c>
      <c r="BA34" s="3" t="str">
        <f>IFERROR(__xludf.DUMMYFUNCTION("GoogleTranslate(C34, ""en"", ""sr"")"),"Тренутни параметри")</f>
        <v>Тренутни параметри</v>
      </c>
      <c r="BB34" s="3" t="str">
        <f>IFERROR(__xludf.DUMMYFUNCTION("GoogleTranslate(C34, ""en"", ""si"")"),"වත්මන් පරාමිතීන්")</f>
        <v>වත්මන් පරාමිතීන්</v>
      </c>
      <c r="BC34" s="3" t="str">
        <f>IFERROR(__xludf.DUMMYFUNCTION("GoogleTranslate(C34, ""en"", ""sk"")"),"Aktuálne parametre")</f>
        <v>Aktuálne parametre</v>
      </c>
      <c r="BD34" s="3" t="str">
        <f>IFERROR(__xludf.DUMMYFUNCTION("GoogleTranslate(C34, ""en"", ""sl"")"),"Trenutni parametri")</f>
        <v>Trenutni parametri</v>
      </c>
      <c r="BE34" s="3" t="str">
        <f>IFERROR(__xludf.DUMMYFUNCTION("GoogleTranslate(C34, ""en"", ""es"")"),"Parámetros actuales")</f>
        <v>Parámetros actuales</v>
      </c>
      <c r="BF34" s="3" t="str">
        <f>IFERROR(__xludf.DUMMYFUNCTION("GoogleTranslate(C34, ""en"", ""sw"")"),"Vigezo vya sasa")</f>
        <v>Vigezo vya sasa</v>
      </c>
      <c r="BG34" s="3" t="str">
        <f>IFERROR(__xludf.DUMMYFUNCTION("GoogleTranslate(C34, ""en"", ""sv"")"),"Aktuella parametrar")</f>
        <v>Aktuella parametrar</v>
      </c>
      <c r="BH34" s="3" t="str">
        <f>IFERROR(__xludf.DUMMYFUNCTION("GoogleTranslate(C34, ""en"", ""te"")"),"ప్రస్తుత పారామితులు")</f>
        <v>ప్రస్తుత పారామితులు</v>
      </c>
      <c r="BI34" s="3" t="str">
        <f>IFERROR(__xludf.DUMMYFUNCTION("GoogleTranslate(C34, ""en"", ""th"")"),"พารามิเตอร์ปัจจุบัน")</f>
        <v>พารามิเตอร์ปัจจุบัน</v>
      </c>
      <c r="BJ34" s="3" t="str">
        <f>IFERROR(__xludf.DUMMYFUNCTION("GoogleTranslate(C34, ""en"", ""tr"")"),"Mevcut parametreler")</f>
        <v>Mevcut parametreler</v>
      </c>
      <c r="BK34" s="3" t="str">
        <f>IFERROR(__xludf.DUMMYFUNCTION("GoogleTranslate(C34, ""en"", ""uk"")"),"Параметри струму")</f>
        <v>Параметри струму</v>
      </c>
      <c r="BL34" s="3" t="str">
        <f>IFERROR(__xludf.DUMMYFUNCTION("GoogleTranslate(C34, ""en"", ""zu"")"),"Amapharamitha amanje")</f>
        <v>Amapharamitha amanje</v>
      </c>
    </row>
    <row r="35">
      <c r="A35" s="1" t="str">
        <f t="shared" si="1"/>
        <v>Tomorrow</v>
      </c>
      <c r="B35" s="4" t="s">
        <v>97</v>
      </c>
      <c r="C35" s="1" t="str">
        <f t="shared" si="2"/>
        <v>Tomorrow</v>
      </c>
      <c r="D35" s="3" t="str">
        <f>IFERROR(__xludf.DUMMYFUNCTION("GoogleTranslate(C35, ""en"", ""es"")"),"Mañana")</f>
        <v>Mañana</v>
      </c>
      <c r="E35" s="3" t="str">
        <f>IFERROR(__xludf.DUMMYFUNCTION("GoogleTranslate(C35, ""en"", ""ar"")"),"غداً")</f>
        <v>غداً</v>
      </c>
      <c r="F35" s="3" t="str">
        <f>IFERROR(__xludf.DUMMYFUNCTION("GoogleTranslate(C35, ""en"", ""hy"")"),"Վաղը")</f>
        <v>Վաղը</v>
      </c>
      <c r="G35" s="3" t="str">
        <f>IFERROR(__xludf.DUMMYFUNCTION("GoogleTranslate(C35, ""en"", ""vi"")"),"Ngày mai")</f>
        <v>Ngày mai</v>
      </c>
      <c r="H35" s="3" t="str">
        <f>IFERROR(__xludf.DUMMYFUNCTION("GoogleTranslate(C35, ""en"", ""az"")"),"Sabah")</f>
        <v>Sabah</v>
      </c>
      <c r="I35" s="3" t="str">
        <f>IFERROR(__xludf.DUMMYFUNCTION("GoogleTranslate(C35, ""en"", ""eu"")"),"Bihar")</f>
        <v>Bihar</v>
      </c>
      <c r="J35" s="3" t="str">
        <f>IFERROR(__xludf.DUMMYFUNCTION("GoogleTranslate(C35, ""en"", ""be"")"),"Заўтра")</f>
        <v>Заўтра</v>
      </c>
      <c r="K35" s="3" t="str">
        <f>IFERROR(__xludf.DUMMYFUNCTION("GoogleTranslate(C35, ""en"", ""bn"")"),"কাল")</f>
        <v>কাল</v>
      </c>
      <c r="L35" s="3" t="str">
        <f>IFERROR(__xludf.DUMMYFUNCTION("GoogleTranslate(C35, ""en"", ""bg"")"),"утре")</f>
        <v>утре</v>
      </c>
      <c r="M35" s="3" t="str">
        <f>IFERROR(__xludf.DUMMYFUNCTION("GoogleTranslate(C35, ""en"", ""my"")"),"မနက်ဖြန်")</f>
        <v>မနက်ဖြန်</v>
      </c>
      <c r="N35" s="3" t="str">
        <f>IFERROR(__xludf.DUMMYFUNCTION("GoogleTranslate(C35, ""en"", ""ca"")"),"Demà")</f>
        <v>Demà</v>
      </c>
      <c r="O35" s="3" t="str">
        <f>IFERROR(__xludf.DUMMYFUNCTION("GoogleTranslate(C35, ""en"", ""zh-cn"")"),"明天")</f>
        <v>明天</v>
      </c>
      <c r="P35" s="3" t="str">
        <f>IFERROR(__xludf.DUMMYFUNCTION("GoogleTranslate(C35, ""en"", ""zh-TW"")"),"明天")</f>
        <v>明天</v>
      </c>
      <c r="Q35" s="3" t="str">
        <f>IFERROR(__xludf.DUMMYFUNCTION("GoogleTranslate(C35, ""en"", ""hr"")"),"Sutra")</f>
        <v>Sutra</v>
      </c>
      <c r="R35" s="3" t="str">
        <f>IFERROR(__xludf.DUMMYFUNCTION("GoogleTranslate(C35, ""en"", ""cs"")"),"Zítra")</f>
        <v>Zítra</v>
      </c>
      <c r="S35" s="3" t="str">
        <f>IFERROR(__xludf.DUMMYFUNCTION("GoogleTranslate(C35, ""en"", ""da"")"),"I morgen")</f>
        <v>I morgen</v>
      </c>
      <c r="T35" s="3" t="str">
        <f>IFERROR(__xludf.DUMMYFUNCTION("GoogleTranslate(C35, ""en"", ""nl"")"),"Morgen")</f>
        <v>Morgen</v>
      </c>
      <c r="U35" s="3" t="str">
        <f>IFERROR(__xludf.DUMMYFUNCTION("GoogleTranslate(C35, ""en"", ""et"")"),"Homme")</f>
        <v>Homme</v>
      </c>
      <c r="V35" s="1" t="str">
        <f t="shared" si="3"/>
        <v>Tomorrow</v>
      </c>
      <c r="W35" s="3" t="str">
        <f>IFERROR(__xludf.DUMMYFUNCTION("GoogleTranslate(C35, ""en"", ""fi"")"),"Huomenna")</f>
        <v>Huomenna</v>
      </c>
      <c r="X35" s="3" t="str">
        <f>IFERROR(__xludf.DUMMYFUNCTION("GoogleTranslate(C35, ""en"", ""fr"")"),"Demain")</f>
        <v>Demain</v>
      </c>
      <c r="Y35" s="3" t="str">
        <f>IFERROR(__xludf.DUMMYFUNCTION("GoogleTranslate(C35, ""en"", ""de"")"),"Morgen")</f>
        <v>Morgen</v>
      </c>
      <c r="Z35" s="3" t="str">
        <f>IFERROR(__xludf.DUMMYFUNCTION("GoogleTranslate(C35, ""en"", ""el"")"),"Αύριο")</f>
        <v>Αύριο</v>
      </c>
      <c r="AA35" s="3" t="str">
        <f>IFERROR(__xludf.DUMMYFUNCTION("GoogleTranslate(C35, ""en"", ""iw"")"),"מָחָר")</f>
        <v>מָחָר</v>
      </c>
      <c r="AB35" s="3" t="str">
        <f>IFERROR(__xludf.DUMMYFUNCTION("GoogleTranslate(C35, ""en"", ""hi"")"),"कल")</f>
        <v>कल</v>
      </c>
      <c r="AC35" s="3" t="str">
        <f>IFERROR(__xludf.DUMMYFUNCTION("GoogleTranslate(C35, ""en"", ""hu"")"),"Holnap")</f>
        <v>Holnap</v>
      </c>
      <c r="AD35" s="3" t="str">
        <f>IFERROR(__xludf.DUMMYFUNCTION("GoogleTranslate(C35, ""en"", ""is"")"),"Á morgun")</f>
        <v>Á morgun</v>
      </c>
      <c r="AE35" s="3" t="str">
        <f>IFERROR(__xludf.DUMMYFUNCTION("GoogleTranslate(C35, ""en"", ""id"")"),"Besok")</f>
        <v>Besok</v>
      </c>
      <c r="AF35" s="3" t="str">
        <f>IFERROR(__xludf.DUMMYFUNCTION("GoogleTranslate(C35, ""en"", ""in"")"),"Besok")</f>
        <v>Besok</v>
      </c>
      <c r="AG35" s="3" t="str">
        <f>IFERROR(__xludf.DUMMYFUNCTION("GoogleTranslate(C35, ""en"", ""it"")"),"Domani")</f>
        <v>Domani</v>
      </c>
      <c r="AH35" s="3" t="str">
        <f>IFERROR(__xludf.DUMMYFUNCTION("GoogleTranslate(C35, ""en"", ""ja"")"),"明日")</f>
        <v>明日</v>
      </c>
      <c r="AI35" s="3" t="str">
        <f>IFERROR(__xludf.DUMMYFUNCTION("GoogleTranslate(C35, ""en"", ""kn"")"),"ನಾಳೆ")</f>
        <v>ನಾಳೆ</v>
      </c>
      <c r="AJ35" s="3" t="str">
        <f>IFERROR(__xludf.DUMMYFUNCTION("GoogleTranslate(C35, ""en"", ""km"")"),"ថ្ងៃស្អែក")</f>
        <v>ថ្ងៃស្អែក</v>
      </c>
      <c r="AK35" s="3" t="str">
        <f>IFERROR(__xludf.DUMMYFUNCTION("GoogleTranslate(C35, ""en"", ""ko"")"),"내일")</f>
        <v>내일</v>
      </c>
      <c r="AL35" s="3" t="str">
        <f>IFERROR(__xludf.DUMMYFUNCTION("GoogleTranslate(C35, ""en"", ""lo"")"),"ມື້ອື່ນ")</f>
        <v>ມື້ອື່ນ</v>
      </c>
      <c r="AM35" s="3" t="str">
        <f>IFERROR(__xludf.DUMMYFUNCTION("GoogleTranslate(C35, ""en"", ""lv"")"),"rīt")</f>
        <v>rīt</v>
      </c>
      <c r="AN35" s="3" t="str">
        <f>IFERROR(__xludf.DUMMYFUNCTION("GoogleTranslate(C35, ""en"", ""lt"")"),"Rytoj")</f>
        <v>Rytoj</v>
      </c>
      <c r="AO35" s="3" t="str">
        <f>IFERROR(__xludf.DUMMYFUNCTION("GoogleTranslate(C35, ""en"", ""mk"")"),"Утре")</f>
        <v>Утре</v>
      </c>
      <c r="AP35" s="3" t="str">
        <f>IFERROR(__xludf.DUMMYFUNCTION("GoogleTranslate(C35, ""en"", ""ms"")"),"Esok")</f>
        <v>Esok</v>
      </c>
      <c r="AQ35" s="3" t="str">
        <f>IFERROR(__xludf.DUMMYFUNCTION("GoogleTranslate(C35, ""en"", ""ml"")"),"നാളെ")</f>
        <v>നാളെ</v>
      </c>
      <c r="AR35" s="3" t="str">
        <f>IFERROR(__xludf.DUMMYFUNCTION("GoogleTranslate(C35, ""en"", ""mr"")"),"उद्या")</f>
        <v>उद्या</v>
      </c>
      <c r="AS35" s="3" t="str">
        <f>IFERROR(__xludf.DUMMYFUNCTION("GoogleTranslate(C35, ""en"", ""mn"")"),"Маргааш")</f>
        <v>Маргааш</v>
      </c>
      <c r="AT35" s="3" t="str">
        <f>IFERROR(__xludf.DUMMYFUNCTION("GoogleTranslate(C35, ""en"", ""ne"")"),"भोलि")</f>
        <v>भोलि</v>
      </c>
      <c r="AU35" s="3" t="str">
        <f>IFERROR(__xludf.DUMMYFUNCTION("GoogleTranslate(C35, ""en"", ""nb"")"),"I morgen")</f>
        <v>I morgen</v>
      </c>
      <c r="AV35" s="3" t="str">
        <f>IFERROR(__xludf.DUMMYFUNCTION("GoogleTranslate(C35, ""en"", ""fa"")"),"فردا")</f>
        <v>فردا</v>
      </c>
      <c r="AW35" s="3" t="str">
        <f>IFERROR(__xludf.DUMMYFUNCTION("GoogleTranslate(C35, ""en"", ""pl"")"),"Jutro")</f>
        <v>Jutro</v>
      </c>
      <c r="AX35" s="3" t="str">
        <f>IFERROR(__xludf.DUMMYFUNCTION("GoogleTranslate(C35, ""en"", ""pt"")"),"Amanhã")</f>
        <v>Amanhã</v>
      </c>
      <c r="AY35" s="3" t="str">
        <f>IFERROR(__xludf.DUMMYFUNCTION("GoogleTranslate(C35, ""en"", ""ro"")"),"Mâine")</f>
        <v>Mâine</v>
      </c>
      <c r="AZ35" s="3" t="str">
        <f>IFERROR(__xludf.DUMMYFUNCTION("GoogleTranslate(C35, ""en"", ""ru"")"),"Завтра")</f>
        <v>Завтра</v>
      </c>
      <c r="BA35" s="3" t="str">
        <f>IFERROR(__xludf.DUMMYFUNCTION("GoogleTranslate(C35, ""en"", ""sr"")"),"сутра")</f>
        <v>сутра</v>
      </c>
      <c r="BB35" s="3" t="str">
        <f>IFERROR(__xludf.DUMMYFUNCTION("GoogleTranslate(C35, ""en"", ""si"")"),"හෙට")</f>
        <v>හෙට</v>
      </c>
      <c r="BC35" s="3" t="str">
        <f>IFERROR(__xludf.DUMMYFUNCTION("GoogleTranslate(C35, ""en"", ""sk"")"),"zajtra")</f>
        <v>zajtra</v>
      </c>
      <c r="BD35" s="3" t="str">
        <f>IFERROR(__xludf.DUMMYFUNCTION("GoogleTranslate(C35, ""en"", ""sl"")"),"jutri")</f>
        <v>jutri</v>
      </c>
      <c r="BE35" s="3" t="str">
        <f>IFERROR(__xludf.DUMMYFUNCTION("GoogleTranslate(C35, ""en"", ""es"")"),"Mañana")</f>
        <v>Mañana</v>
      </c>
      <c r="BF35" s="3" t="str">
        <f>IFERROR(__xludf.DUMMYFUNCTION("GoogleTranslate(C35, ""en"", ""sw"")"),"Kesho")</f>
        <v>Kesho</v>
      </c>
      <c r="BG35" s="3" t="str">
        <f>IFERROR(__xludf.DUMMYFUNCTION("GoogleTranslate(C35, ""en"", ""sv"")"),"I morgon")</f>
        <v>I morgon</v>
      </c>
      <c r="BH35" s="3" t="str">
        <f>IFERROR(__xludf.DUMMYFUNCTION("GoogleTranslate(C35, ""en"", ""te"")"),"రేపు")</f>
        <v>రేపు</v>
      </c>
      <c r="BI35" s="3" t="str">
        <f>IFERROR(__xludf.DUMMYFUNCTION("GoogleTranslate(C35, ""en"", ""th"")"),"พรุ่งนี้")</f>
        <v>พรุ่งนี้</v>
      </c>
      <c r="BJ35" s="3" t="str">
        <f>IFERROR(__xludf.DUMMYFUNCTION("GoogleTranslate(C35, ""en"", ""tr"")"),"Yarın")</f>
        <v>Yarın</v>
      </c>
      <c r="BK35" s="3" t="str">
        <f>IFERROR(__xludf.DUMMYFUNCTION("GoogleTranslate(C35, ""en"", ""uk"")"),"завтра")</f>
        <v>завтра</v>
      </c>
      <c r="BL35" s="3" t="str">
        <f>IFERROR(__xludf.DUMMYFUNCTION("GoogleTranslate(C35, ""en"", ""zu"")"),"Kusasa")</f>
        <v>Kusasa</v>
      </c>
    </row>
    <row r="36">
      <c r="A36" s="1" t="str">
        <f t="shared" si="1"/>
        <v>Next_3_days</v>
      </c>
      <c r="B36" s="4" t="s">
        <v>98</v>
      </c>
      <c r="C36" s="1" t="str">
        <f t="shared" si="2"/>
        <v>Next 3 days</v>
      </c>
      <c r="D36" s="3" t="str">
        <f>IFERROR(__xludf.DUMMYFUNCTION("GoogleTranslate(C36, ""en"", ""es"")"),"Los próximos 3 días")</f>
        <v>Los próximos 3 días</v>
      </c>
      <c r="E36" s="3" t="str">
        <f>IFERROR(__xludf.DUMMYFUNCTION("GoogleTranslate(C36, ""en"", ""ar"")"),"3 أيام القادمة")</f>
        <v>3 أيام القادمة</v>
      </c>
      <c r="F36" s="3" t="str">
        <f>IFERROR(__xludf.DUMMYFUNCTION("GoogleTranslate(C36, ""en"", ""hy"")"),"Հաջորդ 3 օրը")</f>
        <v>Հաջորդ 3 օրը</v>
      </c>
      <c r="G36" s="3" t="str">
        <f>IFERROR(__xludf.DUMMYFUNCTION("GoogleTranslate(C36, ""en"", ""vi"")"),"3 ngày tiếp theo")</f>
        <v>3 ngày tiếp theo</v>
      </c>
      <c r="H36" s="3" t="str">
        <f>IFERROR(__xludf.DUMMYFUNCTION("GoogleTranslate(C36, ""en"", ""az"")"),"Növbəti 3 gün")</f>
        <v>Növbəti 3 gün</v>
      </c>
      <c r="I36" s="3" t="str">
        <f>IFERROR(__xludf.DUMMYFUNCTION("GoogleTranslate(C36, ""en"", ""eu"")"),"Hurrengo 3 egunetan")</f>
        <v>Hurrengo 3 egunetan</v>
      </c>
      <c r="J36" s="3" t="str">
        <f>IFERROR(__xludf.DUMMYFUNCTION("GoogleTranslate(C36, ""en"", ""be"")"),"Наступныя 3 дні")</f>
        <v>Наступныя 3 дні</v>
      </c>
      <c r="K36" s="3" t="str">
        <f>IFERROR(__xludf.DUMMYFUNCTION("GoogleTranslate(C36, ""en"", ""bn"")"),"আগামী ৩ দিন")</f>
        <v>আগামী ৩ দিন</v>
      </c>
      <c r="L36" s="3" t="str">
        <f>IFERROR(__xludf.DUMMYFUNCTION("GoogleTranslate(C36, ""en"", ""bg"")"),"Следващите 3 дни")</f>
        <v>Следващите 3 дни</v>
      </c>
      <c r="M36" s="3" t="str">
        <f>IFERROR(__xludf.DUMMYFUNCTION("GoogleTranslate(C36, ""en"", ""my"")"),"နောက် ၃ ရက်")</f>
        <v>နောက် ၃ ရက်</v>
      </c>
      <c r="N36" s="3" t="str">
        <f>IFERROR(__xludf.DUMMYFUNCTION("GoogleTranslate(C36, ""en"", ""ca"")"),"Els propers 3 dies")</f>
        <v>Els propers 3 dies</v>
      </c>
      <c r="O36" s="3" t="str">
        <f>IFERROR(__xludf.DUMMYFUNCTION("GoogleTranslate(C36, ""en"", ""zh-cn"")"),"未来 3 天")</f>
        <v>未来 3 天</v>
      </c>
      <c r="P36" s="3" t="str">
        <f>IFERROR(__xludf.DUMMYFUNCTION("GoogleTranslate(C36, ""en"", ""zh-TW"")"),"未來 3 天")</f>
        <v>未來 3 天</v>
      </c>
      <c r="Q36" s="3" t="str">
        <f>IFERROR(__xludf.DUMMYFUNCTION("GoogleTranslate(C36, ""en"", ""hr"")"),"Sljedeća 3 dana")</f>
        <v>Sljedeća 3 dana</v>
      </c>
      <c r="R36" s="3" t="str">
        <f>IFERROR(__xludf.DUMMYFUNCTION("GoogleTranslate(C36, ""en"", ""cs"")"),"Další 3 dny")</f>
        <v>Další 3 dny</v>
      </c>
      <c r="S36" s="3" t="str">
        <f>IFERROR(__xludf.DUMMYFUNCTION("GoogleTranslate(C36, ""en"", ""da"")"),"Næste 3 dage")</f>
        <v>Næste 3 dage</v>
      </c>
      <c r="T36" s="3" t="str">
        <f>IFERROR(__xludf.DUMMYFUNCTION("GoogleTranslate(C36, ""en"", ""nl"")"),"Volgende 3 dagen")</f>
        <v>Volgende 3 dagen</v>
      </c>
      <c r="U36" s="3" t="str">
        <f>IFERROR(__xludf.DUMMYFUNCTION("GoogleTranslate(C36, ""en"", ""et"")"),"Järgmised 3 päeva")</f>
        <v>Järgmised 3 päeva</v>
      </c>
      <c r="V36" s="1" t="str">
        <f t="shared" si="3"/>
        <v>Next 3 days</v>
      </c>
      <c r="W36" s="3" t="str">
        <f>IFERROR(__xludf.DUMMYFUNCTION("GoogleTranslate(C36, ""en"", ""fi"")"),"Seuraavat 3 päivää")</f>
        <v>Seuraavat 3 päivää</v>
      </c>
      <c r="X36" s="3" t="str">
        <f>IFERROR(__xludf.DUMMYFUNCTION("GoogleTranslate(C36, ""en"", ""fr"")"),"3 prochains jours")</f>
        <v>3 prochains jours</v>
      </c>
      <c r="Y36" s="3" t="str">
        <f>IFERROR(__xludf.DUMMYFUNCTION("GoogleTranslate(C36, ""en"", ""de"")"),"Die nächsten 3 Tage")</f>
        <v>Die nächsten 3 Tage</v>
      </c>
      <c r="Z36" s="3" t="str">
        <f>IFERROR(__xludf.DUMMYFUNCTION("GoogleTranslate(C36, ""en"", ""el"")"),"Οι επόμενες 3 μέρες")</f>
        <v>Οι επόμενες 3 μέρες</v>
      </c>
      <c r="AA36" s="3" t="str">
        <f>IFERROR(__xludf.DUMMYFUNCTION("GoogleTranslate(C36, ""en"", ""iw"")"),"3 ימים הבאים")</f>
        <v>3 ימים הבאים</v>
      </c>
      <c r="AB36" s="3" t="str">
        <f>IFERROR(__xludf.DUMMYFUNCTION("GoogleTranslate(C36, ""en"", ""hi"")"),"अगले 3 दिन")</f>
        <v>अगले 3 दिन</v>
      </c>
      <c r="AC36" s="3" t="str">
        <f>IFERROR(__xludf.DUMMYFUNCTION("GoogleTranslate(C36, ""en"", ""hu"")"),"Következő 3 nap")</f>
        <v>Következő 3 nap</v>
      </c>
      <c r="AD36" s="3" t="str">
        <f>IFERROR(__xludf.DUMMYFUNCTION("GoogleTranslate(C36, ""en"", ""is"")"),"Næstu 3 dagar")</f>
        <v>Næstu 3 dagar</v>
      </c>
      <c r="AE36" s="3" t="str">
        <f>IFERROR(__xludf.DUMMYFUNCTION("GoogleTranslate(C36, ""en"", ""id"")"),"3 hari berikutnya")</f>
        <v>3 hari berikutnya</v>
      </c>
      <c r="AF36" s="3" t="str">
        <f>IFERROR(__xludf.DUMMYFUNCTION("GoogleTranslate(C36, ""en"", ""in"")"),"3 hari berikutnya")</f>
        <v>3 hari berikutnya</v>
      </c>
      <c r="AG36" s="3" t="str">
        <f>IFERROR(__xludf.DUMMYFUNCTION("GoogleTranslate(C36, ""en"", ""it"")"),"Prossimi 3 giorni")</f>
        <v>Prossimi 3 giorni</v>
      </c>
      <c r="AH36" s="3" t="str">
        <f>IFERROR(__xludf.DUMMYFUNCTION("GoogleTranslate(C36, ""en"", ""ja"")"),"次の 3 日間")</f>
        <v>次の 3 日間</v>
      </c>
      <c r="AI36" s="3" t="str">
        <f>IFERROR(__xludf.DUMMYFUNCTION("GoogleTranslate(C36, ""en"", ""kn"")"),"ಮುಂದಿನ 3 ದಿನಗಳು")</f>
        <v>ಮುಂದಿನ 3 ದಿನಗಳು</v>
      </c>
      <c r="AJ36" s="3" t="str">
        <f>IFERROR(__xludf.DUMMYFUNCTION("GoogleTranslate(C36, ""en"", ""km"")"),"3 ថ្ងៃបន្ទាប់")</f>
        <v>3 ថ្ងៃបន្ទាប់</v>
      </c>
      <c r="AK36" s="3" t="str">
        <f>IFERROR(__xludf.DUMMYFUNCTION("GoogleTranslate(C36, ""en"", ""ko"")"),"다음 3일")</f>
        <v>다음 3일</v>
      </c>
      <c r="AL36" s="3" t="str">
        <f>IFERROR(__xludf.DUMMYFUNCTION("GoogleTranslate(C36, ""en"", ""lo"")"),"3 ມື້ຕໍ່ໄປ")</f>
        <v>3 ມື້ຕໍ່ໄປ</v>
      </c>
      <c r="AM36" s="3" t="str">
        <f>IFERROR(__xludf.DUMMYFUNCTION("GoogleTranslate(C36, ""en"", ""lv"")"),"Nākamās 3 dienas")</f>
        <v>Nākamās 3 dienas</v>
      </c>
      <c r="AN36" s="3" t="str">
        <f>IFERROR(__xludf.DUMMYFUNCTION("GoogleTranslate(C36, ""en"", ""lt"")"),"Kitas 3 dienas")</f>
        <v>Kitas 3 dienas</v>
      </c>
      <c r="AO36" s="3" t="str">
        <f>IFERROR(__xludf.DUMMYFUNCTION("GoogleTranslate(C36, ""en"", ""mk"")"),"Следните 3 дена")</f>
        <v>Следните 3 дена</v>
      </c>
      <c r="AP36" s="3" t="str">
        <f>IFERROR(__xludf.DUMMYFUNCTION("GoogleTranslate(C36, ""en"", ""ms"")"),"3 hari seterusnya")</f>
        <v>3 hari seterusnya</v>
      </c>
      <c r="AQ36" s="3" t="str">
        <f>IFERROR(__xludf.DUMMYFUNCTION("GoogleTranslate(C36, ""en"", ""ml"")"),"അടുത്ത 3 ദിവസം")</f>
        <v>അടുത്ത 3 ദിവസം</v>
      </c>
      <c r="AR36" s="3" t="str">
        <f>IFERROR(__xludf.DUMMYFUNCTION("GoogleTranslate(C36, ""en"", ""mr"")"),"पुढील ३ दिवस")</f>
        <v>पुढील ३ दिवस</v>
      </c>
      <c r="AS36" s="3" t="str">
        <f>IFERROR(__xludf.DUMMYFUNCTION("GoogleTranslate(C36, ""en"", ""mn"")"),"Дараагийн 3 өдөр")</f>
        <v>Дараагийн 3 өдөр</v>
      </c>
      <c r="AT36" s="3" t="str">
        <f>IFERROR(__xludf.DUMMYFUNCTION("GoogleTranslate(C36, ""en"", ""ne"")"),"अबको ३ दिन")</f>
        <v>अबको ३ दिन</v>
      </c>
      <c r="AU36" s="3" t="str">
        <f>IFERROR(__xludf.DUMMYFUNCTION("GoogleTranslate(C36, ""en"", ""nb"")"),"Neste 3 dager")</f>
        <v>Neste 3 dager</v>
      </c>
      <c r="AV36" s="3" t="str">
        <f>IFERROR(__xludf.DUMMYFUNCTION("GoogleTranslate(C36, ""en"", ""fa"")"),"3 روز آینده")</f>
        <v>3 روز آینده</v>
      </c>
      <c r="AW36" s="3" t="str">
        <f>IFERROR(__xludf.DUMMYFUNCTION("GoogleTranslate(C36, ""en"", ""pl"")"),"Następne 3 dni")</f>
        <v>Następne 3 dni</v>
      </c>
      <c r="AX36" s="3" t="str">
        <f>IFERROR(__xludf.DUMMYFUNCTION("GoogleTranslate(C36, ""en"", ""pt"")"),"Próximos 3 dias")</f>
        <v>Próximos 3 dias</v>
      </c>
      <c r="AY36" s="3" t="str">
        <f>IFERROR(__xludf.DUMMYFUNCTION("GoogleTranslate(C36, ""en"", ""ro"")"),"Următoarele 3 zile")</f>
        <v>Următoarele 3 zile</v>
      </c>
      <c r="AZ36" s="3" t="str">
        <f>IFERROR(__xludf.DUMMYFUNCTION("GoogleTranslate(C36, ""en"", ""ru"")"),"Следующие 3 дня")</f>
        <v>Следующие 3 дня</v>
      </c>
      <c r="BA36" s="3" t="str">
        <f>IFERROR(__xludf.DUMMYFUNCTION("GoogleTranslate(C36, ""en"", ""sr"")"),"Следећа 3 дана")</f>
        <v>Следећа 3 дана</v>
      </c>
      <c r="BB36" s="3" t="str">
        <f>IFERROR(__xludf.DUMMYFUNCTION("GoogleTranslate(C36, ""en"", ""si"")"),"ඉදිරි දින 3")</f>
        <v>ඉදිරි දින 3</v>
      </c>
      <c r="BC36" s="3" t="str">
        <f>IFERROR(__xludf.DUMMYFUNCTION("GoogleTranslate(C36, ""en"", ""sk"")"),"Nasledujúce 3 dni")</f>
        <v>Nasledujúce 3 dni</v>
      </c>
      <c r="BD36" s="3" t="str">
        <f>IFERROR(__xludf.DUMMYFUNCTION("GoogleTranslate(C36, ""en"", ""sl"")"),"Naslednji 3 dnevi")</f>
        <v>Naslednji 3 dnevi</v>
      </c>
      <c r="BE36" s="3" t="str">
        <f>IFERROR(__xludf.DUMMYFUNCTION("GoogleTranslate(C36, ""en"", ""es"")"),"Los próximos 3 días")</f>
        <v>Los próximos 3 días</v>
      </c>
      <c r="BF36" s="3" t="str">
        <f>IFERROR(__xludf.DUMMYFUNCTION("GoogleTranslate(C36, ""en"", ""sw"")"),"Siku 3 zijazo")</f>
        <v>Siku 3 zijazo</v>
      </c>
      <c r="BG36" s="3" t="str">
        <f>IFERROR(__xludf.DUMMYFUNCTION("GoogleTranslate(C36, ""en"", ""sv"")"),"Nästa 3 dagar")</f>
        <v>Nästa 3 dagar</v>
      </c>
      <c r="BH36" s="3" t="str">
        <f>IFERROR(__xludf.DUMMYFUNCTION("GoogleTranslate(C36, ""en"", ""te"")"),"తదుపరి 3 రోజులు")</f>
        <v>తదుపరి 3 రోజులు</v>
      </c>
      <c r="BI36" s="3" t="str">
        <f>IFERROR(__xludf.DUMMYFUNCTION("GoogleTranslate(C36, ""en"", ""th"")"),"อีก 3 วันข้างหน้า")</f>
        <v>อีก 3 วันข้างหน้า</v>
      </c>
      <c r="BJ36" s="3" t="str">
        <f>IFERROR(__xludf.DUMMYFUNCTION("GoogleTranslate(C36, ""en"", ""tr"")"),"Önümüzdeki 3 gün")</f>
        <v>Önümüzdeki 3 gün</v>
      </c>
      <c r="BK36" s="3" t="str">
        <f>IFERROR(__xludf.DUMMYFUNCTION("GoogleTranslate(C36, ""en"", ""uk"")"),"Наступні 3 дні")</f>
        <v>Наступні 3 дні</v>
      </c>
      <c r="BL36" s="3" t="str">
        <f>IFERROR(__xludf.DUMMYFUNCTION("GoogleTranslate(C36, ""en"", ""zu"")"),"Izinsuku ezi-3 ezilandelayo")</f>
        <v>Izinsuku ezi-3 ezilandelayo</v>
      </c>
    </row>
    <row r="37">
      <c r="A37" s="1" t="str">
        <f t="shared" si="1"/>
        <v>Next_7_days</v>
      </c>
      <c r="B37" s="4" t="s">
        <v>99</v>
      </c>
      <c r="C37" s="1" t="str">
        <f t="shared" si="2"/>
        <v>Next 7 days</v>
      </c>
      <c r="D37" s="3" t="str">
        <f>IFERROR(__xludf.DUMMYFUNCTION("GoogleTranslate(C37, ""en"", ""es"")"),"Los próximos 7 días")</f>
        <v>Los próximos 7 días</v>
      </c>
      <c r="E37" s="3" t="str">
        <f>IFERROR(__xludf.DUMMYFUNCTION("GoogleTranslate(C37, ""en"", ""ar"")"),"7 أيام القادمة")</f>
        <v>7 أيام القادمة</v>
      </c>
      <c r="F37" s="3" t="str">
        <f>IFERROR(__xludf.DUMMYFUNCTION("GoogleTranslate(C37, ""en"", ""hy"")"),"Հաջորդ 7 օր")</f>
        <v>Հաջորդ 7 օր</v>
      </c>
      <c r="G37" s="3" t="str">
        <f>IFERROR(__xludf.DUMMYFUNCTION("GoogleTranslate(C37, ""en"", ""vi"")"),"7 ngày tiếp theo")</f>
        <v>7 ngày tiếp theo</v>
      </c>
      <c r="H37" s="3" t="str">
        <f>IFERROR(__xludf.DUMMYFUNCTION("GoogleTranslate(C37, ""en"", ""az"")"),"Növbəti 7 gün")</f>
        <v>Növbəti 7 gün</v>
      </c>
      <c r="I37" s="3" t="str">
        <f>IFERROR(__xludf.DUMMYFUNCTION("GoogleTranslate(C37, ""en"", ""eu"")"),"Hurrengo 7 egunetan")</f>
        <v>Hurrengo 7 egunetan</v>
      </c>
      <c r="J37" s="3" t="str">
        <f>IFERROR(__xludf.DUMMYFUNCTION("GoogleTranslate(C37, ""en"", ""be"")"),"Наступныя 7 дзён")</f>
        <v>Наступныя 7 дзён</v>
      </c>
      <c r="K37" s="3" t="str">
        <f>IFERROR(__xludf.DUMMYFUNCTION("GoogleTranslate(C37, ""en"", ""bn"")"),"পরের ৭ দিন")</f>
        <v>পরের ৭ দিন</v>
      </c>
      <c r="L37" s="3" t="str">
        <f>IFERROR(__xludf.DUMMYFUNCTION("GoogleTranslate(C37, ""en"", ""bg"")"),"Следващите 7 дни")</f>
        <v>Следващите 7 дни</v>
      </c>
      <c r="M37" s="3" t="str">
        <f>IFERROR(__xludf.DUMMYFUNCTION("GoogleTranslate(C37, ""en"", ""my"")"),"နောက် ၇ ရက်")</f>
        <v>နောက် ၇ ရက်</v>
      </c>
      <c r="N37" s="3" t="str">
        <f>IFERROR(__xludf.DUMMYFUNCTION("GoogleTranslate(C37, ""en"", ""ca"")"),"Els propers 7 dies")</f>
        <v>Els propers 7 dies</v>
      </c>
      <c r="O37" s="3" t="str">
        <f>IFERROR(__xludf.DUMMYFUNCTION("GoogleTranslate(C37, ""en"", ""zh-cn"")"),"未来 7 天")</f>
        <v>未来 7 天</v>
      </c>
      <c r="P37" s="3" t="str">
        <f>IFERROR(__xludf.DUMMYFUNCTION("GoogleTranslate(C37, ""en"", ""zh-TW"")"),"未來 7 天")</f>
        <v>未來 7 天</v>
      </c>
      <c r="Q37" s="3" t="str">
        <f>IFERROR(__xludf.DUMMYFUNCTION("GoogleTranslate(C37, ""en"", ""hr"")"),"Sljedećih 7 dana")</f>
        <v>Sljedećih 7 dana</v>
      </c>
      <c r="R37" s="3" t="str">
        <f>IFERROR(__xludf.DUMMYFUNCTION("GoogleTranslate(C37, ""en"", ""cs"")"),"Dalších 7 dní")</f>
        <v>Dalších 7 dní</v>
      </c>
      <c r="S37" s="3" t="str">
        <f>IFERROR(__xludf.DUMMYFUNCTION("GoogleTranslate(C37, ""en"", ""da"")"),"Næste 7 dage")</f>
        <v>Næste 7 dage</v>
      </c>
      <c r="T37" s="3" t="str">
        <f>IFERROR(__xludf.DUMMYFUNCTION("GoogleTranslate(C37, ""en"", ""nl"")"),"Volgende 7 dagen")</f>
        <v>Volgende 7 dagen</v>
      </c>
      <c r="U37" s="3" t="str">
        <f>IFERROR(__xludf.DUMMYFUNCTION("GoogleTranslate(C37, ""en"", ""et"")"),"Järgmised 7 päeva")</f>
        <v>Järgmised 7 päeva</v>
      </c>
      <c r="V37" s="1" t="str">
        <f t="shared" si="3"/>
        <v>Next 7 days</v>
      </c>
      <c r="W37" s="3" t="str">
        <f>IFERROR(__xludf.DUMMYFUNCTION("GoogleTranslate(C37, ""en"", ""fi"")"),"Seuraavat 7 päivää")</f>
        <v>Seuraavat 7 päivää</v>
      </c>
      <c r="X37" s="3" t="str">
        <f>IFERROR(__xludf.DUMMYFUNCTION("GoogleTranslate(C37, ""en"", ""fr"")"),"7 prochains jours")</f>
        <v>7 prochains jours</v>
      </c>
      <c r="Y37" s="3" t="str">
        <f>IFERROR(__xludf.DUMMYFUNCTION("GoogleTranslate(C37, ""en"", ""de"")"),"Nächste 7 Tage")</f>
        <v>Nächste 7 Tage</v>
      </c>
      <c r="Z37" s="3" t="str">
        <f>IFERROR(__xludf.DUMMYFUNCTION("GoogleTranslate(C37, ""en"", ""el"")"),"Οι επόμενες 7 ημέρες")</f>
        <v>Οι επόμενες 7 ημέρες</v>
      </c>
      <c r="AA37" s="3" t="str">
        <f>IFERROR(__xludf.DUMMYFUNCTION("GoogleTranslate(C37, ""en"", ""iw"")"),"7 הימים הבאים")</f>
        <v>7 הימים הבאים</v>
      </c>
      <c r="AB37" s="3" t="str">
        <f>IFERROR(__xludf.DUMMYFUNCTION("GoogleTranslate(C37, ""en"", ""hi"")"),"अगले 7 दिन")</f>
        <v>अगले 7 दिन</v>
      </c>
      <c r="AC37" s="3" t="str">
        <f>IFERROR(__xludf.DUMMYFUNCTION("GoogleTranslate(C37, ""en"", ""hu"")"),"Következő 7 nap")</f>
        <v>Következő 7 nap</v>
      </c>
      <c r="AD37" s="3" t="str">
        <f>IFERROR(__xludf.DUMMYFUNCTION("GoogleTranslate(C37, ""en"", ""is"")"),"Næstu 7 dagar")</f>
        <v>Næstu 7 dagar</v>
      </c>
      <c r="AE37" s="3" t="str">
        <f>IFERROR(__xludf.DUMMYFUNCTION("GoogleTranslate(C37, ""en"", ""id"")"),"7 hari berikutnya")</f>
        <v>7 hari berikutnya</v>
      </c>
      <c r="AF37" s="3" t="str">
        <f>IFERROR(__xludf.DUMMYFUNCTION("GoogleTranslate(C37, ""en"", ""in"")"),"7 hari berikutnya")</f>
        <v>7 hari berikutnya</v>
      </c>
      <c r="AG37" s="3" t="str">
        <f>IFERROR(__xludf.DUMMYFUNCTION("GoogleTranslate(C37, ""en"", ""it"")"),"Prossimi 7 giorni")</f>
        <v>Prossimi 7 giorni</v>
      </c>
      <c r="AH37" s="3" t="str">
        <f>IFERROR(__xludf.DUMMYFUNCTION("GoogleTranslate(C37, ""en"", ""ja"")"),"次の 7 日間")</f>
        <v>次の 7 日間</v>
      </c>
      <c r="AI37" s="3" t="str">
        <f>IFERROR(__xludf.DUMMYFUNCTION("GoogleTranslate(C37, ""en"", ""kn"")"),"ಮುಂದಿನ 7 ದಿನಗಳು")</f>
        <v>ಮುಂದಿನ 7 ದಿನಗಳು</v>
      </c>
      <c r="AJ37" s="3" t="str">
        <f>IFERROR(__xludf.DUMMYFUNCTION("GoogleTranslate(C37, ""en"", ""km"")"),"7 ថ្ងៃបន្ទាប់")</f>
        <v>7 ថ្ងៃបន្ទាប់</v>
      </c>
      <c r="AK37" s="3" t="str">
        <f>IFERROR(__xludf.DUMMYFUNCTION("GoogleTranslate(C37, ""en"", ""ko"")"),"다음 7일")</f>
        <v>다음 7일</v>
      </c>
      <c r="AL37" s="3" t="str">
        <f>IFERROR(__xludf.DUMMYFUNCTION("GoogleTranslate(C37, ""en"", ""lo"")"),"7 ມື້ຕໍ່ໄປ")</f>
        <v>7 ມື້ຕໍ່ໄປ</v>
      </c>
      <c r="AM37" s="3" t="str">
        <f>IFERROR(__xludf.DUMMYFUNCTION("GoogleTranslate(C37, ""en"", ""lv"")"),"Nākamās 7 dienas")</f>
        <v>Nākamās 7 dienas</v>
      </c>
      <c r="AN37" s="3" t="str">
        <f>IFERROR(__xludf.DUMMYFUNCTION("GoogleTranslate(C37, ""en"", ""lt"")"),"Kitas 7 dienas")</f>
        <v>Kitas 7 dienas</v>
      </c>
      <c r="AO37" s="3" t="str">
        <f>IFERROR(__xludf.DUMMYFUNCTION("GoogleTranslate(C37, ""en"", ""mk"")"),"Следните 7 дена")</f>
        <v>Следните 7 дена</v>
      </c>
      <c r="AP37" s="3" t="str">
        <f>IFERROR(__xludf.DUMMYFUNCTION("GoogleTranslate(C37, ""en"", ""ms"")"),"7 hari seterusnya")</f>
        <v>7 hari seterusnya</v>
      </c>
      <c r="AQ37" s="3" t="str">
        <f>IFERROR(__xludf.DUMMYFUNCTION("GoogleTranslate(C37, ""en"", ""ml"")"),"അടുത്ത 7 ദിവസം")</f>
        <v>അടുത്ത 7 ദിവസം</v>
      </c>
      <c r="AR37" s="3" t="str">
        <f>IFERROR(__xludf.DUMMYFUNCTION("GoogleTranslate(C37, ""en"", ""mr"")"),"पुढील 7 दिवस")</f>
        <v>पुढील 7 दिवस</v>
      </c>
      <c r="AS37" s="3" t="str">
        <f>IFERROR(__xludf.DUMMYFUNCTION("GoogleTranslate(C37, ""en"", ""mn"")"),"Дараагийн 7 хоног")</f>
        <v>Дараагийн 7 хоног</v>
      </c>
      <c r="AT37" s="3" t="str">
        <f>IFERROR(__xludf.DUMMYFUNCTION("GoogleTranslate(C37, ""en"", ""ne"")"),"अर्को ७ दिन")</f>
        <v>अर्को ७ दिन</v>
      </c>
      <c r="AU37" s="3" t="str">
        <f>IFERROR(__xludf.DUMMYFUNCTION("GoogleTranslate(C37, ""en"", ""nb"")"),"Neste 7 dager")</f>
        <v>Neste 7 dager</v>
      </c>
      <c r="AV37" s="3" t="str">
        <f>IFERROR(__xludf.DUMMYFUNCTION("GoogleTranslate(C37, ""en"", ""fa"")"),"7 روز آینده")</f>
        <v>7 روز آینده</v>
      </c>
      <c r="AW37" s="3" t="str">
        <f>IFERROR(__xludf.DUMMYFUNCTION("GoogleTranslate(C37, ""en"", ""pl"")"),"Następne 7 dni")</f>
        <v>Następne 7 dni</v>
      </c>
      <c r="AX37" s="3" t="str">
        <f>IFERROR(__xludf.DUMMYFUNCTION("GoogleTranslate(C37, ""en"", ""pt"")"),"Próximos 7 dias")</f>
        <v>Próximos 7 dias</v>
      </c>
      <c r="AY37" s="3" t="str">
        <f>IFERROR(__xludf.DUMMYFUNCTION("GoogleTranslate(C37, ""en"", ""ro"")"),"Următoarele 7 zile")</f>
        <v>Următoarele 7 zile</v>
      </c>
      <c r="AZ37" s="3" t="str">
        <f>IFERROR(__xludf.DUMMYFUNCTION("GoogleTranslate(C37, ""en"", ""ru"")"),"Следующие 7 дней")</f>
        <v>Следующие 7 дней</v>
      </c>
      <c r="BA37" s="3" t="str">
        <f>IFERROR(__xludf.DUMMYFUNCTION("GoogleTranslate(C37, ""en"", ""sr"")"),"Следећих 7 дана")</f>
        <v>Следећих 7 дана</v>
      </c>
      <c r="BB37" s="3" t="str">
        <f>IFERROR(__xludf.DUMMYFUNCTION("GoogleTranslate(C37, ""en"", ""si"")"),"ඉදිරි දින 7")</f>
        <v>ඉදිරි දින 7</v>
      </c>
      <c r="BC37" s="3" t="str">
        <f>IFERROR(__xludf.DUMMYFUNCTION("GoogleTranslate(C37, ""en"", ""sk"")"),"Ďalších 7 dní")</f>
        <v>Ďalších 7 dní</v>
      </c>
      <c r="BD37" s="3" t="str">
        <f>IFERROR(__xludf.DUMMYFUNCTION("GoogleTranslate(C37, ""en"", ""sl"")"),"Naslednjih 7 dni")</f>
        <v>Naslednjih 7 dni</v>
      </c>
      <c r="BE37" s="3" t="str">
        <f>IFERROR(__xludf.DUMMYFUNCTION("GoogleTranslate(C37, ""en"", ""es"")"),"Los próximos 7 días")</f>
        <v>Los próximos 7 días</v>
      </c>
      <c r="BF37" s="3" t="str">
        <f>IFERROR(__xludf.DUMMYFUNCTION("GoogleTranslate(C37, ""en"", ""sw"")"),"Siku 7 zijazo")</f>
        <v>Siku 7 zijazo</v>
      </c>
      <c r="BG37" s="3" t="str">
        <f>IFERROR(__xludf.DUMMYFUNCTION("GoogleTranslate(C37, ""en"", ""sv"")"),"Nästa 7 dagar")</f>
        <v>Nästa 7 dagar</v>
      </c>
      <c r="BH37" s="3" t="str">
        <f>IFERROR(__xludf.DUMMYFUNCTION("GoogleTranslate(C37, ""en"", ""te"")"),"తదుపరి 7 రోజులు")</f>
        <v>తదుపరి 7 రోజులు</v>
      </c>
      <c r="BI37" s="3" t="str">
        <f>IFERROR(__xludf.DUMMYFUNCTION("GoogleTranslate(C37, ""en"", ""th"")"),"อีก 7 วันข้างหน้า")</f>
        <v>อีก 7 วันข้างหน้า</v>
      </c>
      <c r="BJ37" s="3" t="str">
        <f>IFERROR(__xludf.DUMMYFUNCTION("GoogleTranslate(C37, ""en"", ""tr"")"),"Sonraki 7 gün")</f>
        <v>Sonraki 7 gün</v>
      </c>
      <c r="BK37" s="3" t="str">
        <f>IFERROR(__xludf.DUMMYFUNCTION("GoogleTranslate(C37, ""en"", ""uk"")"),"Наступні 7 днів")</f>
        <v>Наступні 7 днів</v>
      </c>
      <c r="BL37" s="3" t="str">
        <f>IFERROR(__xludf.DUMMYFUNCTION("GoogleTranslate(C37, ""en"", ""zu"")"),"Izinsuku eziyi-7 ezilandelayo")</f>
        <v>Izinsuku eziyi-7 ezilandelayo</v>
      </c>
    </row>
    <row r="38">
      <c r="A38" s="1" t="str">
        <f t="shared" si="1"/>
        <v>Next_30_days</v>
      </c>
      <c r="B38" s="4" t="s">
        <v>100</v>
      </c>
      <c r="C38" s="1" t="str">
        <f t="shared" si="2"/>
        <v>Next 30 days</v>
      </c>
      <c r="D38" s="3" t="str">
        <f>IFERROR(__xludf.DUMMYFUNCTION("GoogleTranslate(C38, ""en"", ""es"")"),"Los próximos 30 días")</f>
        <v>Los próximos 30 días</v>
      </c>
      <c r="E38" s="3" t="str">
        <f>IFERROR(__xludf.DUMMYFUNCTION("GoogleTranslate(C38, ""en"", ""ar"")"),"الثلاثين يومًا القادمة")</f>
        <v>الثلاثين يومًا القادمة</v>
      </c>
      <c r="F38" s="3" t="str">
        <f>IFERROR(__xludf.DUMMYFUNCTION("GoogleTranslate(C38, ""en"", ""hy"")"),"Հաջորդ 30 օր")</f>
        <v>Հաջորդ 30 օր</v>
      </c>
      <c r="G38" s="3" t="str">
        <f>IFERROR(__xludf.DUMMYFUNCTION("GoogleTranslate(C38, ""en"", ""vi"")"),"30 ngày tiếp theo")</f>
        <v>30 ngày tiếp theo</v>
      </c>
      <c r="H38" s="3" t="str">
        <f>IFERROR(__xludf.DUMMYFUNCTION("GoogleTranslate(C38, ""en"", ""az"")"),"Növbəti 30 gün")</f>
        <v>Növbəti 30 gün</v>
      </c>
      <c r="I38" s="3" t="str">
        <f>IFERROR(__xludf.DUMMYFUNCTION("GoogleTranslate(C38, ""en"", ""eu"")"),"Hurrengo 30 egunetan")</f>
        <v>Hurrengo 30 egunetan</v>
      </c>
      <c r="J38" s="3" t="str">
        <f>IFERROR(__xludf.DUMMYFUNCTION("GoogleTranslate(C38, ""en"", ""be"")"),"Наступныя 30 дзён")</f>
        <v>Наступныя 30 дзён</v>
      </c>
      <c r="K38" s="3" t="str">
        <f>IFERROR(__xludf.DUMMYFUNCTION("GoogleTranslate(C38, ""en"", ""bn"")"),"পরবর্তী 30 দিন")</f>
        <v>পরবর্তী 30 দিন</v>
      </c>
      <c r="L38" s="3" t="str">
        <f>IFERROR(__xludf.DUMMYFUNCTION("GoogleTranslate(C38, ""en"", ""bg"")"),"Следващите 30 дни")</f>
        <v>Следващите 30 дни</v>
      </c>
      <c r="M38" s="3" t="str">
        <f>IFERROR(__xludf.DUMMYFUNCTION("GoogleTranslate(C38, ""en"", ""my"")"),"နောက်ရက် 30")</f>
        <v>နောက်ရက် 30</v>
      </c>
      <c r="N38" s="3" t="str">
        <f>IFERROR(__xludf.DUMMYFUNCTION("GoogleTranslate(C38, ""en"", ""ca"")"),"Els propers 30 dies")</f>
        <v>Els propers 30 dies</v>
      </c>
      <c r="O38" s="3" t="str">
        <f>IFERROR(__xludf.DUMMYFUNCTION("GoogleTranslate(C38, ""en"", ""zh-cn"")"),"未来 30 天")</f>
        <v>未来 30 天</v>
      </c>
      <c r="P38" s="3" t="str">
        <f>IFERROR(__xludf.DUMMYFUNCTION("GoogleTranslate(C38, ""en"", ""zh-TW"")"),"未來 30 天")</f>
        <v>未來 30 天</v>
      </c>
      <c r="Q38" s="3" t="str">
        <f>IFERROR(__xludf.DUMMYFUNCTION("GoogleTranslate(C38, ""en"", ""hr"")"),"Sljedećih 30 dana")</f>
        <v>Sljedećih 30 dana</v>
      </c>
      <c r="R38" s="3" t="str">
        <f>IFERROR(__xludf.DUMMYFUNCTION("GoogleTranslate(C38, ""en"", ""cs"")"),"Dalších 30 dní")</f>
        <v>Dalších 30 dní</v>
      </c>
      <c r="S38" s="3" t="str">
        <f>IFERROR(__xludf.DUMMYFUNCTION("GoogleTranslate(C38, ""en"", ""da"")"),"Næste 30 dage")</f>
        <v>Næste 30 dage</v>
      </c>
      <c r="T38" s="3" t="str">
        <f>IFERROR(__xludf.DUMMYFUNCTION("GoogleTranslate(C38, ""en"", ""nl"")"),"Volgende 30 dagen")</f>
        <v>Volgende 30 dagen</v>
      </c>
      <c r="U38" s="3" t="str">
        <f>IFERROR(__xludf.DUMMYFUNCTION("GoogleTranslate(C38, ""en"", ""et"")"),"Järgmised 30 päeva")</f>
        <v>Järgmised 30 päeva</v>
      </c>
      <c r="V38" s="1" t="str">
        <f t="shared" si="3"/>
        <v>Next 30 days</v>
      </c>
      <c r="W38" s="3" t="str">
        <f>IFERROR(__xludf.DUMMYFUNCTION("GoogleTranslate(C38, ""en"", ""fi"")"),"Seuraavat 30 päivää")</f>
        <v>Seuraavat 30 päivää</v>
      </c>
      <c r="X38" s="3" t="str">
        <f>IFERROR(__xludf.DUMMYFUNCTION("GoogleTranslate(C38, ""en"", ""fr"")"),"30 prochains jours")</f>
        <v>30 prochains jours</v>
      </c>
      <c r="Y38" s="3" t="str">
        <f>IFERROR(__xludf.DUMMYFUNCTION("GoogleTranslate(C38, ""en"", ""de"")"),"Nächste 30 Tage")</f>
        <v>Nächste 30 Tage</v>
      </c>
      <c r="Z38" s="3" t="str">
        <f>IFERROR(__xludf.DUMMYFUNCTION("GoogleTranslate(C38, ""en"", ""el"")"),"Οι επόμενες 30 ημέρες")</f>
        <v>Οι επόμενες 30 ημέρες</v>
      </c>
      <c r="AA38" s="3" t="str">
        <f>IFERROR(__xludf.DUMMYFUNCTION("GoogleTranslate(C38, ""en"", ""iw"")"),"30 הימים הבאים")</f>
        <v>30 הימים הבאים</v>
      </c>
      <c r="AB38" s="3" t="str">
        <f>IFERROR(__xludf.DUMMYFUNCTION("GoogleTranslate(C38, ""en"", ""hi"")"),"अगले 30 दिन")</f>
        <v>अगले 30 दिन</v>
      </c>
      <c r="AC38" s="3" t="str">
        <f>IFERROR(__xludf.DUMMYFUNCTION("GoogleTranslate(C38, ""en"", ""hu"")"),"Következő 30 nap")</f>
        <v>Következő 30 nap</v>
      </c>
      <c r="AD38" s="3" t="str">
        <f>IFERROR(__xludf.DUMMYFUNCTION("GoogleTranslate(C38, ""en"", ""is"")"),"Næstu 30 dagar")</f>
        <v>Næstu 30 dagar</v>
      </c>
      <c r="AE38" s="3" t="str">
        <f>IFERROR(__xludf.DUMMYFUNCTION("GoogleTranslate(C38, ""en"", ""id"")"),"30 hari berikutnya")</f>
        <v>30 hari berikutnya</v>
      </c>
      <c r="AF38" s="3" t="str">
        <f>IFERROR(__xludf.DUMMYFUNCTION("GoogleTranslate(C38, ""en"", ""in"")"),"30 hari berikutnya")</f>
        <v>30 hari berikutnya</v>
      </c>
      <c r="AG38" s="3" t="str">
        <f>IFERROR(__xludf.DUMMYFUNCTION("GoogleTranslate(C38, ""en"", ""it"")"),"Prossimi 30 giorni")</f>
        <v>Prossimi 30 giorni</v>
      </c>
      <c r="AH38" s="3" t="str">
        <f>IFERROR(__xludf.DUMMYFUNCTION("GoogleTranslate(C38, ""en"", ""ja"")"),"今後 30 日間")</f>
        <v>今後 30 日間</v>
      </c>
      <c r="AI38" s="3" t="str">
        <f>IFERROR(__xludf.DUMMYFUNCTION("GoogleTranslate(C38, ""en"", ""kn"")"),"ಮುಂದಿನ 30 ದಿನಗಳು")</f>
        <v>ಮುಂದಿನ 30 ದಿನಗಳು</v>
      </c>
      <c r="AJ38" s="3" t="str">
        <f>IFERROR(__xludf.DUMMYFUNCTION("GoogleTranslate(C38, ""en"", ""km"")"),"30 ថ្ងៃបន្ទាប់")</f>
        <v>30 ថ្ងៃបន្ទាប់</v>
      </c>
      <c r="AK38" s="3" t="str">
        <f>IFERROR(__xludf.DUMMYFUNCTION("GoogleTranslate(C38, ""en"", ""ko"")"),"다음 30일")</f>
        <v>다음 30일</v>
      </c>
      <c r="AL38" s="3" t="str">
        <f>IFERROR(__xludf.DUMMYFUNCTION("GoogleTranslate(C38, ""en"", ""lo"")"),"30 ມື້ຕໍ່ໄປ")</f>
        <v>30 ມື້ຕໍ່ໄປ</v>
      </c>
      <c r="AM38" s="3" t="str">
        <f>IFERROR(__xludf.DUMMYFUNCTION("GoogleTranslate(C38, ""en"", ""lv"")"),"Nākamās 30 dienas")</f>
        <v>Nākamās 30 dienas</v>
      </c>
      <c r="AN38" s="3" t="str">
        <f>IFERROR(__xludf.DUMMYFUNCTION("GoogleTranslate(C38, ""en"", ""lt"")"),"Kitas 30 dienų")</f>
        <v>Kitas 30 dienų</v>
      </c>
      <c r="AO38" s="3" t="str">
        <f>IFERROR(__xludf.DUMMYFUNCTION("GoogleTranslate(C38, ""en"", ""mk"")"),"Следните 30 дена")</f>
        <v>Следните 30 дена</v>
      </c>
      <c r="AP38" s="3" t="str">
        <f>IFERROR(__xludf.DUMMYFUNCTION("GoogleTranslate(C38, ""en"", ""ms"")"),"30 hari seterusnya")</f>
        <v>30 hari seterusnya</v>
      </c>
      <c r="AQ38" s="3" t="str">
        <f>IFERROR(__xludf.DUMMYFUNCTION("GoogleTranslate(C38, ""en"", ""ml"")"),"അടുത്ത 30 ദിവസം")</f>
        <v>അടുത്ത 30 ദിവസം</v>
      </c>
      <c r="AR38" s="3" t="str">
        <f>IFERROR(__xludf.DUMMYFUNCTION("GoogleTranslate(C38, ""en"", ""mr"")"),"पुढील 30 दिवस")</f>
        <v>पुढील 30 दिवस</v>
      </c>
      <c r="AS38" s="3" t="str">
        <f>IFERROR(__xludf.DUMMYFUNCTION("GoogleTranslate(C38, ""en"", ""mn"")"),"Дараагийн 30 хоног")</f>
        <v>Дараагийн 30 хоног</v>
      </c>
      <c r="AT38" s="3" t="str">
        <f>IFERROR(__xludf.DUMMYFUNCTION("GoogleTranslate(C38, ""en"", ""ne"")"),"अर्को 30 दिन")</f>
        <v>अर्को 30 दिन</v>
      </c>
      <c r="AU38" s="3" t="str">
        <f>IFERROR(__xludf.DUMMYFUNCTION("GoogleTranslate(C38, ""en"", ""nb"")"),"Neste 30 dager")</f>
        <v>Neste 30 dager</v>
      </c>
      <c r="AV38" s="3" t="str">
        <f>IFERROR(__xludf.DUMMYFUNCTION("GoogleTranslate(C38, ""en"", ""fa"")"),"30 روز آینده")</f>
        <v>30 روز آینده</v>
      </c>
      <c r="AW38" s="3" t="str">
        <f>IFERROR(__xludf.DUMMYFUNCTION("GoogleTranslate(C38, ""en"", ""pl"")"),"Następne 30 dni")</f>
        <v>Następne 30 dni</v>
      </c>
      <c r="AX38" s="3" t="str">
        <f>IFERROR(__xludf.DUMMYFUNCTION("GoogleTranslate(C38, ""en"", ""pt"")"),"Próximos 30 dias")</f>
        <v>Próximos 30 dias</v>
      </c>
      <c r="AY38" s="3" t="str">
        <f>IFERROR(__xludf.DUMMYFUNCTION("GoogleTranslate(C38, ""en"", ""ro"")"),"Următoarele 30 de zile")</f>
        <v>Următoarele 30 de zile</v>
      </c>
      <c r="AZ38" s="3" t="str">
        <f>IFERROR(__xludf.DUMMYFUNCTION("GoogleTranslate(C38, ""en"", ""ru"")"),"Следующие 30 дней")</f>
        <v>Следующие 30 дней</v>
      </c>
      <c r="BA38" s="3" t="str">
        <f>IFERROR(__xludf.DUMMYFUNCTION("GoogleTranslate(C38, ""en"", ""sr"")"),"Следећих 30 дана")</f>
        <v>Следећих 30 дана</v>
      </c>
      <c r="BB38" s="3" t="str">
        <f>IFERROR(__xludf.DUMMYFUNCTION("GoogleTranslate(C38, ""en"", ""si"")"),"ඉදිරි දින 30")</f>
        <v>ඉදිරි දින 30</v>
      </c>
      <c r="BC38" s="3" t="str">
        <f>IFERROR(__xludf.DUMMYFUNCTION("GoogleTranslate(C38, ""en"", ""sk"")"),"Ďalších 30 dní")</f>
        <v>Ďalších 30 dní</v>
      </c>
      <c r="BD38" s="3" t="str">
        <f>IFERROR(__xludf.DUMMYFUNCTION("GoogleTranslate(C38, ""en"", ""sl"")"),"Naslednjih 30 dni")</f>
        <v>Naslednjih 30 dni</v>
      </c>
      <c r="BE38" s="3" t="str">
        <f>IFERROR(__xludf.DUMMYFUNCTION("GoogleTranslate(C38, ""en"", ""es"")"),"Los próximos 30 días")</f>
        <v>Los próximos 30 días</v>
      </c>
      <c r="BF38" s="3" t="str">
        <f>IFERROR(__xludf.DUMMYFUNCTION("GoogleTranslate(C38, ""en"", ""sw"")"),"Siku 30 zijazo")</f>
        <v>Siku 30 zijazo</v>
      </c>
      <c r="BG38" s="3" t="str">
        <f>IFERROR(__xludf.DUMMYFUNCTION("GoogleTranslate(C38, ""en"", ""sv"")"),"Nästa 30 dagar")</f>
        <v>Nästa 30 dagar</v>
      </c>
      <c r="BH38" s="3" t="str">
        <f>IFERROR(__xludf.DUMMYFUNCTION("GoogleTranslate(C38, ""en"", ""te"")"),"తదుపరి 30 రోజులు")</f>
        <v>తదుపరి 30 రోజులు</v>
      </c>
      <c r="BI38" s="3" t="str">
        <f>IFERROR(__xludf.DUMMYFUNCTION("GoogleTranslate(C38, ""en"", ""th"")"),"30 วันถัดไป")</f>
        <v>30 วันถัดไป</v>
      </c>
      <c r="BJ38" s="3" t="str">
        <f>IFERROR(__xludf.DUMMYFUNCTION("GoogleTranslate(C38, ""en"", ""tr"")"),"Sonraki 30 gün")</f>
        <v>Sonraki 30 gün</v>
      </c>
      <c r="BK38" s="3" t="str">
        <f>IFERROR(__xludf.DUMMYFUNCTION("GoogleTranslate(C38, ""en"", ""uk"")"),"Наступні 30 днів")</f>
        <v>Наступні 30 днів</v>
      </c>
      <c r="BL38" s="3" t="str">
        <f>IFERROR(__xludf.DUMMYFUNCTION("GoogleTranslate(C38, ""en"", ""zu"")"),"Izinsuku ezingu-30 ezilandelayo")</f>
        <v>Izinsuku ezingu-30 ezilandelayo</v>
      </c>
    </row>
    <row r="39">
      <c r="A39" s="1" t="str">
        <f t="shared" si="1"/>
        <v>Radar</v>
      </c>
      <c r="B39" s="4" t="s">
        <v>101</v>
      </c>
      <c r="C39" s="1" t="str">
        <f t="shared" si="2"/>
        <v>Radar</v>
      </c>
      <c r="D39" s="3" t="str">
        <f>IFERROR(__xludf.DUMMYFUNCTION("GoogleTranslate(C39, ""en"", ""es"")"),"Radar")</f>
        <v>Radar</v>
      </c>
      <c r="E39" s="3" t="str">
        <f>IFERROR(__xludf.DUMMYFUNCTION("GoogleTranslate(C39, ""en"", ""ar"")"),"رادار")</f>
        <v>رادار</v>
      </c>
      <c r="F39" s="3" t="str">
        <f>IFERROR(__xludf.DUMMYFUNCTION("GoogleTranslate(C39, ""en"", ""hy"")"),"Ռադար")</f>
        <v>Ռադար</v>
      </c>
      <c r="G39" s="3" t="str">
        <f>IFERROR(__xludf.DUMMYFUNCTION("GoogleTranslate(C39, ""en"", ""vi"")"),"ra đa")</f>
        <v>ra đa</v>
      </c>
      <c r="H39" s="3" t="str">
        <f>IFERROR(__xludf.DUMMYFUNCTION("GoogleTranslate(C39, ""en"", ""az"")"),"Radar")</f>
        <v>Radar</v>
      </c>
      <c r="I39" s="3" t="str">
        <f>IFERROR(__xludf.DUMMYFUNCTION("GoogleTranslate(C39, ""en"", ""eu"")"),"Radarra")</f>
        <v>Radarra</v>
      </c>
      <c r="J39" s="3" t="str">
        <f>IFERROR(__xludf.DUMMYFUNCTION("GoogleTranslate(C39, ""en"", ""be"")"),"Радар")</f>
        <v>Радар</v>
      </c>
      <c r="K39" s="3" t="str">
        <f>IFERROR(__xludf.DUMMYFUNCTION("GoogleTranslate(C39, ""en"", ""bn"")"),"রাডার")</f>
        <v>রাডার</v>
      </c>
      <c r="L39" s="3" t="str">
        <f>IFERROR(__xludf.DUMMYFUNCTION("GoogleTranslate(C39, ""en"", ""bg"")"),"Радар")</f>
        <v>Радар</v>
      </c>
      <c r="M39" s="3" t="str">
        <f>IFERROR(__xludf.DUMMYFUNCTION("GoogleTranslate(C39, ""en"", ""my"")"),"ရေဒါ")</f>
        <v>ရေဒါ</v>
      </c>
      <c r="N39" s="3" t="str">
        <f>IFERROR(__xludf.DUMMYFUNCTION("GoogleTranslate(C39, ""en"", ""ca"")"),"Radar")</f>
        <v>Radar</v>
      </c>
      <c r="O39" s="3" t="str">
        <f>IFERROR(__xludf.DUMMYFUNCTION("GoogleTranslate(C39, ""en"", ""zh-cn"")"),"雷达")</f>
        <v>雷达</v>
      </c>
      <c r="P39" s="3" t="str">
        <f>IFERROR(__xludf.DUMMYFUNCTION("GoogleTranslate(C39, ""en"", ""zh-TW"")"),"雷達")</f>
        <v>雷達</v>
      </c>
      <c r="Q39" s="3" t="str">
        <f>IFERROR(__xludf.DUMMYFUNCTION("GoogleTranslate(C39, ""en"", ""hr"")"),"Radar")</f>
        <v>Radar</v>
      </c>
      <c r="R39" s="3" t="str">
        <f>IFERROR(__xludf.DUMMYFUNCTION("GoogleTranslate(C39, ""en"", ""cs"")"),"Radar")</f>
        <v>Radar</v>
      </c>
      <c r="S39" s="3" t="str">
        <f>IFERROR(__xludf.DUMMYFUNCTION("GoogleTranslate(C39, ""en"", ""da"")"),"Radar")</f>
        <v>Radar</v>
      </c>
      <c r="T39" s="3" t="str">
        <f>IFERROR(__xludf.DUMMYFUNCTION("GoogleTranslate(C39, ""en"", ""nl"")"),"Radar")</f>
        <v>Radar</v>
      </c>
      <c r="U39" s="3" t="str">
        <f>IFERROR(__xludf.DUMMYFUNCTION("GoogleTranslate(C39, ""en"", ""et"")"),"Radar")</f>
        <v>Radar</v>
      </c>
      <c r="V39" s="1" t="str">
        <f t="shared" si="3"/>
        <v>Radar</v>
      </c>
      <c r="W39" s="3" t="str">
        <f>IFERROR(__xludf.DUMMYFUNCTION("GoogleTranslate(C39, ""en"", ""fi"")"),"Tutka")</f>
        <v>Tutka</v>
      </c>
      <c r="X39" s="3" t="str">
        <f>IFERROR(__xludf.DUMMYFUNCTION("GoogleTranslate(C39, ""en"", ""fr"")"),"Radar")</f>
        <v>Radar</v>
      </c>
      <c r="Y39" s="3" t="str">
        <f>IFERROR(__xludf.DUMMYFUNCTION("GoogleTranslate(C39, ""en"", ""de"")"),"Radar")</f>
        <v>Radar</v>
      </c>
      <c r="Z39" s="3" t="str">
        <f>IFERROR(__xludf.DUMMYFUNCTION("GoogleTranslate(C39, ""en"", ""el"")"),"Ραντάρ")</f>
        <v>Ραντάρ</v>
      </c>
      <c r="AA39" s="3" t="str">
        <f>IFERROR(__xludf.DUMMYFUNCTION("GoogleTranslate(C39, ""en"", ""iw"")"),"מכ""ם")</f>
        <v>מכ"ם</v>
      </c>
      <c r="AB39" s="3" t="str">
        <f>IFERROR(__xludf.DUMMYFUNCTION("GoogleTranslate(C39, ""en"", ""hi"")"),"राडार")</f>
        <v>राडार</v>
      </c>
      <c r="AC39" s="3" t="str">
        <f>IFERROR(__xludf.DUMMYFUNCTION("GoogleTranslate(C39, ""en"", ""hu"")"),"Radar")</f>
        <v>Radar</v>
      </c>
      <c r="AD39" s="3" t="str">
        <f>IFERROR(__xludf.DUMMYFUNCTION("GoogleTranslate(C39, ""en"", ""is"")"),"Ratsjá")</f>
        <v>Ratsjá</v>
      </c>
      <c r="AE39" s="3" t="str">
        <f>IFERROR(__xludf.DUMMYFUNCTION("GoogleTranslate(C39, ""en"", ""id"")"),"Radar")</f>
        <v>Radar</v>
      </c>
      <c r="AF39" s="3" t="str">
        <f>IFERROR(__xludf.DUMMYFUNCTION("GoogleTranslate(C39, ""en"", ""in"")"),"Radar")</f>
        <v>Radar</v>
      </c>
      <c r="AG39" s="3" t="str">
        <f>IFERROR(__xludf.DUMMYFUNCTION("GoogleTranslate(C39, ""en"", ""it"")"),"Radar")</f>
        <v>Radar</v>
      </c>
      <c r="AH39" s="3" t="str">
        <f>IFERROR(__xludf.DUMMYFUNCTION("GoogleTranslate(C39, ""en"", ""ja"")"),"レーダー")</f>
        <v>レーダー</v>
      </c>
      <c r="AI39" s="3" t="str">
        <f>IFERROR(__xludf.DUMMYFUNCTION("GoogleTranslate(C39, ""en"", ""kn"")"),"ರಾಡಾರ್")</f>
        <v>ರಾಡಾರ್</v>
      </c>
      <c r="AJ39" s="3" t="str">
        <f>IFERROR(__xludf.DUMMYFUNCTION("GoogleTranslate(C39, ""en"", ""km"")"),"រ៉ាដា")</f>
        <v>រ៉ាដា</v>
      </c>
      <c r="AK39" s="3" t="str">
        <f>IFERROR(__xludf.DUMMYFUNCTION("GoogleTranslate(C39, ""en"", ""ko"")"),"레이더")</f>
        <v>레이더</v>
      </c>
      <c r="AL39" s="3" t="str">
        <f>IFERROR(__xludf.DUMMYFUNCTION("GoogleTranslate(C39, ""en"", ""lo"")"),"ເຣດາ")</f>
        <v>ເຣດາ</v>
      </c>
      <c r="AM39" s="3" t="str">
        <f>IFERROR(__xludf.DUMMYFUNCTION("GoogleTranslate(C39, ""en"", ""lv"")"),"Radars")</f>
        <v>Radars</v>
      </c>
      <c r="AN39" s="3" t="str">
        <f>IFERROR(__xludf.DUMMYFUNCTION("GoogleTranslate(C39, ""en"", ""lt"")"),"Radaras")</f>
        <v>Radaras</v>
      </c>
      <c r="AO39" s="3" t="str">
        <f>IFERROR(__xludf.DUMMYFUNCTION("GoogleTranslate(C39, ""en"", ""mk"")"),"Радар")</f>
        <v>Радар</v>
      </c>
      <c r="AP39" s="3" t="str">
        <f>IFERROR(__xludf.DUMMYFUNCTION("GoogleTranslate(C39, ""en"", ""ms"")"),"Radar")</f>
        <v>Radar</v>
      </c>
      <c r="AQ39" s="3" t="str">
        <f>IFERROR(__xludf.DUMMYFUNCTION("GoogleTranslate(C39, ""en"", ""ml"")"),"റഡാർ")</f>
        <v>റഡാർ</v>
      </c>
      <c r="AR39" s="3" t="str">
        <f>IFERROR(__xludf.DUMMYFUNCTION("GoogleTranslate(C39, ""en"", ""mr"")"),"रडार")</f>
        <v>रडार</v>
      </c>
      <c r="AS39" s="3" t="str">
        <f>IFERROR(__xludf.DUMMYFUNCTION("GoogleTranslate(C39, ""en"", ""mn"")"),"Радар")</f>
        <v>Радар</v>
      </c>
      <c r="AT39" s="3" t="str">
        <f>IFERROR(__xludf.DUMMYFUNCTION("GoogleTranslate(C39, ""en"", ""ne"")"),"राडार")</f>
        <v>राडार</v>
      </c>
      <c r="AU39" s="3" t="str">
        <f>IFERROR(__xludf.DUMMYFUNCTION("GoogleTranslate(C39, ""en"", ""nb"")"),"Radar")</f>
        <v>Radar</v>
      </c>
      <c r="AV39" s="3" t="str">
        <f>IFERROR(__xludf.DUMMYFUNCTION("GoogleTranslate(C39, ""en"", ""fa"")"),"رادار")</f>
        <v>رادار</v>
      </c>
      <c r="AW39" s="3" t="str">
        <f>IFERROR(__xludf.DUMMYFUNCTION("GoogleTranslate(C39, ""en"", ""pl"")"),"Radar")</f>
        <v>Radar</v>
      </c>
      <c r="AX39" s="3" t="str">
        <f>IFERROR(__xludf.DUMMYFUNCTION("GoogleTranslate(C39, ""en"", ""pt"")"),"Radar")</f>
        <v>Radar</v>
      </c>
      <c r="AY39" s="3" t="str">
        <f>IFERROR(__xludf.DUMMYFUNCTION("GoogleTranslate(C39, ""en"", ""ro"")"),"Radar")</f>
        <v>Radar</v>
      </c>
      <c r="AZ39" s="3" t="str">
        <f>IFERROR(__xludf.DUMMYFUNCTION("GoogleTranslate(C39, ""en"", ""ru"")"),"Радар")</f>
        <v>Радар</v>
      </c>
      <c r="BA39" s="3" t="str">
        <f>IFERROR(__xludf.DUMMYFUNCTION("GoogleTranslate(C39, ""en"", ""sr"")"),"Радар")</f>
        <v>Радар</v>
      </c>
      <c r="BB39" s="3" t="str">
        <f>IFERROR(__xludf.DUMMYFUNCTION("GoogleTranslate(C39, ""en"", ""si"")"),"රේඩාර්")</f>
        <v>රේඩාර්</v>
      </c>
      <c r="BC39" s="3" t="str">
        <f>IFERROR(__xludf.DUMMYFUNCTION("GoogleTranslate(C39, ""en"", ""sk"")"),"Radar")</f>
        <v>Radar</v>
      </c>
      <c r="BD39" s="3" t="str">
        <f>IFERROR(__xludf.DUMMYFUNCTION("GoogleTranslate(C39, ""en"", ""sl"")"),"Radar")</f>
        <v>Radar</v>
      </c>
      <c r="BE39" s="3" t="str">
        <f>IFERROR(__xludf.DUMMYFUNCTION("GoogleTranslate(C39, ""en"", ""es"")"),"Radar")</f>
        <v>Radar</v>
      </c>
      <c r="BF39" s="3" t="str">
        <f>IFERROR(__xludf.DUMMYFUNCTION("GoogleTranslate(C39, ""en"", ""sw"")"),"Rada")</f>
        <v>Rada</v>
      </c>
      <c r="BG39" s="3" t="str">
        <f>IFERROR(__xludf.DUMMYFUNCTION("GoogleTranslate(C39, ""en"", ""sv"")"),"Radar")</f>
        <v>Radar</v>
      </c>
      <c r="BH39" s="3" t="str">
        <f>IFERROR(__xludf.DUMMYFUNCTION("GoogleTranslate(C39, ""en"", ""te"")"),"రాడార్")</f>
        <v>రాడార్</v>
      </c>
      <c r="BI39" s="3" t="str">
        <f>IFERROR(__xludf.DUMMYFUNCTION("GoogleTranslate(C39, ""en"", ""th"")"),"เรดาร์")</f>
        <v>เรดาร์</v>
      </c>
      <c r="BJ39" s="3" t="str">
        <f>IFERROR(__xludf.DUMMYFUNCTION("GoogleTranslate(C39, ""en"", ""tr"")"),"Radar")</f>
        <v>Radar</v>
      </c>
      <c r="BK39" s="3" t="str">
        <f>IFERROR(__xludf.DUMMYFUNCTION("GoogleTranslate(C39, ""en"", ""uk"")"),"Радар")</f>
        <v>Радар</v>
      </c>
      <c r="BL39" s="3" t="str">
        <f>IFERROR(__xludf.DUMMYFUNCTION("GoogleTranslate(C39, ""en"", ""zu"")"),"Irada")</f>
        <v>Irada</v>
      </c>
    </row>
    <row r="40">
      <c r="A40" s="1" t="str">
        <f t="shared" si="1"/>
        <v>Air_quality</v>
      </c>
      <c r="B40" s="4" t="s">
        <v>102</v>
      </c>
      <c r="C40" s="1" t="str">
        <f t="shared" si="2"/>
        <v>Air quality</v>
      </c>
      <c r="D40" s="3" t="str">
        <f>IFERROR(__xludf.DUMMYFUNCTION("GoogleTranslate(C40, ""en"", ""es"")"),"Calidad del aire")</f>
        <v>Calidad del aire</v>
      </c>
      <c r="E40" s="3" t="str">
        <f>IFERROR(__xludf.DUMMYFUNCTION("GoogleTranslate(C40, ""en"", ""ar"")"),"جودة الهواء")</f>
        <v>جودة الهواء</v>
      </c>
      <c r="F40" s="3" t="str">
        <f>IFERROR(__xludf.DUMMYFUNCTION("GoogleTranslate(C40, ""en"", ""hy"")"),"Օդի որակը")</f>
        <v>Օդի որակը</v>
      </c>
      <c r="G40" s="3" t="str">
        <f>IFERROR(__xludf.DUMMYFUNCTION("GoogleTranslate(C40, ""en"", ""vi"")"),"Chất lượng không khí")</f>
        <v>Chất lượng không khí</v>
      </c>
      <c r="H40" s="3" t="str">
        <f>IFERROR(__xludf.DUMMYFUNCTION("GoogleTranslate(C40, ""en"", ""az"")"),"Hava keyfiyyəti")</f>
        <v>Hava keyfiyyəti</v>
      </c>
      <c r="I40" s="3" t="str">
        <f>IFERROR(__xludf.DUMMYFUNCTION("GoogleTranslate(C40, ""en"", ""eu"")"),"Airearen kalitatea")</f>
        <v>Airearen kalitatea</v>
      </c>
      <c r="J40" s="3" t="str">
        <f>IFERROR(__xludf.DUMMYFUNCTION("GoogleTranslate(C40, ""en"", ""be"")"),"Якасць паветра")</f>
        <v>Якасць паветра</v>
      </c>
      <c r="K40" s="3" t="str">
        <f>IFERROR(__xludf.DUMMYFUNCTION("GoogleTranslate(C40, ""en"", ""bn"")"),"বাতাসের গুণমান")</f>
        <v>বাতাসের গুণমান</v>
      </c>
      <c r="L40" s="3" t="str">
        <f>IFERROR(__xludf.DUMMYFUNCTION("GoogleTranslate(C40, ""en"", ""bg"")"),"Качество на въздуха")</f>
        <v>Качество на въздуха</v>
      </c>
      <c r="M40" s="3" t="str">
        <f>IFERROR(__xludf.DUMMYFUNCTION("GoogleTranslate(C40, ""en"", ""my"")"),"လေအရည်အသွေး")</f>
        <v>လေအရည်အသွေး</v>
      </c>
      <c r="N40" s="3" t="str">
        <f>IFERROR(__xludf.DUMMYFUNCTION("GoogleTranslate(C40, ""en"", ""ca"")"),"Qualitat de l'aire")</f>
        <v>Qualitat de l'aire</v>
      </c>
      <c r="O40" s="3" t="str">
        <f>IFERROR(__xludf.DUMMYFUNCTION("GoogleTranslate(C40, ""en"", ""zh-cn"")"),"空气质量")</f>
        <v>空气质量</v>
      </c>
      <c r="P40" s="3" t="str">
        <f>IFERROR(__xludf.DUMMYFUNCTION("GoogleTranslate(C40, ""en"", ""zh-TW"")"),"空氣品質")</f>
        <v>空氣品質</v>
      </c>
      <c r="Q40" s="3" t="str">
        <f>IFERROR(__xludf.DUMMYFUNCTION("GoogleTranslate(C40, ""en"", ""hr"")"),"Kvaliteta zraka")</f>
        <v>Kvaliteta zraka</v>
      </c>
      <c r="R40" s="3" t="str">
        <f>IFERROR(__xludf.DUMMYFUNCTION("GoogleTranslate(C40, ""en"", ""cs"")"),"Kvalita vzduchu")</f>
        <v>Kvalita vzduchu</v>
      </c>
      <c r="S40" s="3" t="str">
        <f>IFERROR(__xludf.DUMMYFUNCTION("GoogleTranslate(C40, ""en"", ""da"")"),"Luftkvalitet")</f>
        <v>Luftkvalitet</v>
      </c>
      <c r="T40" s="3" t="str">
        <f>IFERROR(__xludf.DUMMYFUNCTION("GoogleTranslate(C40, ""en"", ""nl"")"),"Luchtkwaliteit")</f>
        <v>Luchtkwaliteit</v>
      </c>
      <c r="U40" s="3" t="str">
        <f>IFERROR(__xludf.DUMMYFUNCTION("GoogleTranslate(C40, ""en"", ""et"")"),"Õhu kvaliteet")</f>
        <v>Õhu kvaliteet</v>
      </c>
      <c r="V40" s="1" t="str">
        <f t="shared" si="3"/>
        <v>Air quality</v>
      </c>
      <c r="W40" s="3" t="str">
        <f>IFERROR(__xludf.DUMMYFUNCTION("GoogleTranslate(C40, ""en"", ""fi"")"),"Ilman laatu")</f>
        <v>Ilman laatu</v>
      </c>
      <c r="X40" s="3" t="str">
        <f>IFERROR(__xludf.DUMMYFUNCTION("GoogleTranslate(C40, ""en"", ""fr"")"),"Qualité de l'air")</f>
        <v>Qualité de l'air</v>
      </c>
      <c r="Y40" s="3" t="str">
        <f>IFERROR(__xludf.DUMMYFUNCTION("GoogleTranslate(C40, ""en"", ""de"")"),"Luftqualität")</f>
        <v>Luftqualität</v>
      </c>
      <c r="Z40" s="3" t="str">
        <f>IFERROR(__xludf.DUMMYFUNCTION("GoogleTranslate(C40, ""en"", ""el"")"),"Ποιότητα αέρα")</f>
        <v>Ποιότητα αέρα</v>
      </c>
      <c r="AA40" s="3" t="str">
        <f>IFERROR(__xludf.DUMMYFUNCTION("GoogleTranslate(C40, ""en"", ""iw"")"),"איכות אוויר")</f>
        <v>איכות אוויר</v>
      </c>
      <c r="AB40" s="3" t="str">
        <f>IFERROR(__xludf.DUMMYFUNCTION("GoogleTranslate(C40, ""en"", ""hi"")"),"वायु गुणवत्ता")</f>
        <v>वायु गुणवत्ता</v>
      </c>
      <c r="AC40" s="3" t="str">
        <f>IFERROR(__xludf.DUMMYFUNCTION("GoogleTranslate(C40, ""en"", ""hu"")"),"Levegőminőség")</f>
        <v>Levegőminőség</v>
      </c>
      <c r="AD40" s="3" t="str">
        <f>IFERROR(__xludf.DUMMYFUNCTION("GoogleTranslate(C40, ""en"", ""is"")"),"Loftgæði")</f>
        <v>Loftgæði</v>
      </c>
      <c r="AE40" s="3" t="str">
        <f>IFERROR(__xludf.DUMMYFUNCTION("GoogleTranslate(C40, ""en"", ""id"")"),"Kualitas udara")</f>
        <v>Kualitas udara</v>
      </c>
      <c r="AF40" s="3" t="str">
        <f>IFERROR(__xludf.DUMMYFUNCTION("GoogleTranslate(C40, ""en"", ""in"")"),"Kualitas udara")</f>
        <v>Kualitas udara</v>
      </c>
      <c r="AG40" s="3" t="str">
        <f>IFERROR(__xludf.DUMMYFUNCTION("GoogleTranslate(C40, ""en"", ""it"")"),"Qualità dell'aria")</f>
        <v>Qualità dell'aria</v>
      </c>
      <c r="AH40" s="3" t="str">
        <f>IFERROR(__xludf.DUMMYFUNCTION("GoogleTranslate(C40, ""en"", ""ja"")"),"空気の質")</f>
        <v>空気の質</v>
      </c>
      <c r="AI40" s="3" t="str">
        <f>IFERROR(__xludf.DUMMYFUNCTION("GoogleTranslate(C40, ""en"", ""kn"")"),"ಗಾಳಿಯ ಗುಣಮಟ್ಟ")</f>
        <v>ಗಾಳಿಯ ಗುಣಮಟ್ಟ</v>
      </c>
      <c r="AJ40" s="3" t="str">
        <f>IFERROR(__xludf.DUMMYFUNCTION("GoogleTranslate(C40, ""en"", ""km"")"),"គុណភាពខ្យល់")</f>
        <v>គុណភាពខ្យល់</v>
      </c>
      <c r="AK40" s="3" t="str">
        <f>IFERROR(__xludf.DUMMYFUNCTION("GoogleTranslate(C40, ""en"", ""ko"")"),"공기질")</f>
        <v>공기질</v>
      </c>
      <c r="AL40" s="3" t="str">
        <f>IFERROR(__xludf.DUMMYFUNCTION("GoogleTranslate(C40, ""en"", ""lo"")"),"ຄຸນນະພາບອາກາດ")</f>
        <v>ຄຸນນະພາບອາກາດ</v>
      </c>
      <c r="AM40" s="3" t="str">
        <f>IFERROR(__xludf.DUMMYFUNCTION("GoogleTranslate(C40, ""en"", ""lv"")"),"Gaisa kvalitāte")</f>
        <v>Gaisa kvalitāte</v>
      </c>
      <c r="AN40" s="3" t="str">
        <f>IFERROR(__xludf.DUMMYFUNCTION("GoogleTranslate(C40, ""en"", ""lt"")"),"Oro kokybė")</f>
        <v>Oro kokybė</v>
      </c>
      <c r="AO40" s="3" t="str">
        <f>IFERROR(__xludf.DUMMYFUNCTION("GoogleTranslate(C40, ""en"", ""mk"")"),"Квалитетот на воздухот")</f>
        <v>Квалитетот на воздухот</v>
      </c>
      <c r="AP40" s="3" t="str">
        <f>IFERROR(__xludf.DUMMYFUNCTION("GoogleTranslate(C40, ""en"", ""ms"")"),"Kualiti udara")</f>
        <v>Kualiti udara</v>
      </c>
      <c r="AQ40" s="3" t="str">
        <f>IFERROR(__xludf.DUMMYFUNCTION("GoogleTranslate(C40, ""en"", ""ml"")"),"വായു നിലവാരം")</f>
        <v>വായു നിലവാരം</v>
      </c>
      <c r="AR40" s="3" t="str">
        <f>IFERROR(__xludf.DUMMYFUNCTION("GoogleTranslate(C40, ""en"", ""mr"")"),"हवेची गुणवत्ता")</f>
        <v>हवेची गुणवत्ता</v>
      </c>
      <c r="AS40" s="3" t="str">
        <f>IFERROR(__xludf.DUMMYFUNCTION("GoogleTranslate(C40, ""en"", ""mn"")"),"Агаарын чанар")</f>
        <v>Агаарын чанар</v>
      </c>
      <c r="AT40" s="3" t="str">
        <f>IFERROR(__xludf.DUMMYFUNCTION("GoogleTranslate(C40, ""en"", ""ne"")"),"हावा गुणस्तर")</f>
        <v>हावा गुणस्तर</v>
      </c>
      <c r="AU40" s="3" t="str">
        <f>IFERROR(__xludf.DUMMYFUNCTION("GoogleTranslate(C40, ""en"", ""nb"")"),"Luftkvalitet")</f>
        <v>Luftkvalitet</v>
      </c>
      <c r="AV40" s="3" t="str">
        <f>IFERROR(__xludf.DUMMYFUNCTION("GoogleTranslate(C40, ""en"", ""fa"")"),"کیفیت هوا")</f>
        <v>کیفیت هوا</v>
      </c>
      <c r="AW40" s="3" t="str">
        <f>IFERROR(__xludf.DUMMYFUNCTION("GoogleTranslate(C40, ""en"", ""pl"")"),"Jakość powietrza")</f>
        <v>Jakość powietrza</v>
      </c>
      <c r="AX40" s="3" t="str">
        <f>IFERROR(__xludf.DUMMYFUNCTION("GoogleTranslate(C40, ""en"", ""pt"")"),"Qualidade do ar")</f>
        <v>Qualidade do ar</v>
      </c>
      <c r="AY40" s="3" t="str">
        <f>IFERROR(__xludf.DUMMYFUNCTION("GoogleTranslate(C40, ""en"", ""ro"")"),"Calitatea aerului")</f>
        <v>Calitatea aerului</v>
      </c>
      <c r="AZ40" s="3" t="str">
        <f>IFERROR(__xludf.DUMMYFUNCTION("GoogleTranslate(C40, ""en"", ""ru"")"),"Качество воздуха")</f>
        <v>Качество воздуха</v>
      </c>
      <c r="BA40" s="3" t="str">
        <f>IFERROR(__xludf.DUMMYFUNCTION("GoogleTranslate(C40, ""en"", ""sr"")"),"Квалитет ваздуха")</f>
        <v>Квалитет ваздуха</v>
      </c>
      <c r="BB40" s="3" t="str">
        <f>IFERROR(__xludf.DUMMYFUNCTION("GoogleTranslate(C40, ""en"", ""si"")"),"වාතයේ ගුණාත්මකභාවය")</f>
        <v>වාතයේ ගුණාත්මකභාවය</v>
      </c>
      <c r="BC40" s="3" t="str">
        <f>IFERROR(__xludf.DUMMYFUNCTION("GoogleTranslate(C40, ""en"", ""sk"")"),"Kvalita vzduchu")</f>
        <v>Kvalita vzduchu</v>
      </c>
      <c r="BD40" s="3" t="str">
        <f>IFERROR(__xludf.DUMMYFUNCTION("GoogleTranslate(C40, ""en"", ""sl"")"),"Kakovost zraka")</f>
        <v>Kakovost zraka</v>
      </c>
      <c r="BE40" s="3" t="str">
        <f>IFERROR(__xludf.DUMMYFUNCTION("GoogleTranslate(C40, ""en"", ""es"")"),"Calidad del aire")</f>
        <v>Calidad del aire</v>
      </c>
      <c r="BF40" s="3" t="str">
        <f>IFERROR(__xludf.DUMMYFUNCTION("GoogleTranslate(C40, ""en"", ""sw"")"),"Ubora wa hewa")</f>
        <v>Ubora wa hewa</v>
      </c>
      <c r="BG40" s="3" t="str">
        <f>IFERROR(__xludf.DUMMYFUNCTION("GoogleTranslate(C40, ""en"", ""sv"")"),"Luftkvalitet")</f>
        <v>Luftkvalitet</v>
      </c>
      <c r="BH40" s="3" t="str">
        <f>IFERROR(__xludf.DUMMYFUNCTION("GoogleTranslate(C40, ""en"", ""te"")"),"గాలి నాణ్యత")</f>
        <v>గాలి నాణ్యత</v>
      </c>
      <c r="BI40" s="3" t="str">
        <f>IFERROR(__xludf.DUMMYFUNCTION("GoogleTranslate(C40, ""en"", ""th"")"),"คุณภาพอากาศ")</f>
        <v>คุณภาพอากาศ</v>
      </c>
      <c r="BJ40" s="3" t="str">
        <f>IFERROR(__xludf.DUMMYFUNCTION("GoogleTranslate(C40, ""en"", ""tr"")"),"Hava kalitesi")</f>
        <v>Hava kalitesi</v>
      </c>
      <c r="BK40" s="3" t="str">
        <f>IFERROR(__xludf.DUMMYFUNCTION("GoogleTranslate(C40, ""en"", ""uk"")"),"Якість повітря")</f>
        <v>Якість повітря</v>
      </c>
      <c r="BL40" s="3" t="str">
        <f>IFERROR(__xludf.DUMMYFUNCTION("GoogleTranslate(C40, ""en"", ""zu"")"),"Ikhwalithi yomoya")</f>
        <v>Ikhwalithi yomoya</v>
      </c>
    </row>
    <row r="41">
      <c r="A41" s="1" t="str">
        <f t="shared" si="1"/>
        <v>Moon_phase</v>
      </c>
      <c r="B41" s="4" t="s">
        <v>103</v>
      </c>
      <c r="C41" s="1" t="str">
        <f t="shared" si="2"/>
        <v>Moon phase</v>
      </c>
      <c r="D41" s="3" t="str">
        <f>IFERROR(__xludf.DUMMYFUNCTION("GoogleTranslate(C41, ""en"", ""es"")"),"Fase lunar")</f>
        <v>Fase lunar</v>
      </c>
      <c r="E41" s="3" t="str">
        <f>IFERROR(__xludf.DUMMYFUNCTION("GoogleTranslate(C41, ""en"", ""ar"")"),"مرحلة القمر")</f>
        <v>مرحلة القمر</v>
      </c>
      <c r="F41" s="3" t="str">
        <f>IFERROR(__xludf.DUMMYFUNCTION("GoogleTranslate(C41, ""en"", ""hy"")"),"Լուսնի փուլ")</f>
        <v>Լուսնի փուլ</v>
      </c>
      <c r="G41" s="3" t="str">
        <f>IFERROR(__xludf.DUMMYFUNCTION("GoogleTranslate(C41, ""en"", ""vi"")"),"Pha mặt trăng")</f>
        <v>Pha mặt trăng</v>
      </c>
      <c r="H41" s="3" t="str">
        <f>IFERROR(__xludf.DUMMYFUNCTION("GoogleTranslate(C41, ""en"", ""az"")"),"Ay mərhələsi")</f>
        <v>Ay mərhələsi</v>
      </c>
      <c r="I41" s="3" t="str">
        <f>IFERROR(__xludf.DUMMYFUNCTION("GoogleTranslate(C41, ""en"", ""eu"")"),"Ilargi fasea")</f>
        <v>Ilargi fasea</v>
      </c>
      <c r="J41" s="3" t="str">
        <f>IFERROR(__xludf.DUMMYFUNCTION("GoogleTranslate(C41, ""en"", ""be"")"),"Фаза месяца")</f>
        <v>Фаза месяца</v>
      </c>
      <c r="K41" s="3" t="str">
        <f>IFERROR(__xludf.DUMMYFUNCTION("GoogleTranslate(C41, ""en"", ""bn"")"),"চাঁদের পর্ব")</f>
        <v>চাঁদের পর্ব</v>
      </c>
      <c r="L41" s="3" t="str">
        <f>IFERROR(__xludf.DUMMYFUNCTION("GoogleTranslate(C41, ""en"", ""bg"")"),"фаза на луната")</f>
        <v>фаза на луната</v>
      </c>
      <c r="M41" s="3" t="str">
        <f>IFERROR(__xludf.DUMMYFUNCTION("GoogleTranslate(C41, ""en"", ""my"")"),"လအဆင့်")</f>
        <v>လအဆင့်</v>
      </c>
      <c r="N41" s="3" t="str">
        <f>IFERROR(__xludf.DUMMYFUNCTION("GoogleTranslate(C41, ""en"", ""ca"")"),"Fase de lluna")</f>
        <v>Fase de lluna</v>
      </c>
      <c r="O41" s="3" t="str">
        <f>IFERROR(__xludf.DUMMYFUNCTION("GoogleTranslate(C41, ""en"", ""zh-cn"")"),"月相")</f>
        <v>月相</v>
      </c>
      <c r="P41" s="3" t="str">
        <f>IFERROR(__xludf.DUMMYFUNCTION("GoogleTranslate(C41, ""en"", ""zh-TW"")"),"月相")</f>
        <v>月相</v>
      </c>
      <c r="Q41" s="3" t="str">
        <f>IFERROR(__xludf.DUMMYFUNCTION("GoogleTranslate(C41, ""en"", ""hr"")"),"Mjesečeva mijena")</f>
        <v>Mjesečeva mijena</v>
      </c>
      <c r="R41" s="3" t="str">
        <f>IFERROR(__xludf.DUMMYFUNCTION("GoogleTranslate(C41, ""en"", ""cs"")"),"Fáze měsíce")</f>
        <v>Fáze měsíce</v>
      </c>
      <c r="S41" s="3" t="str">
        <f>IFERROR(__xludf.DUMMYFUNCTION("GoogleTranslate(C41, ""en"", ""da"")"),"Månefase")</f>
        <v>Månefase</v>
      </c>
      <c r="T41" s="3" t="str">
        <f>IFERROR(__xludf.DUMMYFUNCTION("GoogleTranslate(C41, ""en"", ""nl"")"),"Maanfase")</f>
        <v>Maanfase</v>
      </c>
      <c r="U41" s="3" t="str">
        <f>IFERROR(__xludf.DUMMYFUNCTION("GoogleTranslate(C41, ""en"", ""et"")"),"Kuu faas")</f>
        <v>Kuu faas</v>
      </c>
      <c r="V41" s="1" t="str">
        <f t="shared" si="3"/>
        <v>Moon phase</v>
      </c>
      <c r="W41" s="3" t="str">
        <f>IFERROR(__xludf.DUMMYFUNCTION("GoogleTranslate(C41, ""en"", ""fi"")"),"Kuun vaihe")</f>
        <v>Kuun vaihe</v>
      </c>
      <c r="X41" s="3" t="str">
        <f>IFERROR(__xludf.DUMMYFUNCTION("GoogleTranslate(C41, ""en"", ""fr"")"),"Phase de lune")</f>
        <v>Phase de lune</v>
      </c>
      <c r="Y41" s="3" t="str">
        <f>IFERROR(__xludf.DUMMYFUNCTION("GoogleTranslate(C41, ""en"", ""de"")"),"Mondphase")</f>
        <v>Mondphase</v>
      </c>
      <c r="Z41" s="3" t="str">
        <f>IFERROR(__xludf.DUMMYFUNCTION("GoogleTranslate(C41, ""en"", ""el"")"),"Φάση σελήνης")</f>
        <v>Φάση σελήνης</v>
      </c>
      <c r="AA41" s="3" t="str">
        <f>IFERROR(__xludf.DUMMYFUNCTION("GoogleTranslate(C41, ""en"", ""iw"")"),"שלב הירח")</f>
        <v>שלב הירח</v>
      </c>
      <c r="AB41" s="3" t="str">
        <f>IFERROR(__xludf.DUMMYFUNCTION("GoogleTranslate(C41, ""en"", ""hi"")"),"चंद्र कला")</f>
        <v>चंद्र कला</v>
      </c>
      <c r="AC41" s="3" t="str">
        <f>IFERROR(__xludf.DUMMYFUNCTION("GoogleTranslate(C41, ""en"", ""hu"")"),"Holdfázis")</f>
        <v>Holdfázis</v>
      </c>
      <c r="AD41" s="3" t="str">
        <f>IFERROR(__xludf.DUMMYFUNCTION("GoogleTranslate(C41, ""en"", ""is"")"),"Tunglfasi")</f>
        <v>Tunglfasi</v>
      </c>
      <c r="AE41" s="3" t="str">
        <f>IFERROR(__xludf.DUMMYFUNCTION("GoogleTranslate(C41, ""en"", ""id"")"),"Fase bulan")</f>
        <v>Fase bulan</v>
      </c>
      <c r="AF41" s="3" t="str">
        <f>IFERROR(__xludf.DUMMYFUNCTION("GoogleTranslate(C41, ""en"", ""in"")"),"Fase bulan")</f>
        <v>Fase bulan</v>
      </c>
      <c r="AG41" s="3" t="str">
        <f>IFERROR(__xludf.DUMMYFUNCTION("GoogleTranslate(C41, ""en"", ""it"")"),"Fase lunare")</f>
        <v>Fase lunare</v>
      </c>
      <c r="AH41" s="3" t="str">
        <f>IFERROR(__xludf.DUMMYFUNCTION("GoogleTranslate(C41, ""en"", ""ja"")"),"ムーンフェイズ")</f>
        <v>ムーンフェイズ</v>
      </c>
      <c r="AI41" s="3" t="str">
        <f>IFERROR(__xludf.DUMMYFUNCTION("GoogleTranslate(C41, ""en"", ""kn"")"),"ಚಂದ್ರನ ಹಂತ")</f>
        <v>ಚಂದ್ರನ ಹಂತ</v>
      </c>
      <c r="AJ41" s="3" t="str">
        <f>IFERROR(__xludf.DUMMYFUNCTION("GoogleTranslate(C41, ""en"", ""km"")"),"ដំណាក់កាលព្រះច័ន្ទ")</f>
        <v>ដំណាក់កាលព្រះច័ន្ទ</v>
      </c>
      <c r="AK41" s="3" t="str">
        <f>IFERROR(__xludf.DUMMYFUNCTION("GoogleTranslate(C41, ""en"", ""ko"")"),"달의 위상")</f>
        <v>달의 위상</v>
      </c>
      <c r="AL41" s="3" t="str">
        <f>IFERROR(__xludf.DUMMYFUNCTION("GoogleTranslate(C41, ""en"", ""lo"")"),"ໄລຍະວົງເດືອນ")</f>
        <v>ໄລຍະວົງເດືອນ</v>
      </c>
      <c r="AM41" s="3" t="str">
        <f>IFERROR(__xludf.DUMMYFUNCTION("GoogleTranslate(C41, ""en"", ""lv"")"),"Mēness fāze")</f>
        <v>Mēness fāze</v>
      </c>
      <c r="AN41" s="3" t="str">
        <f>IFERROR(__xludf.DUMMYFUNCTION("GoogleTranslate(C41, ""en"", ""lt"")"),"Mėnulio fazė")</f>
        <v>Mėnulio fazė</v>
      </c>
      <c r="AO41" s="3" t="str">
        <f>IFERROR(__xludf.DUMMYFUNCTION("GoogleTranslate(C41, ""en"", ""mk"")"),"Фаза на Месечината")</f>
        <v>Фаза на Месечината</v>
      </c>
      <c r="AP41" s="3" t="str">
        <f>IFERROR(__xludf.DUMMYFUNCTION("GoogleTranslate(C41, ""en"", ""ms"")"),"Fasa bulan")</f>
        <v>Fasa bulan</v>
      </c>
      <c r="AQ41" s="3" t="str">
        <f>IFERROR(__xludf.DUMMYFUNCTION("GoogleTranslate(C41, ""en"", ""ml"")"),"ചന്ദ്രൻ്റെ ഘട്ടം")</f>
        <v>ചന്ദ്രൻ്റെ ഘട്ടം</v>
      </c>
      <c r="AR41" s="3" t="str">
        <f>IFERROR(__xludf.DUMMYFUNCTION("GoogleTranslate(C41, ""en"", ""mr"")"),"चंद्राचा टप्पा")</f>
        <v>चंद्राचा टप्पा</v>
      </c>
      <c r="AS41" s="3" t="str">
        <f>IFERROR(__xludf.DUMMYFUNCTION("GoogleTranslate(C41, ""en"", ""mn"")"),"Сарны үе шат")</f>
        <v>Сарны үе шат</v>
      </c>
      <c r="AT41" s="3" t="str">
        <f>IFERROR(__xludf.DUMMYFUNCTION("GoogleTranslate(C41, ""en"", ""ne"")"),"चन्द्र चरण")</f>
        <v>चन्द्र चरण</v>
      </c>
      <c r="AU41" s="3" t="str">
        <f>IFERROR(__xludf.DUMMYFUNCTION("GoogleTranslate(C41, ""en"", ""nb"")"),"Månefase")</f>
        <v>Månefase</v>
      </c>
      <c r="AV41" s="3" t="str">
        <f>IFERROR(__xludf.DUMMYFUNCTION("GoogleTranslate(C41, ""en"", ""fa"")"),"فاز ماه")</f>
        <v>فاز ماه</v>
      </c>
      <c r="AW41" s="3" t="str">
        <f>IFERROR(__xludf.DUMMYFUNCTION("GoogleTranslate(C41, ""en"", ""pl"")"),"Faza księżyca")</f>
        <v>Faza księżyca</v>
      </c>
      <c r="AX41" s="3" t="str">
        <f>IFERROR(__xludf.DUMMYFUNCTION("GoogleTranslate(C41, ""en"", ""pt"")"),"Fase da lua")</f>
        <v>Fase da lua</v>
      </c>
      <c r="AY41" s="3" t="str">
        <f>IFERROR(__xludf.DUMMYFUNCTION("GoogleTranslate(C41, ""en"", ""ro"")"),"Faza lunii")</f>
        <v>Faza lunii</v>
      </c>
      <c r="AZ41" s="3" t="str">
        <f>IFERROR(__xludf.DUMMYFUNCTION("GoogleTranslate(C41, ""en"", ""ru"")"),"Фаза Луны")</f>
        <v>Фаза Луны</v>
      </c>
      <c r="BA41" s="3" t="str">
        <f>IFERROR(__xludf.DUMMYFUNCTION("GoogleTranslate(C41, ""en"", ""sr"")"),"Фаза месеца")</f>
        <v>Фаза месеца</v>
      </c>
      <c r="BB41" s="3" t="str">
        <f>IFERROR(__xludf.DUMMYFUNCTION("GoogleTranslate(C41, ""en"", ""si"")"),"සඳ අදියර")</f>
        <v>සඳ අදියර</v>
      </c>
      <c r="BC41" s="3" t="str">
        <f>IFERROR(__xludf.DUMMYFUNCTION("GoogleTranslate(C41, ""en"", ""sk"")"),"Fáza Mesiaca")</f>
        <v>Fáza Mesiaca</v>
      </c>
      <c r="BD41" s="3" t="str">
        <f>IFERROR(__xludf.DUMMYFUNCTION("GoogleTranslate(C41, ""en"", ""sl"")"),"Lunina faza")</f>
        <v>Lunina faza</v>
      </c>
      <c r="BE41" s="3" t="str">
        <f>IFERROR(__xludf.DUMMYFUNCTION("GoogleTranslate(C41, ""en"", ""es"")"),"Fase lunar")</f>
        <v>Fase lunar</v>
      </c>
      <c r="BF41" s="3" t="str">
        <f>IFERROR(__xludf.DUMMYFUNCTION("GoogleTranslate(C41, ""en"", ""sw"")"),"Awamu ya mwezi")</f>
        <v>Awamu ya mwezi</v>
      </c>
      <c r="BG41" s="3" t="str">
        <f>IFERROR(__xludf.DUMMYFUNCTION("GoogleTranslate(C41, ""en"", ""sv"")"),"Månfas")</f>
        <v>Månfas</v>
      </c>
      <c r="BH41" s="3" t="str">
        <f>IFERROR(__xludf.DUMMYFUNCTION("GoogleTranslate(C41, ""en"", ""te"")"),"చంద్ర దశ")</f>
        <v>చంద్ర దశ</v>
      </c>
      <c r="BI41" s="3" t="str">
        <f>IFERROR(__xludf.DUMMYFUNCTION("GoogleTranslate(C41, ""en"", ""th"")"),"ข้างขึ้นข้างแรม")</f>
        <v>ข้างขึ้นข้างแรม</v>
      </c>
      <c r="BJ41" s="3" t="str">
        <f>IFERROR(__xludf.DUMMYFUNCTION("GoogleTranslate(C41, ""en"", ""tr"")"),"Ay evresi")</f>
        <v>Ay evresi</v>
      </c>
      <c r="BK41" s="3" t="str">
        <f>IFERROR(__xludf.DUMMYFUNCTION("GoogleTranslate(C41, ""en"", ""uk"")"),"Фаза місяця")</f>
        <v>Фаза місяця</v>
      </c>
      <c r="BL41" s="3" t="str">
        <f>IFERROR(__xludf.DUMMYFUNCTION("GoogleTranslate(C41, ""en"", ""zu"")"),"Isigaba senyanga")</f>
        <v>Isigaba senyanga</v>
      </c>
    </row>
    <row r="42">
      <c r="A42" s="1" t="str">
        <f t="shared" si="1"/>
        <v>Uv_Index</v>
      </c>
      <c r="B42" s="4" t="s">
        <v>104</v>
      </c>
      <c r="C42" s="1" t="str">
        <f t="shared" si="2"/>
        <v>Uv Index</v>
      </c>
      <c r="D42" s="3" t="str">
        <f>IFERROR(__xludf.DUMMYFUNCTION("GoogleTranslate(C42, ""en"", ""es"")"),"índice ultravioleta")</f>
        <v>índice ultravioleta</v>
      </c>
      <c r="E42" s="3" t="str">
        <f>IFERROR(__xludf.DUMMYFUNCTION("GoogleTranslate(C42, ""en"", ""ar"")"),"مؤشر الأشعة فوق البنفسجية")</f>
        <v>مؤشر الأشعة فوق البنفسجية</v>
      </c>
      <c r="F42" s="3" t="str">
        <f>IFERROR(__xludf.DUMMYFUNCTION("GoogleTranslate(C42, ""en"", ""hy"")"),"Ուլտրամանուշակագույն ինդեքս")</f>
        <v>Ուլտրամանուշակագույն ինդեքս</v>
      </c>
      <c r="G42" s="3" t="str">
        <f>IFERROR(__xludf.DUMMYFUNCTION("GoogleTranslate(C42, ""en"", ""vi"")"),"Chỉ số UV")</f>
        <v>Chỉ số UV</v>
      </c>
      <c r="H42" s="3" t="str">
        <f>IFERROR(__xludf.DUMMYFUNCTION("GoogleTranslate(C42, ""en"", ""az"")"),"UV indeksi")</f>
        <v>UV indeksi</v>
      </c>
      <c r="I42" s="3" t="str">
        <f>IFERROR(__xludf.DUMMYFUNCTION("GoogleTranslate(C42, ""en"", ""eu"")"),"Uv indizea")</f>
        <v>Uv indizea</v>
      </c>
      <c r="J42" s="3" t="str">
        <f>IFERROR(__xludf.DUMMYFUNCTION("GoogleTranslate(C42, ""en"", ""be"")"),"УФ-індэкс")</f>
        <v>УФ-індэкс</v>
      </c>
      <c r="K42" s="3" t="str">
        <f>IFERROR(__xludf.DUMMYFUNCTION("GoogleTranslate(C42, ""en"", ""bn"")"),"Uv সূচক")</f>
        <v>Uv সূচক</v>
      </c>
      <c r="L42" s="3" t="str">
        <f>IFERROR(__xludf.DUMMYFUNCTION("GoogleTranslate(C42, ""en"", ""bg"")"),"Uv индекс")</f>
        <v>Uv индекс</v>
      </c>
      <c r="M42" s="3" t="str">
        <f>IFERROR(__xludf.DUMMYFUNCTION("GoogleTranslate(C42, ""en"", ""my"")"),"Uv အညွှန်း")</f>
        <v>Uv အညွှန်း</v>
      </c>
      <c r="N42" s="3" t="str">
        <f>IFERROR(__xludf.DUMMYFUNCTION("GoogleTranslate(C42, ""en"", ""ca"")"),"Índex UV")</f>
        <v>Índex UV</v>
      </c>
      <c r="O42" s="3" t="str">
        <f>IFERROR(__xludf.DUMMYFUNCTION("GoogleTranslate(C42, ""en"", ""zh-cn"")"),"紫外线指数")</f>
        <v>紫外线指数</v>
      </c>
      <c r="P42" s="3" t="str">
        <f>IFERROR(__xludf.DUMMYFUNCTION("GoogleTranslate(C42, ""en"", ""zh-TW"")"),"紫外線指數")</f>
        <v>紫外線指數</v>
      </c>
      <c r="Q42" s="3" t="str">
        <f>IFERROR(__xludf.DUMMYFUNCTION("GoogleTranslate(C42, ""en"", ""hr"")"),"Uv indeks")</f>
        <v>Uv indeks</v>
      </c>
      <c r="R42" s="3" t="str">
        <f>IFERROR(__xludf.DUMMYFUNCTION("GoogleTranslate(C42, ""en"", ""cs"")"),"UV index")</f>
        <v>UV index</v>
      </c>
      <c r="S42" s="3" t="str">
        <f>IFERROR(__xludf.DUMMYFUNCTION("GoogleTranslate(C42, ""en"", ""da"")"),"Uv-indeks")</f>
        <v>Uv-indeks</v>
      </c>
      <c r="T42" s="3" t="str">
        <f>IFERROR(__xludf.DUMMYFUNCTION("GoogleTranslate(C42, ""en"", ""nl"")"),"UV-index")</f>
        <v>UV-index</v>
      </c>
      <c r="U42" s="3" t="str">
        <f>IFERROR(__xludf.DUMMYFUNCTION("GoogleTranslate(C42, ""en"", ""et"")"),"UV-indeks")</f>
        <v>UV-indeks</v>
      </c>
      <c r="V42" s="1" t="str">
        <f t="shared" si="3"/>
        <v>Uv Index</v>
      </c>
      <c r="W42" s="3" t="str">
        <f>IFERROR(__xludf.DUMMYFUNCTION("GoogleTranslate(C42, ""en"", ""fi"")"),"UV-indeksi")</f>
        <v>UV-indeksi</v>
      </c>
      <c r="X42" s="3" t="str">
        <f>IFERROR(__xludf.DUMMYFUNCTION("GoogleTranslate(C42, ""en"", ""fr"")"),"Indice UV")</f>
        <v>Indice UV</v>
      </c>
      <c r="Y42" s="3" t="str">
        <f>IFERROR(__xludf.DUMMYFUNCTION("GoogleTranslate(C42, ""en"", ""de"")"),"UV-Index")</f>
        <v>UV-Index</v>
      </c>
      <c r="Z42" s="3" t="str">
        <f>IFERROR(__xludf.DUMMYFUNCTION("GoogleTranslate(C42, ""en"", ""el"")"),"Δείκτης UV")</f>
        <v>Δείκτης UV</v>
      </c>
      <c r="AA42" s="3" t="str">
        <f>IFERROR(__xludf.DUMMYFUNCTION("GoogleTranslate(C42, ""en"", ""iw"")"),"מדד UV")</f>
        <v>מדד UV</v>
      </c>
      <c r="AB42" s="3" t="str">
        <f>IFERROR(__xludf.DUMMYFUNCTION("GoogleTranslate(C42, ""en"", ""hi"")"),"यूवी सूचकांक")</f>
        <v>यूवी सूचकांक</v>
      </c>
      <c r="AC42" s="3" t="str">
        <f>IFERROR(__xludf.DUMMYFUNCTION("GoogleTranslate(C42, ""en"", ""hu"")"),"UV Index")</f>
        <v>UV Index</v>
      </c>
      <c r="AD42" s="3" t="str">
        <f>IFERROR(__xludf.DUMMYFUNCTION("GoogleTranslate(C42, ""en"", ""is"")"),"Uv vísitala")</f>
        <v>Uv vísitala</v>
      </c>
      <c r="AE42" s="3" t="str">
        <f>IFERROR(__xludf.DUMMYFUNCTION("GoogleTranslate(C42, ""en"", ""id"")"),"Indeks UV")</f>
        <v>Indeks UV</v>
      </c>
      <c r="AF42" s="3" t="str">
        <f>IFERROR(__xludf.DUMMYFUNCTION("GoogleTranslate(C42, ""en"", ""in"")"),"Indeks UV")</f>
        <v>Indeks UV</v>
      </c>
      <c r="AG42" s="3" t="str">
        <f>IFERROR(__xludf.DUMMYFUNCTION("GoogleTranslate(C42, ""en"", ""it"")"),"Indice UV")</f>
        <v>Indice UV</v>
      </c>
      <c r="AH42" s="3" t="str">
        <f>IFERROR(__xludf.DUMMYFUNCTION("GoogleTranslate(C42, ""en"", ""ja"")"),"紫外線指数")</f>
        <v>紫外線指数</v>
      </c>
      <c r="AI42" s="3" t="str">
        <f>IFERROR(__xludf.DUMMYFUNCTION("GoogleTranslate(C42, ""en"", ""kn"")"),"ಯುವಿ ಸೂಚ್ಯಂಕ")</f>
        <v>ಯುವಿ ಸೂಚ್ಯಂಕ</v>
      </c>
      <c r="AJ42" s="3" t="str">
        <f>IFERROR(__xludf.DUMMYFUNCTION("GoogleTranslate(C42, ""en"", ""km"")"),"សន្ទស្សន៍ Uv")</f>
        <v>សន្ទស្សន៍ Uv</v>
      </c>
      <c r="AK42" s="3" t="str">
        <f>IFERROR(__xludf.DUMMYFUNCTION("GoogleTranslate(C42, ""en"", ""ko"")"),"자외선 지수")</f>
        <v>자외선 지수</v>
      </c>
      <c r="AL42" s="3" t="str">
        <f>IFERROR(__xludf.DUMMYFUNCTION("GoogleTranslate(C42, ""en"", ""lo"")"),"ດັດຊະນີ Uv")</f>
        <v>ດັດຊະນີ Uv</v>
      </c>
      <c r="AM42" s="3" t="str">
        <f>IFERROR(__xludf.DUMMYFUNCTION("GoogleTranslate(C42, ""en"", ""lv"")"),"UV indekss")</f>
        <v>UV indekss</v>
      </c>
      <c r="AN42" s="3" t="str">
        <f>IFERROR(__xludf.DUMMYFUNCTION("GoogleTranslate(C42, ""en"", ""lt"")"),"UV indeksas")</f>
        <v>UV indeksas</v>
      </c>
      <c r="AO42" s="3" t="str">
        <f>IFERROR(__xludf.DUMMYFUNCTION("GoogleTranslate(C42, ""en"", ""mk"")"),"УВ индекс")</f>
        <v>УВ индекс</v>
      </c>
      <c r="AP42" s="3" t="str">
        <f>IFERROR(__xludf.DUMMYFUNCTION("GoogleTranslate(C42, ""en"", ""ms"")"),"Indeks Uv")</f>
        <v>Indeks Uv</v>
      </c>
      <c r="AQ42" s="3" t="str">
        <f>IFERROR(__xludf.DUMMYFUNCTION("GoogleTranslate(C42, ""en"", ""ml"")"),"യുവി സൂചിക")</f>
        <v>യുവി സൂചിക</v>
      </c>
      <c r="AR42" s="3" t="str">
        <f>IFERROR(__xludf.DUMMYFUNCTION("GoogleTranslate(C42, ""en"", ""mr"")"),"अतिनील निर्देशांक")</f>
        <v>अतिनील निर्देशांक</v>
      </c>
      <c r="AS42" s="3" t="str">
        <f>IFERROR(__xludf.DUMMYFUNCTION("GoogleTranslate(C42, ""en"", ""mn"")"),"Хэт ягаан туяаны индекс")</f>
        <v>Хэт ягаан туяаны индекс</v>
      </c>
      <c r="AT42" s="3" t="str">
        <f>IFERROR(__xludf.DUMMYFUNCTION("GoogleTranslate(C42, ""en"", ""ne"")"),"Uv सूचकांक")</f>
        <v>Uv सूचकांक</v>
      </c>
      <c r="AU42" s="3" t="str">
        <f>IFERROR(__xludf.DUMMYFUNCTION("GoogleTranslate(C42, ""en"", ""nb"")"),"Uv-indeks")</f>
        <v>Uv-indeks</v>
      </c>
      <c r="AV42" s="3" t="str">
        <f>IFERROR(__xludf.DUMMYFUNCTION("GoogleTranslate(C42, ""en"", ""fa"")"),"شاخص UV")</f>
        <v>شاخص UV</v>
      </c>
      <c r="AW42" s="3" t="str">
        <f>IFERROR(__xludf.DUMMYFUNCTION("GoogleTranslate(C42, ""en"", ""pl"")"),"Indeks UV")</f>
        <v>Indeks UV</v>
      </c>
      <c r="AX42" s="3" t="str">
        <f>IFERROR(__xludf.DUMMYFUNCTION("GoogleTranslate(C42, ""en"", ""pt"")"),"Índice UV")</f>
        <v>Índice UV</v>
      </c>
      <c r="AY42" s="3" t="str">
        <f>IFERROR(__xludf.DUMMYFUNCTION("GoogleTranslate(C42, ""en"", ""ro"")"),"Index UV")</f>
        <v>Index UV</v>
      </c>
      <c r="AZ42" s="3" t="str">
        <f>IFERROR(__xludf.DUMMYFUNCTION("GoogleTranslate(C42, ""en"", ""ru"")"),"УФ-индекс")</f>
        <v>УФ-индекс</v>
      </c>
      <c r="BA42" s="3" t="str">
        <f>IFERROR(__xludf.DUMMYFUNCTION("GoogleTranslate(C42, ""en"", ""sr"")"),"Ув индекс")</f>
        <v>Ув индекс</v>
      </c>
      <c r="BB42" s="3" t="str">
        <f>IFERROR(__xludf.DUMMYFUNCTION("GoogleTranslate(C42, ""en"", ""si"")"),"Uv දර්ශකය")</f>
        <v>Uv දර්ශකය</v>
      </c>
      <c r="BC42" s="3" t="str">
        <f>IFERROR(__xludf.DUMMYFUNCTION("GoogleTranslate(C42, ""en"", ""sk"")"),"UV index")</f>
        <v>UV index</v>
      </c>
      <c r="BD42" s="3" t="str">
        <f>IFERROR(__xludf.DUMMYFUNCTION("GoogleTranslate(C42, ""en"", ""sl"")"),"Uv indeks")</f>
        <v>Uv indeks</v>
      </c>
      <c r="BE42" s="3" t="str">
        <f>IFERROR(__xludf.DUMMYFUNCTION("GoogleTranslate(C42, ""en"", ""es"")"),"índice ultravioleta")</f>
        <v>índice ultravioleta</v>
      </c>
      <c r="BF42" s="3" t="str">
        <f>IFERROR(__xludf.DUMMYFUNCTION("GoogleTranslate(C42, ""en"", ""sw"")"),"Kielezo cha UV")</f>
        <v>Kielezo cha UV</v>
      </c>
      <c r="BG42" s="3" t="str">
        <f>IFERROR(__xludf.DUMMYFUNCTION("GoogleTranslate(C42, ""en"", ""sv"")"),"Uv-index")</f>
        <v>Uv-index</v>
      </c>
      <c r="BH42" s="3" t="str">
        <f>IFERROR(__xludf.DUMMYFUNCTION("GoogleTranslate(C42, ""en"", ""te"")"),"UV సూచిక")</f>
        <v>UV సూచిక</v>
      </c>
      <c r="BI42" s="3" t="str">
        <f>IFERROR(__xludf.DUMMYFUNCTION("GoogleTranslate(C42, ""en"", ""th"")"),"ดัชนีรังสียูวี")</f>
        <v>ดัชนีรังสียูวี</v>
      </c>
      <c r="BJ42" s="3" t="str">
        <f>IFERROR(__xludf.DUMMYFUNCTION("GoogleTranslate(C42, ""en"", ""tr"")"),"UV İndeksi")</f>
        <v>UV İndeksi</v>
      </c>
      <c r="BK42" s="3" t="str">
        <f>IFERROR(__xludf.DUMMYFUNCTION("GoogleTranslate(C42, ""en"", ""uk"")"),"УФ-індекс")</f>
        <v>УФ-індекс</v>
      </c>
      <c r="BL42" s="3" t="str">
        <f>IFERROR(__xludf.DUMMYFUNCTION("GoogleTranslate(C42, ""en"", ""zu"")"),"I-Uv Index")</f>
        <v>I-Uv Index</v>
      </c>
    </row>
    <row r="43">
      <c r="A43" s="1" t="str">
        <f t="shared" si="1"/>
        <v>Temperature_{name}</v>
      </c>
      <c r="B43" s="4" t="s">
        <v>105</v>
      </c>
      <c r="C43" s="1" t="str">
        <f t="shared" si="2"/>
        <v>Temperature {name}</v>
      </c>
      <c r="D43" s="3" t="str">
        <f>IFERROR(__xludf.DUMMYFUNCTION("GoogleTranslate(C43, ""en"", ""es"")"),"Temperatura {nombre}")</f>
        <v>Temperatura {nombre}</v>
      </c>
      <c r="E43" s="3" t="str">
        <f>IFERROR(__xludf.DUMMYFUNCTION("GoogleTranslate(C43, ""en"", ""ar"")"),"درجة الحرارة {الاسم}")</f>
        <v>درجة الحرارة {الاسم}</v>
      </c>
      <c r="F43" s="3" t="str">
        <f>IFERROR(__xludf.DUMMYFUNCTION("GoogleTranslate(C43, ""en"", ""hy"")"),"Ջերմաստիճանը {name}")</f>
        <v>Ջերմաստիճանը {name}</v>
      </c>
      <c r="G43" s="3" t="str">
        <f>IFERROR(__xludf.DUMMYFUNCTION("GoogleTranslate(C43, ""en"", ""vi"")"),"Nhiệt độ {tên}")</f>
        <v>Nhiệt độ {tên}</v>
      </c>
      <c r="H43" s="3" t="str">
        <f>IFERROR(__xludf.DUMMYFUNCTION("GoogleTranslate(C43, ""en"", ""az"")"),"Temperatur {name}")</f>
        <v>Temperatur {name}</v>
      </c>
      <c r="I43" s="3" t="str">
        <f>IFERROR(__xludf.DUMMYFUNCTION("GoogleTranslate(C43, ""en"", ""eu"")"),"Tenperatura {izena}")</f>
        <v>Tenperatura {izena}</v>
      </c>
      <c r="J43" s="3" t="str">
        <f>IFERROR(__xludf.DUMMYFUNCTION("GoogleTranslate(C43, ""en"", ""be"")"),"Тэмпература {name}")</f>
        <v>Тэмпература {name}</v>
      </c>
      <c r="K43" s="3" t="str">
        <f>IFERROR(__xludf.DUMMYFUNCTION("GoogleTranslate(C43, ""en"", ""bn"")"),"তাপমাত্রা {name}")</f>
        <v>তাপমাত্রা {name}</v>
      </c>
      <c r="L43" s="3" t="str">
        <f>IFERROR(__xludf.DUMMYFUNCTION("GoogleTranslate(C43, ""en"", ""bg"")"),"Температура {name}")</f>
        <v>Температура {name}</v>
      </c>
      <c r="M43" s="3" t="str">
        <f>IFERROR(__xludf.DUMMYFUNCTION("GoogleTranslate(C43, ""en"", ""my"")"),"အပူချိန် {အမည်}")</f>
        <v>အပူချိန် {အမည်}</v>
      </c>
      <c r="N43" s="3" t="str">
        <f>IFERROR(__xludf.DUMMYFUNCTION("GoogleTranslate(C43, ""en"", ""ca"")"),"Temperatura {name}")</f>
        <v>Temperatura {name}</v>
      </c>
      <c r="O43" s="3" t="str">
        <f>IFERROR(__xludf.DUMMYFUNCTION("GoogleTranslate(C43, ""en"", ""zh-cn"")"),"温度{名称}")</f>
        <v>温度{名称}</v>
      </c>
      <c r="P43" s="3" t="str">
        <f>IFERROR(__xludf.DUMMYFUNCTION("GoogleTranslate(C43, ""en"", ""zh-TW"")"),"溫度{名稱}")</f>
        <v>溫度{名稱}</v>
      </c>
      <c r="Q43" s="3" t="str">
        <f>IFERROR(__xludf.DUMMYFUNCTION("GoogleTranslate(C43, ""en"", ""hr"")"),"Temperatura {name}")</f>
        <v>Temperatura {name}</v>
      </c>
      <c r="R43" s="3" t="str">
        <f>IFERROR(__xludf.DUMMYFUNCTION("GoogleTranslate(C43, ""en"", ""cs"")"),"Teplota {name}")</f>
        <v>Teplota {name}</v>
      </c>
      <c r="S43" s="3" t="str">
        <f>IFERROR(__xludf.DUMMYFUNCTION("GoogleTranslate(C43, ""en"", ""da"")"),"Temperatur {navn}")</f>
        <v>Temperatur {navn}</v>
      </c>
      <c r="T43" s="3" t="str">
        <f>IFERROR(__xludf.DUMMYFUNCTION("GoogleTranslate(C43, ""en"", ""nl"")"),"Temperatuur {naam}")</f>
        <v>Temperatuur {naam}</v>
      </c>
      <c r="U43" s="3" t="str">
        <f>IFERROR(__xludf.DUMMYFUNCTION("GoogleTranslate(C43, ""en"", ""et"")"),"Temperatuur {name}")</f>
        <v>Temperatuur {name}</v>
      </c>
      <c r="V43" s="1" t="str">
        <f t="shared" si="3"/>
        <v>Temperature {name}</v>
      </c>
      <c r="W43" s="3" t="str">
        <f>IFERROR(__xludf.DUMMYFUNCTION("GoogleTranslate(C43, ""en"", ""fi"")"),"Lämpötila {name}")</f>
        <v>Lämpötila {name}</v>
      </c>
      <c r="X43" s="3" t="str">
        <f>IFERROR(__xludf.DUMMYFUNCTION("GoogleTranslate(C43, ""en"", ""fr"")"),"Température {nom}")</f>
        <v>Température {nom}</v>
      </c>
      <c r="Y43" s="3" t="str">
        <f>IFERROR(__xludf.DUMMYFUNCTION("GoogleTranslate(C43, ""en"", ""de"")"),"Temperatur {Name}")</f>
        <v>Temperatur {Name}</v>
      </c>
      <c r="Z43" s="3" t="str">
        <f>IFERROR(__xludf.DUMMYFUNCTION("GoogleTranslate(C43, ""en"", ""el"")"),"Θερμοκρασία {όνομα}")</f>
        <v>Θερμοκρασία {όνομα}</v>
      </c>
      <c r="AA43" s="3" t="str">
        <f>IFERROR(__xludf.DUMMYFUNCTION("GoogleTranslate(C43, ""en"", ""iw"")"),"טמפרטורה {name}")</f>
        <v>טמפרטורה {name}</v>
      </c>
      <c r="AB43" s="3" t="str">
        <f>IFERROR(__xludf.DUMMYFUNCTION("GoogleTranslate(C43, ""en"", ""hi"")"),"तापमान {नाम}")</f>
        <v>तापमान {नाम}</v>
      </c>
      <c r="AC43" s="3" t="str">
        <f>IFERROR(__xludf.DUMMYFUNCTION("GoogleTranslate(C43, ""en"", ""hu"")"),"Hőmérséklet {name}")</f>
        <v>Hőmérséklet {name}</v>
      </c>
      <c r="AD43" s="3" t="str">
        <f>IFERROR(__xludf.DUMMYFUNCTION("GoogleTranslate(C43, ""en"", ""is"")"),"Hitastig {name}")</f>
        <v>Hitastig {name}</v>
      </c>
      <c r="AE43" s="3" t="str">
        <f>IFERROR(__xludf.DUMMYFUNCTION("GoogleTranslate(C43, ""en"", ""id"")"),"Suhu {nama}")</f>
        <v>Suhu {nama}</v>
      </c>
      <c r="AF43" s="3" t="str">
        <f>IFERROR(__xludf.DUMMYFUNCTION("GoogleTranslate(C43, ""en"", ""in"")"),"Suhu {nama}")</f>
        <v>Suhu {nama}</v>
      </c>
      <c r="AG43" s="3" t="str">
        <f>IFERROR(__xludf.DUMMYFUNCTION("GoogleTranslate(C43, ""en"", ""it"")"),"Temperatura {nome}")</f>
        <v>Temperatura {nome}</v>
      </c>
      <c r="AH43" s="3" t="str">
        <f>IFERROR(__xludf.DUMMYFUNCTION("GoogleTranslate(C43, ""en"", ""ja"")"),"気温 {名前}")</f>
        <v>気温 {名前}</v>
      </c>
      <c r="AI43" s="3" t="str">
        <f>IFERROR(__xludf.DUMMYFUNCTION("GoogleTranslate(C43, ""en"", ""kn"")"),"ತಾಪಮಾನ {name}")</f>
        <v>ತಾಪಮಾನ {name}</v>
      </c>
      <c r="AJ43" s="3" t="str">
        <f>IFERROR(__xludf.DUMMYFUNCTION("GoogleTranslate(C43, ""en"", ""km"")"),"សីតុណ្ហភាព {ឈ្មោះ}")</f>
        <v>សីតុណ្ហភាព {ឈ្មោះ}</v>
      </c>
      <c r="AK43" s="3" t="str">
        <f>IFERROR(__xludf.DUMMYFUNCTION("GoogleTranslate(C43, ""en"", ""ko"")"),"온도 {이름}")</f>
        <v>온도 {이름}</v>
      </c>
      <c r="AL43" s="3" t="str">
        <f>IFERROR(__xludf.DUMMYFUNCTION("GoogleTranslate(C43, ""en"", ""lo"")"),"ອຸນຫະພູມ {name}")</f>
        <v>ອຸນຫະພູມ {name}</v>
      </c>
      <c r="AM43" s="3" t="str">
        <f>IFERROR(__xludf.DUMMYFUNCTION("GoogleTranslate(C43, ""en"", ""lv"")"),"Temperatūra {name}")</f>
        <v>Temperatūra {name}</v>
      </c>
      <c r="AN43" s="3" t="str">
        <f>IFERROR(__xludf.DUMMYFUNCTION("GoogleTranslate(C43, ""en"", ""lt"")"),"Temperatūra {name}")</f>
        <v>Temperatūra {name}</v>
      </c>
      <c r="AO43" s="3" t="str">
        <f>IFERROR(__xludf.DUMMYFUNCTION("GoogleTranslate(C43, ""en"", ""mk"")"),"Температура {име}")</f>
        <v>Температура {име}</v>
      </c>
      <c r="AP43" s="3" t="str">
        <f>IFERROR(__xludf.DUMMYFUNCTION("GoogleTranslate(C43, ""en"", ""ms"")"),"Suhu {name}")</f>
        <v>Suhu {name}</v>
      </c>
      <c r="AQ43" s="3" t="str">
        <f>IFERROR(__xludf.DUMMYFUNCTION("GoogleTranslate(C43, ""en"", ""ml"")"),"താപനില {name}")</f>
        <v>താപനില {name}</v>
      </c>
      <c r="AR43" s="3" t="str">
        <f>IFERROR(__xludf.DUMMYFUNCTION("GoogleTranslate(C43, ""en"", ""mr"")"),"तापमान {नाम}")</f>
        <v>तापमान {नाम}</v>
      </c>
      <c r="AS43" s="3" t="str">
        <f>IFERROR(__xludf.DUMMYFUNCTION("GoogleTranslate(C43, ""en"", ""mn"")"),"Температур {нэр}")</f>
        <v>Температур {нэр}</v>
      </c>
      <c r="AT43" s="3" t="str">
        <f>IFERROR(__xludf.DUMMYFUNCTION("GoogleTranslate(C43, ""en"", ""ne"")"),"तापमान {नाम}")</f>
        <v>तापमान {नाम}</v>
      </c>
      <c r="AU43" s="3" t="str">
        <f>IFERROR(__xludf.DUMMYFUNCTION("GoogleTranslate(C43, ""en"", ""nb"")"),"Temperatur {navn}")</f>
        <v>Temperatur {navn}</v>
      </c>
      <c r="AV43" s="3" t="str">
        <f>IFERROR(__xludf.DUMMYFUNCTION("GoogleTranslate(C43, ""en"", ""fa"")"),"دما {name}")</f>
        <v>دما {name}</v>
      </c>
      <c r="AW43" s="3" t="str">
        <f>IFERROR(__xludf.DUMMYFUNCTION("GoogleTranslate(C43, ""en"", ""pl"")"),"Temperatura {nazwa}")</f>
        <v>Temperatura {nazwa}</v>
      </c>
      <c r="AX43" s="3" t="str">
        <f>IFERROR(__xludf.DUMMYFUNCTION("GoogleTranslate(C43, ""en"", ""pt"")"),"Temperatura {nome}")</f>
        <v>Temperatura {nome}</v>
      </c>
      <c r="AY43" s="3" t="str">
        <f>IFERROR(__xludf.DUMMYFUNCTION("GoogleTranslate(C43, ""en"", ""ro"")"),"Temperatura {name}")</f>
        <v>Temperatura {name}</v>
      </c>
      <c r="AZ43" s="3" t="str">
        <f>IFERROR(__xludf.DUMMYFUNCTION("GoogleTranslate(C43, ""en"", ""ru"")"),"Температура {имя}")</f>
        <v>Температура {имя}</v>
      </c>
      <c r="BA43" s="3" t="str">
        <f>IFERROR(__xludf.DUMMYFUNCTION("GoogleTranslate(C43, ""en"", ""sr"")"),"Температура {наме}")</f>
        <v>Температура {наме}</v>
      </c>
      <c r="BB43" s="3" t="str">
        <f>IFERROR(__xludf.DUMMYFUNCTION("GoogleTranslate(C43, ""en"", ""si"")"),"උෂ්ණත්වය {name}")</f>
        <v>උෂ්ණත්වය {name}</v>
      </c>
      <c r="BC43" s="3" t="str">
        <f>IFERROR(__xludf.DUMMYFUNCTION("GoogleTranslate(C43, ""en"", ""sk"")"),"Teplota {name}")</f>
        <v>Teplota {name}</v>
      </c>
      <c r="BD43" s="3" t="str">
        <f>IFERROR(__xludf.DUMMYFUNCTION("GoogleTranslate(C43, ""en"", ""sl"")"),"Temperatura {name}")</f>
        <v>Temperatura {name}</v>
      </c>
      <c r="BE43" s="3" t="str">
        <f>IFERROR(__xludf.DUMMYFUNCTION("GoogleTranslate(C43, ""en"", ""es"")"),"Temperatura {nombre}")</f>
        <v>Temperatura {nombre}</v>
      </c>
      <c r="BF43" s="3" t="str">
        <f>IFERROR(__xludf.DUMMYFUNCTION("GoogleTranslate(C43, ""en"", ""sw"")"),"Halijoto {name}")</f>
        <v>Halijoto {name}</v>
      </c>
      <c r="BG43" s="3" t="str">
        <f>IFERROR(__xludf.DUMMYFUNCTION("GoogleTranslate(C43, ""en"", ""sv"")"),"Temperatur {name}")</f>
        <v>Temperatur {name}</v>
      </c>
      <c r="BH43" s="3" t="str">
        <f>IFERROR(__xludf.DUMMYFUNCTION("GoogleTranslate(C43, ""en"", ""te"")"),"ఉష్ణోగ్రత {name}")</f>
        <v>ఉష్ణోగ్రత {name}</v>
      </c>
      <c r="BI43" s="3" t="str">
        <f>IFERROR(__xludf.DUMMYFUNCTION("GoogleTranslate(C43, ""en"", ""th"")"),"อุณหภูมิ {ชื่อ}")</f>
        <v>อุณหภูมิ {ชื่อ}</v>
      </c>
      <c r="BJ43" s="3" t="str">
        <f>IFERROR(__xludf.DUMMYFUNCTION("GoogleTranslate(C43, ""en"", ""tr"")"),"Sıcaklık {isim}")</f>
        <v>Sıcaklık {isim}</v>
      </c>
      <c r="BK43" s="3" t="str">
        <f>IFERROR(__xludf.DUMMYFUNCTION("GoogleTranslate(C43, ""en"", ""uk"")"),"Температура {name}")</f>
        <v>Температура {name}</v>
      </c>
      <c r="BL43" s="3" t="str">
        <f>IFERROR(__xludf.DUMMYFUNCTION("GoogleTranslate(C43, ""en"", ""zu"")"),"Izinga lokushisa {name}")</f>
        <v>Izinga lokushisa {name}</v>
      </c>
    </row>
    <row r="44">
      <c r="A44" s="1" t="str">
        <f t="shared" si="1"/>
        <v>Low</v>
      </c>
      <c r="B44" s="4" t="s">
        <v>106</v>
      </c>
      <c r="C44" s="1" t="str">
        <f t="shared" si="2"/>
        <v>Low</v>
      </c>
      <c r="D44" s="3" t="str">
        <f>IFERROR(__xludf.DUMMYFUNCTION("GoogleTranslate(C44, ""en"", ""es"")"),"Bajo")</f>
        <v>Bajo</v>
      </c>
      <c r="E44" s="3" t="str">
        <f>IFERROR(__xludf.DUMMYFUNCTION("GoogleTranslate(C44, ""en"", ""ar"")"),"قليل")</f>
        <v>قليل</v>
      </c>
      <c r="F44" s="3" t="str">
        <f>IFERROR(__xludf.DUMMYFUNCTION("GoogleTranslate(C44, ""en"", ""hy"")"),"Ցածր")</f>
        <v>Ցածր</v>
      </c>
      <c r="G44" s="3" t="str">
        <f>IFERROR(__xludf.DUMMYFUNCTION("GoogleTranslate(C44, ""en"", ""vi"")"),"Thấp")</f>
        <v>Thấp</v>
      </c>
      <c r="H44" s="3" t="str">
        <f>IFERROR(__xludf.DUMMYFUNCTION("GoogleTranslate(C44, ""en"", ""az"")"),"Aşağı")</f>
        <v>Aşağı</v>
      </c>
      <c r="I44" s="3" t="str">
        <f>IFERROR(__xludf.DUMMYFUNCTION("GoogleTranslate(C44, ""en"", ""eu"")"),"Baxua")</f>
        <v>Baxua</v>
      </c>
      <c r="J44" s="3" t="str">
        <f>IFERROR(__xludf.DUMMYFUNCTION("GoogleTranslate(C44, ""en"", ""be"")"),"Нізкі")</f>
        <v>Нізкі</v>
      </c>
      <c r="K44" s="3" t="str">
        <f>IFERROR(__xludf.DUMMYFUNCTION("GoogleTranslate(C44, ""en"", ""bn"")"),"কম")</f>
        <v>কম</v>
      </c>
      <c r="L44" s="3" t="str">
        <f>IFERROR(__xludf.DUMMYFUNCTION("GoogleTranslate(C44, ""en"", ""bg"")"),"ниско")</f>
        <v>ниско</v>
      </c>
      <c r="M44" s="3" t="str">
        <f>IFERROR(__xludf.DUMMYFUNCTION("GoogleTranslate(C44, ""en"", ""my"")"),"နိမ့်သည်။")</f>
        <v>နိမ့်သည်။</v>
      </c>
      <c r="N44" s="3" t="str">
        <f>IFERROR(__xludf.DUMMYFUNCTION("GoogleTranslate(C44, ""en"", ""ca"")"),"Baixa")</f>
        <v>Baixa</v>
      </c>
      <c r="O44" s="3" t="str">
        <f>IFERROR(__xludf.DUMMYFUNCTION("GoogleTranslate(C44, ""en"", ""zh-cn"")"),"低的")</f>
        <v>低的</v>
      </c>
      <c r="P44" s="3" t="str">
        <f>IFERROR(__xludf.DUMMYFUNCTION("GoogleTranslate(C44, ""en"", ""zh-TW"")"),"低的")</f>
        <v>低的</v>
      </c>
      <c r="Q44" s="3" t="str">
        <f>IFERROR(__xludf.DUMMYFUNCTION("GoogleTranslate(C44, ""en"", ""hr"")"),"Niska")</f>
        <v>Niska</v>
      </c>
      <c r="R44" s="3" t="str">
        <f>IFERROR(__xludf.DUMMYFUNCTION("GoogleTranslate(C44, ""en"", ""cs"")"),"Nízký")</f>
        <v>Nízký</v>
      </c>
      <c r="S44" s="3" t="str">
        <f>IFERROR(__xludf.DUMMYFUNCTION("GoogleTranslate(C44, ""en"", ""da"")"),"Lav")</f>
        <v>Lav</v>
      </c>
      <c r="T44" s="3" t="str">
        <f>IFERROR(__xludf.DUMMYFUNCTION("GoogleTranslate(C44, ""en"", ""nl"")"),"Laag")</f>
        <v>Laag</v>
      </c>
      <c r="U44" s="3" t="str">
        <f>IFERROR(__xludf.DUMMYFUNCTION("GoogleTranslate(C44, ""en"", ""et"")"),"Madal")</f>
        <v>Madal</v>
      </c>
      <c r="V44" s="1" t="str">
        <f t="shared" si="3"/>
        <v>Low</v>
      </c>
      <c r="W44" s="3" t="str">
        <f>IFERROR(__xludf.DUMMYFUNCTION("GoogleTranslate(C44, ""en"", ""fi"")"),"Matala")</f>
        <v>Matala</v>
      </c>
      <c r="X44" s="3" t="str">
        <f>IFERROR(__xludf.DUMMYFUNCTION("GoogleTranslate(C44, ""en"", ""fr"")"),"Faible")</f>
        <v>Faible</v>
      </c>
      <c r="Y44" s="3" t="str">
        <f>IFERROR(__xludf.DUMMYFUNCTION("GoogleTranslate(C44, ""en"", ""de"")"),"Niedrig")</f>
        <v>Niedrig</v>
      </c>
      <c r="Z44" s="3" t="str">
        <f>IFERROR(__xludf.DUMMYFUNCTION("GoogleTranslate(C44, ""en"", ""el"")"),"Χαμηλός")</f>
        <v>Χαμηλός</v>
      </c>
      <c r="AA44" s="3" t="str">
        <f>IFERROR(__xludf.DUMMYFUNCTION("GoogleTranslate(C44, ""en"", ""iw"")"),"נָמוּך")</f>
        <v>נָמוּך</v>
      </c>
      <c r="AB44" s="3" t="str">
        <f>IFERROR(__xludf.DUMMYFUNCTION("GoogleTranslate(C44, ""en"", ""hi"")"),"कम")</f>
        <v>कम</v>
      </c>
      <c r="AC44" s="3" t="str">
        <f>IFERROR(__xludf.DUMMYFUNCTION("GoogleTranslate(C44, ""en"", ""hu"")"),"Alacsony")</f>
        <v>Alacsony</v>
      </c>
      <c r="AD44" s="3" t="str">
        <f>IFERROR(__xludf.DUMMYFUNCTION("GoogleTranslate(C44, ""en"", ""is"")"),"Lágt")</f>
        <v>Lágt</v>
      </c>
      <c r="AE44" s="3" t="str">
        <f>IFERROR(__xludf.DUMMYFUNCTION("GoogleTranslate(C44, ""en"", ""id"")"),"Rendah")</f>
        <v>Rendah</v>
      </c>
      <c r="AF44" s="3" t="str">
        <f>IFERROR(__xludf.DUMMYFUNCTION("GoogleTranslate(C44, ""en"", ""in"")"),"Rendah")</f>
        <v>Rendah</v>
      </c>
      <c r="AG44" s="3" t="str">
        <f>IFERROR(__xludf.DUMMYFUNCTION("GoogleTranslate(C44, ""en"", ""it"")"),"Basso")</f>
        <v>Basso</v>
      </c>
      <c r="AH44" s="3" t="str">
        <f>IFERROR(__xludf.DUMMYFUNCTION("GoogleTranslate(C44, ""en"", ""ja"")"),"低い")</f>
        <v>低い</v>
      </c>
      <c r="AI44" s="3" t="str">
        <f>IFERROR(__xludf.DUMMYFUNCTION("GoogleTranslate(C44, ""en"", ""kn"")"),"ಕಡಿಮೆ")</f>
        <v>ಕಡಿಮೆ</v>
      </c>
      <c r="AJ44" s="3" t="str">
        <f>IFERROR(__xludf.DUMMYFUNCTION("GoogleTranslate(C44, ""en"", ""km"")"),"ទាប")</f>
        <v>ទាប</v>
      </c>
      <c r="AK44" s="3" t="str">
        <f>IFERROR(__xludf.DUMMYFUNCTION("GoogleTranslate(C44, ""en"", ""ko"")"),"낮은")</f>
        <v>낮은</v>
      </c>
      <c r="AL44" s="3" t="str">
        <f>IFERROR(__xludf.DUMMYFUNCTION("GoogleTranslate(C44, ""en"", ""lo"")"),"ຕໍ່າ")</f>
        <v>ຕໍ່າ</v>
      </c>
      <c r="AM44" s="3" t="str">
        <f>IFERROR(__xludf.DUMMYFUNCTION("GoogleTranslate(C44, ""en"", ""lv"")"),"Zems")</f>
        <v>Zems</v>
      </c>
      <c r="AN44" s="3" t="str">
        <f>IFERROR(__xludf.DUMMYFUNCTION("GoogleTranslate(C44, ""en"", ""lt"")"),"Žemas")</f>
        <v>Žemas</v>
      </c>
      <c r="AO44" s="3" t="str">
        <f>IFERROR(__xludf.DUMMYFUNCTION("GoogleTranslate(C44, ""en"", ""mk"")"),"Ниско")</f>
        <v>Ниско</v>
      </c>
      <c r="AP44" s="3" t="str">
        <f>IFERROR(__xludf.DUMMYFUNCTION("GoogleTranslate(C44, ""en"", ""ms"")"),"rendah")</f>
        <v>rendah</v>
      </c>
      <c r="AQ44" s="3" t="str">
        <f>IFERROR(__xludf.DUMMYFUNCTION("GoogleTranslate(C44, ""en"", ""ml"")"),"താഴ്ന്നത്")</f>
        <v>താഴ്ന്നത്</v>
      </c>
      <c r="AR44" s="3" t="str">
        <f>IFERROR(__xludf.DUMMYFUNCTION("GoogleTranslate(C44, ""en"", ""mr"")"),"कमी")</f>
        <v>कमी</v>
      </c>
      <c r="AS44" s="3" t="str">
        <f>IFERROR(__xludf.DUMMYFUNCTION("GoogleTranslate(C44, ""en"", ""mn"")"),"Бага")</f>
        <v>Бага</v>
      </c>
      <c r="AT44" s="3" t="str">
        <f>IFERROR(__xludf.DUMMYFUNCTION("GoogleTranslate(C44, ""en"", ""ne"")"),"कम")</f>
        <v>कम</v>
      </c>
      <c r="AU44" s="3" t="str">
        <f>IFERROR(__xludf.DUMMYFUNCTION("GoogleTranslate(C44, ""en"", ""nb"")"),"Lav")</f>
        <v>Lav</v>
      </c>
      <c r="AV44" s="3" t="str">
        <f>IFERROR(__xludf.DUMMYFUNCTION("GoogleTranslate(C44, ""en"", ""fa"")"),"پایین")</f>
        <v>پایین</v>
      </c>
      <c r="AW44" s="3" t="str">
        <f>IFERROR(__xludf.DUMMYFUNCTION("GoogleTranslate(C44, ""en"", ""pl"")"),"Niski")</f>
        <v>Niski</v>
      </c>
      <c r="AX44" s="3" t="str">
        <f>IFERROR(__xludf.DUMMYFUNCTION("GoogleTranslate(C44, ""en"", ""pt"")"),"Baixo")</f>
        <v>Baixo</v>
      </c>
      <c r="AY44" s="3" t="str">
        <f>IFERROR(__xludf.DUMMYFUNCTION("GoogleTranslate(C44, ""en"", ""ro"")"),"Scăzut")</f>
        <v>Scăzut</v>
      </c>
      <c r="AZ44" s="3" t="str">
        <f>IFERROR(__xludf.DUMMYFUNCTION("GoogleTranslate(C44, ""en"", ""ru"")"),"Низкий")</f>
        <v>Низкий</v>
      </c>
      <c r="BA44" s="3" t="str">
        <f>IFERROR(__xludf.DUMMYFUNCTION("GoogleTranslate(C44, ""en"", ""sr"")"),"Ниско")</f>
        <v>Ниско</v>
      </c>
      <c r="BB44" s="3" t="str">
        <f>IFERROR(__xludf.DUMMYFUNCTION("GoogleTranslate(C44, ""en"", ""si"")"),"අඩුයි")</f>
        <v>අඩුයි</v>
      </c>
      <c r="BC44" s="3" t="str">
        <f>IFERROR(__xludf.DUMMYFUNCTION("GoogleTranslate(C44, ""en"", ""sk"")"),"Nízka")</f>
        <v>Nízka</v>
      </c>
      <c r="BD44" s="3" t="str">
        <f>IFERROR(__xludf.DUMMYFUNCTION("GoogleTranslate(C44, ""en"", ""sl"")"),"Nizka")</f>
        <v>Nizka</v>
      </c>
      <c r="BE44" s="3" t="str">
        <f>IFERROR(__xludf.DUMMYFUNCTION("GoogleTranslate(C44, ""en"", ""es"")"),"Bajo")</f>
        <v>Bajo</v>
      </c>
      <c r="BF44" s="3" t="str">
        <f>IFERROR(__xludf.DUMMYFUNCTION("GoogleTranslate(C44, ""en"", ""sw"")"),"Chini")</f>
        <v>Chini</v>
      </c>
      <c r="BG44" s="3" t="str">
        <f>IFERROR(__xludf.DUMMYFUNCTION("GoogleTranslate(C44, ""en"", ""sv"")"),"Låg")</f>
        <v>Låg</v>
      </c>
      <c r="BH44" s="3" t="str">
        <f>IFERROR(__xludf.DUMMYFUNCTION("GoogleTranslate(C44, ""en"", ""te"")"),"తక్కువ")</f>
        <v>తక్కువ</v>
      </c>
      <c r="BI44" s="3" t="str">
        <f>IFERROR(__xludf.DUMMYFUNCTION("GoogleTranslate(C44, ""en"", ""th"")"),"ต่ำ")</f>
        <v>ต่ำ</v>
      </c>
      <c r="BJ44" s="3" t="str">
        <f>IFERROR(__xludf.DUMMYFUNCTION("GoogleTranslate(C44, ""en"", ""tr"")"),"Düşük")</f>
        <v>Düşük</v>
      </c>
      <c r="BK44" s="3" t="str">
        <f>IFERROR(__xludf.DUMMYFUNCTION("GoogleTranslate(C44, ""en"", ""uk"")"),"Низький")</f>
        <v>Низький</v>
      </c>
      <c r="BL44" s="3" t="str">
        <f>IFERROR(__xludf.DUMMYFUNCTION("GoogleTranslate(C44, ""en"", ""zu"")"),"Phansi")</f>
        <v>Phansi</v>
      </c>
    </row>
    <row r="45">
      <c r="A45" s="1" t="str">
        <f t="shared" si="1"/>
        <v>High</v>
      </c>
      <c r="B45" s="4" t="s">
        <v>107</v>
      </c>
      <c r="C45" s="1" t="str">
        <f t="shared" si="2"/>
        <v>High</v>
      </c>
      <c r="D45" s="3" t="str">
        <f>IFERROR(__xludf.DUMMYFUNCTION("GoogleTranslate(C45, ""en"", ""es"")"),"Alto")</f>
        <v>Alto</v>
      </c>
      <c r="E45" s="3" t="str">
        <f>IFERROR(__xludf.DUMMYFUNCTION("GoogleTranslate(C45, ""en"", ""ar"")"),"عالي")</f>
        <v>عالي</v>
      </c>
      <c r="F45" s="3" t="str">
        <f>IFERROR(__xludf.DUMMYFUNCTION("GoogleTranslate(C45, ""en"", ""hy"")"),"Բարձր")</f>
        <v>Բարձր</v>
      </c>
      <c r="G45" s="3" t="str">
        <f>IFERROR(__xludf.DUMMYFUNCTION("GoogleTranslate(C45, ""en"", ""vi"")"),"Cao")</f>
        <v>Cao</v>
      </c>
      <c r="H45" s="3" t="str">
        <f>IFERROR(__xludf.DUMMYFUNCTION("GoogleTranslate(C45, ""en"", ""az"")"),"Yüksək")</f>
        <v>Yüksək</v>
      </c>
      <c r="I45" s="3" t="str">
        <f>IFERROR(__xludf.DUMMYFUNCTION("GoogleTranslate(C45, ""en"", ""eu"")"),"Alta")</f>
        <v>Alta</v>
      </c>
      <c r="J45" s="3" t="str">
        <f>IFERROR(__xludf.DUMMYFUNCTION("GoogleTranslate(C45, ""en"", ""be"")"),"Высокі")</f>
        <v>Высокі</v>
      </c>
      <c r="K45" s="3" t="str">
        <f>IFERROR(__xludf.DUMMYFUNCTION("GoogleTranslate(C45, ""en"", ""bn"")"),"উচ্চ")</f>
        <v>উচ্চ</v>
      </c>
      <c r="L45" s="3" t="str">
        <f>IFERROR(__xludf.DUMMYFUNCTION("GoogleTranslate(C45, ""en"", ""bg"")"),"високо")</f>
        <v>високо</v>
      </c>
      <c r="M45" s="3" t="str">
        <f>IFERROR(__xludf.DUMMYFUNCTION("GoogleTranslate(C45, ""en"", ""my"")"),"မြင့်သည်။")</f>
        <v>မြင့်သည်။</v>
      </c>
      <c r="N45" s="3" t="str">
        <f>IFERROR(__xludf.DUMMYFUNCTION("GoogleTranslate(C45, ""en"", ""ca"")"),"Alt")</f>
        <v>Alt</v>
      </c>
      <c r="O45" s="3" t="str">
        <f>IFERROR(__xludf.DUMMYFUNCTION("GoogleTranslate(C45, ""en"", ""zh-cn"")"),"高的")</f>
        <v>高的</v>
      </c>
      <c r="P45" s="3" t="str">
        <f>IFERROR(__xludf.DUMMYFUNCTION("GoogleTranslate(C45, ""en"", ""zh-TW"")"),"高的")</f>
        <v>高的</v>
      </c>
      <c r="Q45" s="3" t="str">
        <f>IFERROR(__xludf.DUMMYFUNCTION("GoogleTranslate(C45, ""en"", ""hr"")"),"visoko")</f>
        <v>visoko</v>
      </c>
      <c r="R45" s="3" t="str">
        <f>IFERROR(__xludf.DUMMYFUNCTION("GoogleTranslate(C45, ""en"", ""cs"")"),"Vysoký")</f>
        <v>Vysoký</v>
      </c>
      <c r="S45" s="3" t="str">
        <f>IFERROR(__xludf.DUMMYFUNCTION("GoogleTranslate(C45, ""en"", ""da"")"),"Høj")</f>
        <v>Høj</v>
      </c>
      <c r="T45" s="3" t="str">
        <f>IFERROR(__xludf.DUMMYFUNCTION("GoogleTranslate(C45, ""en"", ""nl"")"),"Hoog")</f>
        <v>Hoog</v>
      </c>
      <c r="U45" s="3" t="str">
        <f>IFERROR(__xludf.DUMMYFUNCTION("GoogleTranslate(C45, ""en"", ""et"")"),"Kõrge")</f>
        <v>Kõrge</v>
      </c>
      <c r="V45" s="1" t="str">
        <f t="shared" si="3"/>
        <v>High</v>
      </c>
      <c r="W45" s="3" t="str">
        <f>IFERROR(__xludf.DUMMYFUNCTION("GoogleTranslate(C45, ""en"", ""fi"")"),"Korkea")</f>
        <v>Korkea</v>
      </c>
      <c r="X45" s="3" t="str">
        <f>IFERROR(__xludf.DUMMYFUNCTION("GoogleTranslate(C45, ""en"", ""fr"")"),"Haut")</f>
        <v>Haut</v>
      </c>
      <c r="Y45" s="3" t="str">
        <f>IFERROR(__xludf.DUMMYFUNCTION("GoogleTranslate(C45, ""en"", ""de"")"),"Hoch")</f>
        <v>Hoch</v>
      </c>
      <c r="Z45" s="3" t="str">
        <f>IFERROR(__xludf.DUMMYFUNCTION("GoogleTranslate(C45, ""en"", ""el"")"),"Ψηλά")</f>
        <v>Ψηλά</v>
      </c>
      <c r="AA45" s="3" t="str">
        <f>IFERROR(__xludf.DUMMYFUNCTION("GoogleTranslate(C45, ""en"", ""iw"")"),"גָבוֹהַ")</f>
        <v>גָבוֹהַ</v>
      </c>
      <c r="AB45" s="3" t="str">
        <f>IFERROR(__xludf.DUMMYFUNCTION("GoogleTranslate(C45, ""en"", ""hi"")"),"उच्च")</f>
        <v>उच्च</v>
      </c>
      <c r="AC45" s="3" t="str">
        <f>IFERROR(__xludf.DUMMYFUNCTION("GoogleTranslate(C45, ""en"", ""hu"")"),"Magas")</f>
        <v>Magas</v>
      </c>
      <c r="AD45" s="3" t="str">
        <f>IFERROR(__xludf.DUMMYFUNCTION("GoogleTranslate(C45, ""en"", ""is"")"),"Hátt")</f>
        <v>Hátt</v>
      </c>
      <c r="AE45" s="3" t="str">
        <f>IFERROR(__xludf.DUMMYFUNCTION("GoogleTranslate(C45, ""en"", ""id"")"),"Tinggi")</f>
        <v>Tinggi</v>
      </c>
      <c r="AF45" s="3" t="str">
        <f>IFERROR(__xludf.DUMMYFUNCTION("GoogleTranslate(C45, ""en"", ""in"")"),"Tinggi")</f>
        <v>Tinggi</v>
      </c>
      <c r="AG45" s="3" t="str">
        <f>IFERROR(__xludf.DUMMYFUNCTION("GoogleTranslate(C45, ""en"", ""it"")"),"Alto")</f>
        <v>Alto</v>
      </c>
      <c r="AH45" s="3" t="str">
        <f>IFERROR(__xludf.DUMMYFUNCTION("GoogleTranslate(C45, ""en"", ""ja"")"),"高い")</f>
        <v>高い</v>
      </c>
      <c r="AI45" s="3" t="str">
        <f>IFERROR(__xludf.DUMMYFUNCTION("GoogleTranslate(C45, ""en"", ""kn"")"),"ಹೆಚ್ಚು")</f>
        <v>ಹೆಚ್ಚು</v>
      </c>
      <c r="AJ45" s="3" t="str">
        <f>IFERROR(__xludf.DUMMYFUNCTION("GoogleTranslate(C45, ""en"", ""km"")"),"ខ្ពស់។")</f>
        <v>ខ្ពស់។</v>
      </c>
      <c r="AK45" s="3" t="str">
        <f>IFERROR(__xludf.DUMMYFUNCTION("GoogleTranslate(C45, ""en"", ""ko"")"),"높은")</f>
        <v>높은</v>
      </c>
      <c r="AL45" s="3" t="str">
        <f>IFERROR(__xludf.DUMMYFUNCTION("GoogleTranslate(C45, ""en"", ""lo"")"),"ສູງ")</f>
        <v>ສູງ</v>
      </c>
      <c r="AM45" s="3" t="str">
        <f>IFERROR(__xludf.DUMMYFUNCTION("GoogleTranslate(C45, ""en"", ""lv"")"),"Augsts")</f>
        <v>Augsts</v>
      </c>
      <c r="AN45" s="3" t="str">
        <f>IFERROR(__xludf.DUMMYFUNCTION("GoogleTranslate(C45, ""en"", ""lt"")"),"Aukštas")</f>
        <v>Aukštas</v>
      </c>
      <c r="AO45" s="3" t="str">
        <f>IFERROR(__xludf.DUMMYFUNCTION("GoogleTranslate(C45, ""en"", ""mk"")"),"Високо")</f>
        <v>Високо</v>
      </c>
      <c r="AP45" s="3" t="str">
        <f>IFERROR(__xludf.DUMMYFUNCTION("GoogleTranslate(C45, ""en"", ""ms"")"),"tinggi")</f>
        <v>tinggi</v>
      </c>
      <c r="AQ45" s="3" t="str">
        <f>IFERROR(__xludf.DUMMYFUNCTION("GoogleTranslate(C45, ""en"", ""ml"")"),"ഉയർന്നത്")</f>
        <v>ഉയർന്നത്</v>
      </c>
      <c r="AR45" s="3" t="str">
        <f>IFERROR(__xludf.DUMMYFUNCTION("GoogleTranslate(C45, ""en"", ""mr"")"),"उच्च")</f>
        <v>उच्च</v>
      </c>
      <c r="AS45" s="3" t="str">
        <f>IFERROR(__xludf.DUMMYFUNCTION("GoogleTranslate(C45, ""en"", ""mn"")"),"Өндөр")</f>
        <v>Өндөр</v>
      </c>
      <c r="AT45" s="3" t="str">
        <f>IFERROR(__xludf.DUMMYFUNCTION("GoogleTranslate(C45, ""en"", ""ne"")"),"उच्च")</f>
        <v>उच्च</v>
      </c>
      <c r="AU45" s="3" t="str">
        <f>IFERROR(__xludf.DUMMYFUNCTION("GoogleTranslate(C45, ""en"", ""nb"")"),"Høy")</f>
        <v>Høy</v>
      </c>
      <c r="AV45" s="3" t="str">
        <f>IFERROR(__xludf.DUMMYFUNCTION("GoogleTranslate(C45, ""en"", ""fa"")"),"بالا")</f>
        <v>بالا</v>
      </c>
      <c r="AW45" s="3" t="str">
        <f>IFERROR(__xludf.DUMMYFUNCTION("GoogleTranslate(C45, ""en"", ""pl"")"),"Wysoki")</f>
        <v>Wysoki</v>
      </c>
      <c r="AX45" s="3" t="str">
        <f>IFERROR(__xludf.DUMMYFUNCTION("GoogleTranslate(C45, ""en"", ""pt"")"),"Alto")</f>
        <v>Alto</v>
      </c>
      <c r="AY45" s="3" t="str">
        <f>IFERROR(__xludf.DUMMYFUNCTION("GoogleTranslate(C45, ""en"", ""ro"")"),"Ridicat")</f>
        <v>Ridicat</v>
      </c>
      <c r="AZ45" s="3" t="str">
        <f>IFERROR(__xludf.DUMMYFUNCTION("GoogleTranslate(C45, ""en"", ""ru"")"),"Высокий")</f>
        <v>Высокий</v>
      </c>
      <c r="BA45" s="3" t="str">
        <f>IFERROR(__xludf.DUMMYFUNCTION("GoogleTranslate(C45, ""en"", ""sr"")"),"Високо")</f>
        <v>Високо</v>
      </c>
      <c r="BB45" s="3" t="str">
        <f>IFERROR(__xludf.DUMMYFUNCTION("GoogleTranslate(C45, ""en"", ""si"")"),"ඉහළ")</f>
        <v>ඉහළ</v>
      </c>
      <c r="BC45" s="3" t="str">
        <f>IFERROR(__xludf.DUMMYFUNCTION("GoogleTranslate(C45, ""en"", ""sk"")"),"Vysoká")</f>
        <v>Vysoká</v>
      </c>
      <c r="BD45" s="3" t="str">
        <f>IFERROR(__xludf.DUMMYFUNCTION("GoogleTranslate(C45, ""en"", ""sl"")"),"visoko")</f>
        <v>visoko</v>
      </c>
      <c r="BE45" s="3" t="str">
        <f>IFERROR(__xludf.DUMMYFUNCTION("GoogleTranslate(C45, ""en"", ""es"")"),"Alto")</f>
        <v>Alto</v>
      </c>
      <c r="BF45" s="3" t="str">
        <f>IFERROR(__xludf.DUMMYFUNCTION("GoogleTranslate(C45, ""en"", ""sw"")"),"Juu")</f>
        <v>Juu</v>
      </c>
      <c r="BG45" s="3" t="str">
        <f>IFERROR(__xludf.DUMMYFUNCTION("GoogleTranslate(C45, ""en"", ""sv"")"),"Hög")</f>
        <v>Hög</v>
      </c>
      <c r="BH45" s="3" t="str">
        <f>IFERROR(__xludf.DUMMYFUNCTION("GoogleTranslate(C45, ""en"", ""te"")"),"అధిక")</f>
        <v>అధిక</v>
      </c>
      <c r="BI45" s="3" t="str">
        <f>IFERROR(__xludf.DUMMYFUNCTION("GoogleTranslate(C45, ""en"", ""th"")"),"สูง")</f>
        <v>สูง</v>
      </c>
      <c r="BJ45" s="3" t="str">
        <f>IFERROR(__xludf.DUMMYFUNCTION("GoogleTranslate(C45, ""en"", ""tr"")"),"Yüksek")</f>
        <v>Yüksek</v>
      </c>
      <c r="BK45" s="3" t="str">
        <f>IFERROR(__xludf.DUMMYFUNCTION("GoogleTranslate(C45, ""en"", ""uk"")"),"Високий")</f>
        <v>Високий</v>
      </c>
      <c r="BL45" s="3" t="str">
        <f>IFERROR(__xludf.DUMMYFUNCTION("GoogleTranslate(C45, ""en"", ""zu"")"),"Phezulu")</f>
        <v>Phezulu</v>
      </c>
    </row>
    <row r="46">
      <c r="A46" s="1" t="str">
        <f t="shared" si="1"/>
        <v>Humidity</v>
      </c>
      <c r="B46" s="4" t="s">
        <v>108</v>
      </c>
      <c r="C46" s="1" t="str">
        <f t="shared" si="2"/>
        <v>Humidity</v>
      </c>
      <c r="D46" s="3" t="str">
        <f>IFERROR(__xludf.DUMMYFUNCTION("GoogleTranslate(C46, ""en"", ""es"")"),"Humedad")</f>
        <v>Humedad</v>
      </c>
      <c r="E46" s="3" t="str">
        <f>IFERROR(__xludf.DUMMYFUNCTION("GoogleTranslate(C46, ""en"", ""ar"")"),"رطوبة")</f>
        <v>رطوبة</v>
      </c>
      <c r="F46" s="3" t="str">
        <f>IFERROR(__xludf.DUMMYFUNCTION("GoogleTranslate(C46, ""en"", ""hy"")"),"Խոնավություն")</f>
        <v>Խոնավություն</v>
      </c>
      <c r="G46" s="3" t="str">
        <f>IFERROR(__xludf.DUMMYFUNCTION("GoogleTranslate(C46, ""en"", ""vi"")"),"Độ ẩm")</f>
        <v>Độ ẩm</v>
      </c>
      <c r="H46" s="3" t="str">
        <f>IFERROR(__xludf.DUMMYFUNCTION("GoogleTranslate(C46, ""en"", ""az"")"),"Rütubət")</f>
        <v>Rütubət</v>
      </c>
      <c r="I46" s="3" t="str">
        <f>IFERROR(__xludf.DUMMYFUNCTION("GoogleTranslate(C46, ""en"", ""eu"")"),"Hezetasuna")</f>
        <v>Hezetasuna</v>
      </c>
      <c r="J46" s="3" t="str">
        <f>IFERROR(__xludf.DUMMYFUNCTION("GoogleTranslate(C46, ""en"", ""be"")"),"Вільготнасць")</f>
        <v>Вільготнасць</v>
      </c>
      <c r="K46" s="3" t="str">
        <f>IFERROR(__xludf.DUMMYFUNCTION("GoogleTranslate(C46, ""en"", ""bn"")"),"আর্দ্রতা")</f>
        <v>আর্দ্রতা</v>
      </c>
      <c r="L46" s="3" t="str">
        <f>IFERROR(__xludf.DUMMYFUNCTION("GoogleTranslate(C46, ""en"", ""bg"")"),"Влажност")</f>
        <v>Влажност</v>
      </c>
      <c r="M46" s="3" t="str">
        <f>IFERROR(__xludf.DUMMYFUNCTION("GoogleTranslate(C46, ""en"", ""my"")"),"စိုထိုင်းဆ")</f>
        <v>စိုထိုင်းဆ</v>
      </c>
      <c r="N46" s="3" t="str">
        <f>IFERROR(__xludf.DUMMYFUNCTION("GoogleTranslate(C46, ""en"", ""ca"")"),"Humitat")</f>
        <v>Humitat</v>
      </c>
      <c r="O46" s="3" t="str">
        <f>IFERROR(__xludf.DUMMYFUNCTION("GoogleTranslate(C46, ""en"", ""zh-cn"")"),"湿度")</f>
        <v>湿度</v>
      </c>
      <c r="P46" s="3" t="str">
        <f>IFERROR(__xludf.DUMMYFUNCTION("GoogleTranslate(C46, ""en"", ""zh-TW"")"),"濕度")</f>
        <v>濕度</v>
      </c>
      <c r="Q46" s="3" t="str">
        <f>IFERROR(__xludf.DUMMYFUNCTION("GoogleTranslate(C46, ""en"", ""hr"")"),"Vlažnost")</f>
        <v>Vlažnost</v>
      </c>
      <c r="R46" s="3" t="str">
        <f>IFERROR(__xludf.DUMMYFUNCTION("GoogleTranslate(C46, ""en"", ""cs"")"),"Vlhkost")</f>
        <v>Vlhkost</v>
      </c>
      <c r="S46" s="3" t="str">
        <f>IFERROR(__xludf.DUMMYFUNCTION("GoogleTranslate(C46, ""en"", ""da"")"),"Fugtighed")</f>
        <v>Fugtighed</v>
      </c>
      <c r="T46" s="3" t="str">
        <f>IFERROR(__xludf.DUMMYFUNCTION("GoogleTranslate(C46, ""en"", ""nl"")"),"Vochtigheid")</f>
        <v>Vochtigheid</v>
      </c>
      <c r="U46" s="3" t="str">
        <f>IFERROR(__xludf.DUMMYFUNCTION("GoogleTranslate(C46, ""en"", ""et"")"),"Niiskus")</f>
        <v>Niiskus</v>
      </c>
      <c r="V46" s="1" t="str">
        <f t="shared" si="3"/>
        <v>Humidity</v>
      </c>
      <c r="W46" s="3" t="str">
        <f>IFERROR(__xludf.DUMMYFUNCTION("GoogleTranslate(C46, ""en"", ""fi"")"),"Kosteus")</f>
        <v>Kosteus</v>
      </c>
      <c r="X46" s="3" t="str">
        <f>IFERROR(__xludf.DUMMYFUNCTION("GoogleTranslate(C46, ""en"", ""fr"")"),"Humidité")</f>
        <v>Humidité</v>
      </c>
      <c r="Y46" s="3" t="str">
        <f>IFERROR(__xludf.DUMMYFUNCTION("GoogleTranslate(C46, ""en"", ""de"")"),"Luftfeuchtigkeit")</f>
        <v>Luftfeuchtigkeit</v>
      </c>
      <c r="Z46" s="3" t="str">
        <f>IFERROR(__xludf.DUMMYFUNCTION("GoogleTranslate(C46, ""en"", ""el"")"),"Υγρασία")</f>
        <v>Υγρασία</v>
      </c>
      <c r="AA46" s="3" t="str">
        <f>IFERROR(__xludf.DUMMYFUNCTION("GoogleTranslate(C46, ""en"", ""iw"")"),"לַחוּת")</f>
        <v>לַחוּת</v>
      </c>
      <c r="AB46" s="3" t="str">
        <f>IFERROR(__xludf.DUMMYFUNCTION("GoogleTranslate(C46, ""en"", ""hi"")"),"नमी")</f>
        <v>नमी</v>
      </c>
      <c r="AC46" s="3" t="str">
        <f>IFERROR(__xludf.DUMMYFUNCTION("GoogleTranslate(C46, ""en"", ""hu"")"),"Nedvesség")</f>
        <v>Nedvesség</v>
      </c>
      <c r="AD46" s="3" t="str">
        <f>IFERROR(__xludf.DUMMYFUNCTION("GoogleTranslate(C46, ""en"", ""is"")"),"Raki")</f>
        <v>Raki</v>
      </c>
      <c r="AE46" s="3" t="str">
        <f>IFERROR(__xludf.DUMMYFUNCTION("GoogleTranslate(C46, ""en"", ""id"")"),"Kelembaban")</f>
        <v>Kelembaban</v>
      </c>
      <c r="AF46" s="3" t="str">
        <f>IFERROR(__xludf.DUMMYFUNCTION("GoogleTranslate(C46, ""en"", ""in"")"),"Kelembaban")</f>
        <v>Kelembaban</v>
      </c>
      <c r="AG46" s="3" t="str">
        <f>IFERROR(__xludf.DUMMYFUNCTION("GoogleTranslate(C46, ""en"", ""it"")"),"Umidità")</f>
        <v>Umidità</v>
      </c>
      <c r="AH46" s="3" t="str">
        <f>IFERROR(__xludf.DUMMYFUNCTION("GoogleTranslate(C46, ""en"", ""ja"")"),"湿度")</f>
        <v>湿度</v>
      </c>
      <c r="AI46" s="3" t="str">
        <f>IFERROR(__xludf.DUMMYFUNCTION("GoogleTranslate(C46, ""en"", ""kn"")"),"ಆರ್ದ್ರತೆ")</f>
        <v>ಆರ್ದ್ರತೆ</v>
      </c>
      <c r="AJ46" s="3" t="str">
        <f>IFERROR(__xludf.DUMMYFUNCTION("GoogleTranslate(C46, ""en"", ""km"")"),"សំណើម")</f>
        <v>សំណើម</v>
      </c>
      <c r="AK46" s="3" t="str">
        <f>IFERROR(__xludf.DUMMYFUNCTION("GoogleTranslate(C46, ""en"", ""ko"")"),"습기")</f>
        <v>습기</v>
      </c>
      <c r="AL46" s="3" t="str">
        <f>IFERROR(__xludf.DUMMYFUNCTION("GoogleTranslate(C46, ""en"", ""lo"")"),"ຄວາມຊຸ່ມຊື່ນ")</f>
        <v>ຄວາມຊຸ່ມຊື່ນ</v>
      </c>
      <c r="AM46" s="3" t="str">
        <f>IFERROR(__xludf.DUMMYFUNCTION("GoogleTranslate(C46, ""en"", ""lv"")"),"Mitrums")</f>
        <v>Mitrums</v>
      </c>
      <c r="AN46" s="3" t="str">
        <f>IFERROR(__xludf.DUMMYFUNCTION("GoogleTranslate(C46, ""en"", ""lt"")"),"Drėgmė")</f>
        <v>Drėgmė</v>
      </c>
      <c r="AO46" s="3" t="str">
        <f>IFERROR(__xludf.DUMMYFUNCTION("GoogleTranslate(C46, ""en"", ""mk"")"),"Влажност")</f>
        <v>Влажност</v>
      </c>
      <c r="AP46" s="3" t="str">
        <f>IFERROR(__xludf.DUMMYFUNCTION("GoogleTranslate(C46, ""en"", ""ms"")"),"Kelembapan")</f>
        <v>Kelembapan</v>
      </c>
      <c r="AQ46" s="3" t="str">
        <f>IFERROR(__xludf.DUMMYFUNCTION("GoogleTranslate(C46, ""en"", ""ml"")"),"ഈർപ്പം")</f>
        <v>ഈർപ്പം</v>
      </c>
      <c r="AR46" s="3" t="str">
        <f>IFERROR(__xludf.DUMMYFUNCTION("GoogleTranslate(C46, ""en"", ""mr"")"),"आर्द्रता")</f>
        <v>आर्द्रता</v>
      </c>
      <c r="AS46" s="3" t="str">
        <f>IFERROR(__xludf.DUMMYFUNCTION("GoogleTranslate(C46, ""en"", ""mn"")"),"Чийгшил")</f>
        <v>Чийгшил</v>
      </c>
      <c r="AT46" s="3" t="str">
        <f>IFERROR(__xludf.DUMMYFUNCTION("GoogleTranslate(C46, ""en"", ""ne"")"),"आर्द्रता")</f>
        <v>आर्द्रता</v>
      </c>
      <c r="AU46" s="3" t="str">
        <f>IFERROR(__xludf.DUMMYFUNCTION("GoogleTranslate(C46, ""en"", ""nb"")"),"Fuktighet")</f>
        <v>Fuktighet</v>
      </c>
      <c r="AV46" s="3" t="str">
        <f>IFERROR(__xludf.DUMMYFUNCTION("GoogleTranslate(C46, ""en"", ""fa"")"),"رطوبت")</f>
        <v>رطوبت</v>
      </c>
      <c r="AW46" s="3" t="str">
        <f>IFERROR(__xludf.DUMMYFUNCTION("GoogleTranslate(C46, ""en"", ""pl"")"),"Wilgotność")</f>
        <v>Wilgotność</v>
      </c>
      <c r="AX46" s="3" t="str">
        <f>IFERROR(__xludf.DUMMYFUNCTION("GoogleTranslate(C46, ""en"", ""pt"")"),"Umidade")</f>
        <v>Umidade</v>
      </c>
      <c r="AY46" s="3" t="str">
        <f>IFERROR(__xludf.DUMMYFUNCTION("GoogleTranslate(C46, ""en"", ""ro"")"),"Umiditate")</f>
        <v>Umiditate</v>
      </c>
      <c r="AZ46" s="3" t="str">
        <f>IFERROR(__xludf.DUMMYFUNCTION("GoogleTranslate(C46, ""en"", ""ru"")"),"Влажность")</f>
        <v>Влажность</v>
      </c>
      <c r="BA46" s="3" t="str">
        <f>IFERROR(__xludf.DUMMYFUNCTION("GoogleTranslate(C46, ""en"", ""sr"")"),"Влажност")</f>
        <v>Влажност</v>
      </c>
      <c r="BB46" s="3" t="str">
        <f>IFERROR(__xludf.DUMMYFUNCTION("GoogleTranslate(C46, ""en"", ""si"")"),"ආර්ද්රතාවය")</f>
        <v>ආර්ද්රතාවය</v>
      </c>
      <c r="BC46" s="3" t="str">
        <f>IFERROR(__xludf.DUMMYFUNCTION("GoogleTranslate(C46, ""en"", ""sk"")"),"Vlhkosť")</f>
        <v>Vlhkosť</v>
      </c>
      <c r="BD46" s="3" t="str">
        <f>IFERROR(__xludf.DUMMYFUNCTION("GoogleTranslate(C46, ""en"", ""sl"")"),"Vlažnost")</f>
        <v>Vlažnost</v>
      </c>
      <c r="BE46" s="3" t="str">
        <f>IFERROR(__xludf.DUMMYFUNCTION("GoogleTranslate(C46, ""en"", ""es"")"),"Humedad")</f>
        <v>Humedad</v>
      </c>
      <c r="BF46" s="3" t="str">
        <f>IFERROR(__xludf.DUMMYFUNCTION("GoogleTranslate(C46, ""en"", ""sw"")"),"Unyevu")</f>
        <v>Unyevu</v>
      </c>
      <c r="BG46" s="3" t="str">
        <f>IFERROR(__xludf.DUMMYFUNCTION("GoogleTranslate(C46, ""en"", ""sv"")"),"Fuktighet")</f>
        <v>Fuktighet</v>
      </c>
      <c r="BH46" s="3" t="str">
        <f>IFERROR(__xludf.DUMMYFUNCTION("GoogleTranslate(C46, ""en"", ""te"")"),"తేమ")</f>
        <v>తేమ</v>
      </c>
      <c r="BI46" s="3" t="str">
        <f>IFERROR(__xludf.DUMMYFUNCTION("GoogleTranslate(C46, ""en"", ""th"")"),"ความชื้น")</f>
        <v>ความชื้น</v>
      </c>
      <c r="BJ46" s="3" t="str">
        <f>IFERROR(__xludf.DUMMYFUNCTION("GoogleTranslate(C46, ""en"", ""tr"")"),"Nem")</f>
        <v>Nem</v>
      </c>
      <c r="BK46" s="3" t="str">
        <f>IFERROR(__xludf.DUMMYFUNCTION("GoogleTranslate(C46, ""en"", ""uk"")"),"Вологість")</f>
        <v>Вологість</v>
      </c>
      <c r="BL46" s="3" t="str">
        <f>IFERROR(__xludf.DUMMYFUNCTION("GoogleTranslate(C46, ""en"", ""zu"")"),"Umswakama")</f>
        <v>Umswakama</v>
      </c>
    </row>
    <row r="47">
      <c r="A47" s="1" t="str">
        <f t="shared" si="1"/>
        <v>Pressure</v>
      </c>
      <c r="B47" s="4" t="s">
        <v>109</v>
      </c>
      <c r="C47" s="1" t="str">
        <f t="shared" si="2"/>
        <v>Pressure</v>
      </c>
      <c r="D47" s="3" t="str">
        <f>IFERROR(__xludf.DUMMYFUNCTION("GoogleTranslate(C47, ""en"", ""es"")"),"Presión")</f>
        <v>Presión</v>
      </c>
      <c r="E47" s="3" t="str">
        <f>IFERROR(__xludf.DUMMYFUNCTION("GoogleTranslate(C47, ""en"", ""ar"")"),"ضغط")</f>
        <v>ضغط</v>
      </c>
      <c r="F47" s="3" t="str">
        <f>IFERROR(__xludf.DUMMYFUNCTION("GoogleTranslate(C47, ""en"", ""hy"")"),"Ճնշում")</f>
        <v>Ճնշում</v>
      </c>
      <c r="G47" s="3" t="str">
        <f>IFERROR(__xludf.DUMMYFUNCTION("GoogleTranslate(C47, ""en"", ""vi"")"),"Áp lực")</f>
        <v>Áp lực</v>
      </c>
      <c r="H47" s="3" t="str">
        <f>IFERROR(__xludf.DUMMYFUNCTION("GoogleTranslate(C47, ""en"", ""az"")"),"Təzyiq")</f>
        <v>Təzyiq</v>
      </c>
      <c r="I47" s="3" t="str">
        <f>IFERROR(__xludf.DUMMYFUNCTION("GoogleTranslate(C47, ""en"", ""eu"")"),"Presioa")</f>
        <v>Presioa</v>
      </c>
      <c r="J47" s="3" t="str">
        <f>IFERROR(__xludf.DUMMYFUNCTION("GoogleTranslate(C47, ""en"", ""be"")"),"Ціск")</f>
        <v>Ціск</v>
      </c>
      <c r="K47" s="3" t="str">
        <f>IFERROR(__xludf.DUMMYFUNCTION("GoogleTranslate(C47, ""en"", ""bn"")"),"চাপ")</f>
        <v>চাপ</v>
      </c>
      <c r="L47" s="3" t="str">
        <f>IFERROR(__xludf.DUMMYFUNCTION("GoogleTranslate(C47, ""en"", ""bg"")"),"налягане")</f>
        <v>налягане</v>
      </c>
      <c r="M47" s="3" t="str">
        <f>IFERROR(__xludf.DUMMYFUNCTION("GoogleTranslate(C47, ""en"", ""my"")"),"ဖိအား")</f>
        <v>ဖိအား</v>
      </c>
      <c r="N47" s="3" t="str">
        <f>IFERROR(__xludf.DUMMYFUNCTION("GoogleTranslate(C47, ""en"", ""ca"")"),"Pressió")</f>
        <v>Pressió</v>
      </c>
      <c r="O47" s="3" t="str">
        <f>IFERROR(__xludf.DUMMYFUNCTION("GoogleTranslate(C47, ""en"", ""zh-cn"")"),"压力")</f>
        <v>压力</v>
      </c>
      <c r="P47" s="3" t="str">
        <f>IFERROR(__xludf.DUMMYFUNCTION("GoogleTranslate(C47, ""en"", ""zh-TW"")"),"壓力")</f>
        <v>壓力</v>
      </c>
      <c r="Q47" s="3" t="str">
        <f>IFERROR(__xludf.DUMMYFUNCTION("GoogleTranslate(C47, ""en"", ""hr"")"),"Pritisak")</f>
        <v>Pritisak</v>
      </c>
      <c r="R47" s="3" t="str">
        <f>IFERROR(__xludf.DUMMYFUNCTION("GoogleTranslate(C47, ""en"", ""cs"")"),"Tlak")</f>
        <v>Tlak</v>
      </c>
      <c r="S47" s="3" t="str">
        <f>IFERROR(__xludf.DUMMYFUNCTION("GoogleTranslate(C47, ""en"", ""da"")"),"Tryk")</f>
        <v>Tryk</v>
      </c>
      <c r="T47" s="3" t="str">
        <f>IFERROR(__xludf.DUMMYFUNCTION("GoogleTranslate(C47, ""en"", ""nl"")"),"Druk")</f>
        <v>Druk</v>
      </c>
      <c r="U47" s="3" t="str">
        <f>IFERROR(__xludf.DUMMYFUNCTION("GoogleTranslate(C47, ""en"", ""et"")"),"Surve")</f>
        <v>Surve</v>
      </c>
      <c r="V47" s="1" t="str">
        <f t="shared" si="3"/>
        <v>Pressure</v>
      </c>
      <c r="W47" s="3" t="str">
        <f>IFERROR(__xludf.DUMMYFUNCTION("GoogleTranslate(C47, ""en"", ""fi"")"),"Paine")</f>
        <v>Paine</v>
      </c>
      <c r="X47" s="3" t="str">
        <f>IFERROR(__xludf.DUMMYFUNCTION("GoogleTranslate(C47, ""en"", ""fr"")"),"Pression")</f>
        <v>Pression</v>
      </c>
      <c r="Y47" s="3" t="str">
        <f>IFERROR(__xludf.DUMMYFUNCTION("GoogleTranslate(C47, ""en"", ""de"")"),"Druck")</f>
        <v>Druck</v>
      </c>
      <c r="Z47" s="3" t="str">
        <f>IFERROR(__xludf.DUMMYFUNCTION("GoogleTranslate(C47, ""en"", ""el"")"),"Πίεση")</f>
        <v>Πίεση</v>
      </c>
      <c r="AA47" s="3" t="str">
        <f>IFERROR(__xludf.DUMMYFUNCTION("GoogleTranslate(C47, ""en"", ""iw"")"),"לַחַץ")</f>
        <v>לַחַץ</v>
      </c>
      <c r="AB47" s="3" t="str">
        <f>IFERROR(__xludf.DUMMYFUNCTION("GoogleTranslate(C47, ""en"", ""hi"")"),"दबाव")</f>
        <v>दबाव</v>
      </c>
      <c r="AC47" s="3" t="str">
        <f>IFERROR(__xludf.DUMMYFUNCTION("GoogleTranslate(C47, ""en"", ""hu"")"),"Nyomás")</f>
        <v>Nyomás</v>
      </c>
      <c r="AD47" s="3" t="str">
        <f>IFERROR(__xludf.DUMMYFUNCTION("GoogleTranslate(C47, ""en"", ""is"")"),"Þrýstingur")</f>
        <v>Þrýstingur</v>
      </c>
      <c r="AE47" s="3" t="str">
        <f>IFERROR(__xludf.DUMMYFUNCTION("GoogleTranslate(C47, ""en"", ""id"")"),"Tekanan")</f>
        <v>Tekanan</v>
      </c>
      <c r="AF47" s="3" t="str">
        <f>IFERROR(__xludf.DUMMYFUNCTION("GoogleTranslate(C47, ""en"", ""in"")"),"Tekanan")</f>
        <v>Tekanan</v>
      </c>
      <c r="AG47" s="3" t="str">
        <f>IFERROR(__xludf.DUMMYFUNCTION("GoogleTranslate(C47, ""en"", ""it"")"),"Pressione")</f>
        <v>Pressione</v>
      </c>
      <c r="AH47" s="3" t="str">
        <f>IFERROR(__xludf.DUMMYFUNCTION("GoogleTranslate(C47, ""en"", ""ja"")"),"プレッシャー")</f>
        <v>プレッシャー</v>
      </c>
      <c r="AI47" s="3" t="str">
        <f>IFERROR(__xludf.DUMMYFUNCTION("GoogleTranslate(C47, ""en"", ""kn"")"),"ಒತ್ತಡ")</f>
        <v>ಒತ್ತಡ</v>
      </c>
      <c r="AJ47" s="3" t="str">
        <f>IFERROR(__xludf.DUMMYFUNCTION("GoogleTranslate(C47, ""en"", ""km"")"),"សម្ពាធ")</f>
        <v>សម្ពាធ</v>
      </c>
      <c r="AK47" s="3" t="str">
        <f>IFERROR(__xludf.DUMMYFUNCTION("GoogleTranslate(C47, ""en"", ""ko"")"),"압력")</f>
        <v>압력</v>
      </c>
      <c r="AL47" s="3" t="str">
        <f>IFERROR(__xludf.DUMMYFUNCTION("GoogleTranslate(C47, ""en"", ""lo"")"),"ຄວາມກົດດັນ")</f>
        <v>ຄວາມກົດດັນ</v>
      </c>
      <c r="AM47" s="3" t="str">
        <f>IFERROR(__xludf.DUMMYFUNCTION("GoogleTranslate(C47, ""en"", ""lv"")"),"Spiediens")</f>
        <v>Spiediens</v>
      </c>
      <c r="AN47" s="3" t="str">
        <f>IFERROR(__xludf.DUMMYFUNCTION("GoogleTranslate(C47, ""en"", ""lt"")"),"Slėgis")</f>
        <v>Slėgis</v>
      </c>
      <c r="AO47" s="3" t="str">
        <f>IFERROR(__xludf.DUMMYFUNCTION("GoogleTranslate(C47, ""en"", ""mk"")"),"Притисок")</f>
        <v>Притисок</v>
      </c>
      <c r="AP47" s="3" t="str">
        <f>IFERROR(__xludf.DUMMYFUNCTION("GoogleTranslate(C47, ""en"", ""ms"")"),"Tekanan")</f>
        <v>Tekanan</v>
      </c>
      <c r="AQ47" s="3" t="str">
        <f>IFERROR(__xludf.DUMMYFUNCTION("GoogleTranslate(C47, ""en"", ""ml"")"),"സമ്മർദ്ദം")</f>
        <v>സമ്മർദ്ദം</v>
      </c>
      <c r="AR47" s="3" t="str">
        <f>IFERROR(__xludf.DUMMYFUNCTION("GoogleTranslate(C47, ""en"", ""mr"")"),"दाब")</f>
        <v>दाब</v>
      </c>
      <c r="AS47" s="3" t="str">
        <f>IFERROR(__xludf.DUMMYFUNCTION("GoogleTranslate(C47, ""en"", ""mn"")"),"Даралт")</f>
        <v>Даралт</v>
      </c>
      <c r="AT47" s="3" t="str">
        <f>IFERROR(__xludf.DUMMYFUNCTION("GoogleTranslate(C47, ""en"", ""ne"")"),"दबाब")</f>
        <v>दबाब</v>
      </c>
      <c r="AU47" s="3" t="str">
        <f>IFERROR(__xludf.DUMMYFUNCTION("GoogleTranslate(C47, ""en"", ""nb"")"),"Trykk")</f>
        <v>Trykk</v>
      </c>
      <c r="AV47" s="3" t="str">
        <f>IFERROR(__xludf.DUMMYFUNCTION("GoogleTranslate(C47, ""en"", ""fa"")"),"فشار")</f>
        <v>فشار</v>
      </c>
      <c r="AW47" s="3" t="str">
        <f>IFERROR(__xludf.DUMMYFUNCTION("GoogleTranslate(C47, ""en"", ""pl"")"),"Ciśnienie")</f>
        <v>Ciśnienie</v>
      </c>
      <c r="AX47" s="3" t="str">
        <f>IFERROR(__xludf.DUMMYFUNCTION("GoogleTranslate(C47, ""en"", ""pt"")"),"Pressão")</f>
        <v>Pressão</v>
      </c>
      <c r="AY47" s="3" t="str">
        <f>IFERROR(__xludf.DUMMYFUNCTION("GoogleTranslate(C47, ""en"", ""ro"")"),"Presiune")</f>
        <v>Presiune</v>
      </c>
      <c r="AZ47" s="3" t="str">
        <f>IFERROR(__xludf.DUMMYFUNCTION("GoogleTranslate(C47, ""en"", ""ru"")"),"Давление")</f>
        <v>Давление</v>
      </c>
      <c r="BA47" s="3" t="str">
        <f>IFERROR(__xludf.DUMMYFUNCTION("GoogleTranslate(C47, ""en"", ""sr"")"),"Притисак")</f>
        <v>Притисак</v>
      </c>
      <c r="BB47" s="3" t="str">
        <f>IFERROR(__xludf.DUMMYFUNCTION("GoogleTranslate(C47, ""en"", ""si"")"),"පීඩනය")</f>
        <v>පීඩනය</v>
      </c>
      <c r="BC47" s="3" t="str">
        <f>IFERROR(__xludf.DUMMYFUNCTION("GoogleTranslate(C47, ""en"", ""sk"")"),"Tlak")</f>
        <v>Tlak</v>
      </c>
      <c r="BD47" s="3" t="str">
        <f>IFERROR(__xludf.DUMMYFUNCTION("GoogleTranslate(C47, ""en"", ""sl"")"),"Pritisk")</f>
        <v>Pritisk</v>
      </c>
      <c r="BE47" s="3" t="str">
        <f>IFERROR(__xludf.DUMMYFUNCTION("GoogleTranslate(C47, ""en"", ""es"")"),"Presión")</f>
        <v>Presión</v>
      </c>
      <c r="BF47" s="3" t="str">
        <f>IFERROR(__xludf.DUMMYFUNCTION("GoogleTranslate(C47, ""en"", ""sw"")"),"Shinikizo")</f>
        <v>Shinikizo</v>
      </c>
      <c r="BG47" s="3" t="str">
        <f>IFERROR(__xludf.DUMMYFUNCTION("GoogleTranslate(C47, ""en"", ""sv"")"),"Tryck")</f>
        <v>Tryck</v>
      </c>
      <c r="BH47" s="3" t="str">
        <f>IFERROR(__xludf.DUMMYFUNCTION("GoogleTranslate(C47, ""en"", ""te"")"),"ఒత్తిడి")</f>
        <v>ఒత్తిడి</v>
      </c>
      <c r="BI47" s="3" t="str">
        <f>IFERROR(__xludf.DUMMYFUNCTION("GoogleTranslate(C47, ""en"", ""th"")"),"ความดัน")</f>
        <v>ความดัน</v>
      </c>
      <c r="BJ47" s="3" t="str">
        <f>IFERROR(__xludf.DUMMYFUNCTION("GoogleTranslate(C47, ""en"", ""tr"")"),"Basınç")</f>
        <v>Basınç</v>
      </c>
      <c r="BK47" s="3" t="str">
        <f>IFERROR(__xludf.DUMMYFUNCTION("GoogleTranslate(C47, ""en"", ""uk"")"),"Тиск")</f>
        <v>Тиск</v>
      </c>
      <c r="BL47" s="3" t="str">
        <f>IFERROR(__xludf.DUMMYFUNCTION("GoogleTranslate(C47, ""en"", ""zu"")"),"Ingcindezi")</f>
        <v>Ingcindezi</v>
      </c>
    </row>
    <row r="48">
      <c r="A48" s="1" t="str">
        <f t="shared" si="1"/>
        <v>Sunrise</v>
      </c>
      <c r="B48" s="4" t="s">
        <v>110</v>
      </c>
      <c r="C48" s="1" t="str">
        <f t="shared" si="2"/>
        <v>Sunrise</v>
      </c>
      <c r="D48" s="3" t="str">
        <f>IFERROR(__xludf.DUMMYFUNCTION("GoogleTranslate(C48, ""en"", ""es"")"),"Amanecer")</f>
        <v>Amanecer</v>
      </c>
      <c r="E48" s="3" t="str">
        <f>IFERROR(__xludf.DUMMYFUNCTION("GoogleTranslate(C48, ""en"", ""ar"")"),"شروق الشمس")</f>
        <v>شروق الشمس</v>
      </c>
      <c r="F48" s="3" t="str">
        <f>IFERROR(__xludf.DUMMYFUNCTION("GoogleTranslate(C48, ""en"", ""hy"")"),"Արեւածագ")</f>
        <v>Արեւածագ</v>
      </c>
      <c r="G48" s="3" t="str">
        <f>IFERROR(__xludf.DUMMYFUNCTION("GoogleTranslate(C48, ""en"", ""vi"")"),"Bình minh")</f>
        <v>Bình minh</v>
      </c>
      <c r="H48" s="3" t="str">
        <f>IFERROR(__xludf.DUMMYFUNCTION("GoogleTranslate(C48, ""en"", ""az"")"),"Günəşin doğuşu")</f>
        <v>Günəşin doğuşu</v>
      </c>
      <c r="I48" s="3" t="str">
        <f>IFERROR(__xludf.DUMMYFUNCTION("GoogleTranslate(C48, ""en"", ""eu"")"),"Egunsentia")</f>
        <v>Egunsentia</v>
      </c>
      <c r="J48" s="3" t="str">
        <f>IFERROR(__xludf.DUMMYFUNCTION("GoogleTranslate(C48, ""en"", ""be"")"),"Усход сонца")</f>
        <v>Усход сонца</v>
      </c>
      <c r="K48" s="3" t="str">
        <f>IFERROR(__xludf.DUMMYFUNCTION("GoogleTranslate(C48, ""en"", ""bn"")"),"সূর্যোদয়")</f>
        <v>সূর্যোদয়</v>
      </c>
      <c r="L48" s="3" t="str">
        <f>IFERROR(__xludf.DUMMYFUNCTION("GoogleTranslate(C48, ""en"", ""bg"")"),"Изгрев")</f>
        <v>Изгрев</v>
      </c>
      <c r="M48" s="3" t="str">
        <f>IFERROR(__xludf.DUMMYFUNCTION("GoogleTranslate(C48, ""en"", ""my"")"),"နေထွက်")</f>
        <v>နေထွက်</v>
      </c>
      <c r="N48" s="3" t="str">
        <f>IFERROR(__xludf.DUMMYFUNCTION("GoogleTranslate(C48, ""en"", ""ca"")"),"Sortida del sol")</f>
        <v>Sortida del sol</v>
      </c>
      <c r="O48" s="3" t="str">
        <f>IFERROR(__xludf.DUMMYFUNCTION("GoogleTranslate(C48, ""en"", ""zh-cn"")"),"日出")</f>
        <v>日出</v>
      </c>
      <c r="P48" s="3" t="str">
        <f>IFERROR(__xludf.DUMMYFUNCTION("GoogleTranslate(C48, ""en"", ""zh-TW"")"),"日出")</f>
        <v>日出</v>
      </c>
      <c r="Q48" s="3" t="str">
        <f>IFERROR(__xludf.DUMMYFUNCTION("GoogleTranslate(C48, ""en"", ""hr"")"),"Izlazak sunca")</f>
        <v>Izlazak sunca</v>
      </c>
      <c r="R48" s="3" t="str">
        <f>IFERROR(__xludf.DUMMYFUNCTION("GoogleTranslate(C48, ""en"", ""cs"")"),"Východ slunce")</f>
        <v>Východ slunce</v>
      </c>
      <c r="S48" s="3" t="str">
        <f>IFERROR(__xludf.DUMMYFUNCTION("GoogleTranslate(C48, ""en"", ""da"")"),"Solopgang")</f>
        <v>Solopgang</v>
      </c>
      <c r="T48" s="3" t="str">
        <f>IFERROR(__xludf.DUMMYFUNCTION("GoogleTranslate(C48, ""en"", ""nl"")"),"Zonsopgang")</f>
        <v>Zonsopgang</v>
      </c>
      <c r="U48" s="3" t="str">
        <f>IFERROR(__xludf.DUMMYFUNCTION("GoogleTranslate(C48, ""en"", ""et"")"),"Päikesetõus")</f>
        <v>Päikesetõus</v>
      </c>
      <c r="V48" s="1" t="str">
        <f t="shared" si="3"/>
        <v>Sunrise</v>
      </c>
      <c r="W48" s="3" t="str">
        <f>IFERROR(__xludf.DUMMYFUNCTION("GoogleTranslate(C48, ""en"", ""fi"")"),"Auringonnousu")</f>
        <v>Auringonnousu</v>
      </c>
      <c r="X48" s="3" t="str">
        <f>IFERROR(__xludf.DUMMYFUNCTION("GoogleTranslate(C48, ""en"", ""fr"")"),"Lever du soleil")</f>
        <v>Lever du soleil</v>
      </c>
      <c r="Y48" s="3" t="str">
        <f>IFERROR(__xludf.DUMMYFUNCTION("GoogleTranslate(C48, ""en"", ""de"")"),"Sonnenaufgang")</f>
        <v>Sonnenaufgang</v>
      </c>
      <c r="Z48" s="3" t="str">
        <f>IFERROR(__xludf.DUMMYFUNCTION("GoogleTranslate(C48, ""en"", ""el"")"),"Ανατολή ηλίου")</f>
        <v>Ανατολή ηλίου</v>
      </c>
      <c r="AA48" s="3" t="str">
        <f>IFERROR(__xludf.DUMMYFUNCTION("GoogleTranslate(C48, ""en"", ""iw"")"),"זְרִיחָה")</f>
        <v>זְרִיחָה</v>
      </c>
      <c r="AB48" s="3" t="str">
        <f>IFERROR(__xludf.DUMMYFUNCTION("GoogleTranslate(C48, ""en"", ""hi"")"),"सूर्योदय")</f>
        <v>सूर्योदय</v>
      </c>
      <c r="AC48" s="3" t="str">
        <f>IFERROR(__xludf.DUMMYFUNCTION("GoogleTranslate(C48, ""en"", ""hu"")"),"Napkelte")</f>
        <v>Napkelte</v>
      </c>
      <c r="AD48" s="3" t="str">
        <f>IFERROR(__xludf.DUMMYFUNCTION("GoogleTranslate(C48, ""en"", ""is"")"),"Sólarupprás")</f>
        <v>Sólarupprás</v>
      </c>
      <c r="AE48" s="3" t="str">
        <f>IFERROR(__xludf.DUMMYFUNCTION("GoogleTranslate(C48, ""en"", ""id"")"),"Matahari terbit")</f>
        <v>Matahari terbit</v>
      </c>
      <c r="AF48" s="3" t="str">
        <f>IFERROR(__xludf.DUMMYFUNCTION("GoogleTranslate(C48, ""en"", ""in"")"),"Matahari terbit")</f>
        <v>Matahari terbit</v>
      </c>
      <c r="AG48" s="3" t="str">
        <f>IFERROR(__xludf.DUMMYFUNCTION("GoogleTranslate(C48, ""en"", ""it"")"),"Alba")</f>
        <v>Alba</v>
      </c>
      <c r="AH48" s="3" t="str">
        <f>IFERROR(__xludf.DUMMYFUNCTION("GoogleTranslate(C48, ""en"", ""ja"")"),"日の出")</f>
        <v>日の出</v>
      </c>
      <c r="AI48" s="3" t="str">
        <f>IFERROR(__xludf.DUMMYFUNCTION("GoogleTranslate(C48, ""en"", ""kn"")"),"ಸೂರ್ಯೋದಯ")</f>
        <v>ಸೂರ್ಯೋದಯ</v>
      </c>
      <c r="AJ48" s="3" t="str">
        <f>IFERROR(__xludf.DUMMYFUNCTION("GoogleTranslate(C48, ""en"", ""km"")"),"ព្រះអាទិត្យរះ")</f>
        <v>ព្រះអាទិត្យរះ</v>
      </c>
      <c r="AK48" s="3" t="str">
        <f>IFERROR(__xludf.DUMMYFUNCTION("GoogleTranslate(C48, ""en"", ""ko"")"),"해돋이")</f>
        <v>해돋이</v>
      </c>
      <c r="AL48" s="3" t="str">
        <f>IFERROR(__xludf.DUMMYFUNCTION("GoogleTranslate(C48, ""en"", ""lo"")"),"ຕາເວັນຂຶ້ນ")</f>
        <v>ຕາເວັນຂຶ້ນ</v>
      </c>
      <c r="AM48" s="3" t="str">
        <f>IFERROR(__xludf.DUMMYFUNCTION("GoogleTranslate(C48, ""en"", ""lv"")"),"Saullēkts")</f>
        <v>Saullēkts</v>
      </c>
      <c r="AN48" s="3" t="str">
        <f>IFERROR(__xludf.DUMMYFUNCTION("GoogleTranslate(C48, ""en"", ""lt"")"),"Saulėtekis")</f>
        <v>Saulėtekis</v>
      </c>
      <c r="AO48" s="3" t="str">
        <f>IFERROR(__xludf.DUMMYFUNCTION("GoogleTranslate(C48, ""en"", ""mk"")"),"Изгрејсонце")</f>
        <v>Изгрејсонце</v>
      </c>
      <c r="AP48" s="3" t="str">
        <f>IFERROR(__xludf.DUMMYFUNCTION("GoogleTranslate(C48, ""en"", ""ms"")"),"matahari terbit")</f>
        <v>matahari terbit</v>
      </c>
      <c r="AQ48" s="3" t="str">
        <f>IFERROR(__xludf.DUMMYFUNCTION("GoogleTranslate(C48, ""en"", ""ml"")"),"സൂര്യോദയം")</f>
        <v>സൂര്യോദയം</v>
      </c>
      <c r="AR48" s="3" t="str">
        <f>IFERROR(__xludf.DUMMYFUNCTION("GoogleTranslate(C48, ""en"", ""mr"")"),"सूर्योदय")</f>
        <v>सूर्योदय</v>
      </c>
      <c r="AS48" s="3" t="str">
        <f>IFERROR(__xludf.DUMMYFUNCTION("GoogleTranslate(C48, ""en"", ""mn"")"),"Нар мандах")</f>
        <v>Нар мандах</v>
      </c>
      <c r="AT48" s="3" t="str">
        <f>IFERROR(__xludf.DUMMYFUNCTION("GoogleTranslate(C48, ""en"", ""ne"")"),"सूर्योदय")</f>
        <v>सूर्योदय</v>
      </c>
      <c r="AU48" s="3" t="str">
        <f>IFERROR(__xludf.DUMMYFUNCTION("GoogleTranslate(C48, ""en"", ""nb"")"),"Soloppgang")</f>
        <v>Soloppgang</v>
      </c>
      <c r="AV48" s="3" t="str">
        <f>IFERROR(__xludf.DUMMYFUNCTION("GoogleTranslate(C48, ""en"", ""fa"")"),"طلوع آفتاب")</f>
        <v>طلوع آفتاب</v>
      </c>
      <c r="AW48" s="3" t="str">
        <f>IFERROR(__xludf.DUMMYFUNCTION("GoogleTranslate(C48, ""en"", ""pl"")"),"Wschód słońca")</f>
        <v>Wschód słońca</v>
      </c>
      <c r="AX48" s="3" t="str">
        <f>IFERROR(__xludf.DUMMYFUNCTION("GoogleTranslate(C48, ""en"", ""pt"")"),"Nascer do sol")</f>
        <v>Nascer do sol</v>
      </c>
      <c r="AY48" s="3" t="str">
        <f>IFERROR(__xludf.DUMMYFUNCTION("GoogleTranslate(C48, ""en"", ""ro"")"),"Răsărit de soare")</f>
        <v>Răsărit de soare</v>
      </c>
      <c r="AZ48" s="3" t="str">
        <f>IFERROR(__xludf.DUMMYFUNCTION("GoogleTranslate(C48, ""en"", ""ru"")"),"Восход")</f>
        <v>Восход</v>
      </c>
      <c r="BA48" s="3" t="str">
        <f>IFERROR(__xludf.DUMMYFUNCTION("GoogleTranslate(C48, ""en"", ""sr"")"),"Излазак сунца")</f>
        <v>Излазак сунца</v>
      </c>
      <c r="BB48" s="3" t="str">
        <f>IFERROR(__xludf.DUMMYFUNCTION("GoogleTranslate(C48, ""en"", ""si"")"),"හිරු උදාව")</f>
        <v>හිරු උදාව</v>
      </c>
      <c r="BC48" s="3" t="str">
        <f>IFERROR(__xludf.DUMMYFUNCTION("GoogleTranslate(C48, ""en"", ""sk"")"),"Východ slnka")</f>
        <v>Východ slnka</v>
      </c>
      <c r="BD48" s="3" t="str">
        <f>IFERROR(__xludf.DUMMYFUNCTION("GoogleTranslate(C48, ""en"", ""sl"")"),"sončni vzhod")</f>
        <v>sončni vzhod</v>
      </c>
      <c r="BE48" s="3" t="str">
        <f>IFERROR(__xludf.DUMMYFUNCTION("GoogleTranslate(C48, ""en"", ""es"")"),"Amanecer")</f>
        <v>Amanecer</v>
      </c>
      <c r="BF48" s="3" t="str">
        <f>IFERROR(__xludf.DUMMYFUNCTION("GoogleTranslate(C48, ""en"", ""sw"")"),"Kuchomoza kwa jua")</f>
        <v>Kuchomoza kwa jua</v>
      </c>
      <c r="BG48" s="3" t="str">
        <f>IFERROR(__xludf.DUMMYFUNCTION("GoogleTranslate(C48, ""en"", ""sv"")"),"Soluppgång")</f>
        <v>Soluppgång</v>
      </c>
      <c r="BH48" s="3" t="str">
        <f>IFERROR(__xludf.DUMMYFUNCTION("GoogleTranslate(C48, ""en"", ""te"")"),"సూర్యోదయం")</f>
        <v>సూర్యోదయం</v>
      </c>
      <c r="BI48" s="3" t="str">
        <f>IFERROR(__xludf.DUMMYFUNCTION("GoogleTranslate(C48, ""en"", ""th"")"),"พระอาทิตย์ขึ้น")</f>
        <v>พระอาทิตย์ขึ้น</v>
      </c>
      <c r="BJ48" s="3" t="str">
        <f>IFERROR(__xludf.DUMMYFUNCTION("GoogleTranslate(C48, ""en"", ""tr"")"),"Gündoğumu")</f>
        <v>Gündoğumu</v>
      </c>
      <c r="BK48" s="3" t="str">
        <f>IFERROR(__xludf.DUMMYFUNCTION("GoogleTranslate(C48, ""en"", ""uk"")"),"Схід сонця")</f>
        <v>Схід сонця</v>
      </c>
      <c r="BL48" s="3" t="str">
        <f>IFERROR(__xludf.DUMMYFUNCTION("GoogleTranslate(C48, ""en"", ""zu"")"),"Ukuphuma kwelanga")</f>
        <v>Ukuphuma kwelanga</v>
      </c>
    </row>
    <row r="49">
      <c r="A49" s="1" t="str">
        <f t="shared" si="1"/>
        <v>Sunset</v>
      </c>
      <c r="B49" s="4" t="s">
        <v>111</v>
      </c>
      <c r="C49" s="1" t="str">
        <f t="shared" si="2"/>
        <v>Sunset</v>
      </c>
      <c r="D49" s="3" t="str">
        <f>IFERROR(__xludf.DUMMYFUNCTION("GoogleTranslate(C49, ""en"", ""es"")"),"Atardecer")</f>
        <v>Atardecer</v>
      </c>
      <c r="E49" s="3" t="str">
        <f>IFERROR(__xludf.DUMMYFUNCTION("GoogleTranslate(C49, ""en"", ""ar"")"),"غروب")</f>
        <v>غروب</v>
      </c>
      <c r="F49" s="3" t="str">
        <f>IFERROR(__xludf.DUMMYFUNCTION("GoogleTranslate(C49, ""en"", ""hy"")"),"Մայրամուտ")</f>
        <v>Մայրամուտ</v>
      </c>
      <c r="G49" s="3" t="str">
        <f>IFERROR(__xludf.DUMMYFUNCTION("GoogleTranslate(C49, ""en"", ""vi"")"),"Hoàng hôn")</f>
        <v>Hoàng hôn</v>
      </c>
      <c r="H49" s="3" t="str">
        <f>IFERROR(__xludf.DUMMYFUNCTION("GoogleTranslate(C49, ""en"", ""az"")"),"Gün batımı")</f>
        <v>Gün batımı</v>
      </c>
      <c r="I49" s="3" t="str">
        <f>IFERROR(__xludf.DUMMYFUNCTION("GoogleTranslate(C49, ""en"", ""eu"")"),"Ilunabarra")</f>
        <v>Ilunabarra</v>
      </c>
      <c r="J49" s="3" t="str">
        <f>IFERROR(__xludf.DUMMYFUNCTION("GoogleTranslate(C49, ""en"", ""be"")"),"Закат")</f>
        <v>Закат</v>
      </c>
      <c r="K49" s="3" t="str">
        <f>IFERROR(__xludf.DUMMYFUNCTION("GoogleTranslate(C49, ""en"", ""bn"")"),"সূর্যাস্ত")</f>
        <v>সূর্যাস্ত</v>
      </c>
      <c r="L49" s="3" t="str">
        <f>IFERROR(__xludf.DUMMYFUNCTION("GoogleTranslate(C49, ""en"", ""bg"")"),"Залез")</f>
        <v>Залез</v>
      </c>
      <c r="M49" s="3" t="str">
        <f>IFERROR(__xludf.DUMMYFUNCTION("GoogleTranslate(C49, ""en"", ""my"")"),"နေဝင်ချိန်")</f>
        <v>နေဝင်ချိန်</v>
      </c>
      <c r="N49" s="3" t="str">
        <f>IFERROR(__xludf.DUMMYFUNCTION("GoogleTranslate(C49, ""en"", ""ca"")"),"Posta de sol")</f>
        <v>Posta de sol</v>
      </c>
      <c r="O49" s="3" t="str">
        <f>IFERROR(__xludf.DUMMYFUNCTION("GoogleTranslate(C49, ""en"", ""zh-cn"")"),"日落")</f>
        <v>日落</v>
      </c>
      <c r="P49" s="3" t="str">
        <f>IFERROR(__xludf.DUMMYFUNCTION("GoogleTranslate(C49, ""en"", ""zh-TW"")"),"日落")</f>
        <v>日落</v>
      </c>
      <c r="Q49" s="3" t="str">
        <f>IFERROR(__xludf.DUMMYFUNCTION("GoogleTranslate(C49, ""en"", ""hr"")"),"Zalazak sunca")</f>
        <v>Zalazak sunca</v>
      </c>
      <c r="R49" s="3" t="str">
        <f>IFERROR(__xludf.DUMMYFUNCTION("GoogleTranslate(C49, ""en"", ""cs"")"),"Západ slunce")</f>
        <v>Západ slunce</v>
      </c>
      <c r="S49" s="3" t="str">
        <f>IFERROR(__xludf.DUMMYFUNCTION("GoogleTranslate(C49, ""en"", ""da"")"),"Solnedgang")</f>
        <v>Solnedgang</v>
      </c>
      <c r="T49" s="3" t="str">
        <f>IFERROR(__xludf.DUMMYFUNCTION("GoogleTranslate(C49, ""en"", ""nl"")"),"Zonsondergang")</f>
        <v>Zonsondergang</v>
      </c>
      <c r="U49" s="3" t="str">
        <f>IFERROR(__xludf.DUMMYFUNCTION("GoogleTranslate(C49, ""en"", ""et"")"),"Päikeseloojang")</f>
        <v>Päikeseloojang</v>
      </c>
      <c r="V49" s="1" t="str">
        <f t="shared" si="3"/>
        <v>Sunset</v>
      </c>
      <c r="W49" s="3" t="str">
        <f>IFERROR(__xludf.DUMMYFUNCTION("GoogleTranslate(C49, ""en"", ""fi"")"),"Auringonlasku")</f>
        <v>Auringonlasku</v>
      </c>
      <c r="X49" s="3" t="str">
        <f>IFERROR(__xludf.DUMMYFUNCTION("GoogleTranslate(C49, ""en"", ""fr"")"),"Coucher de soleil")</f>
        <v>Coucher de soleil</v>
      </c>
      <c r="Y49" s="3" t="str">
        <f>IFERROR(__xludf.DUMMYFUNCTION("GoogleTranslate(C49, ""en"", ""de"")"),"Sonnenuntergang")</f>
        <v>Sonnenuntergang</v>
      </c>
      <c r="Z49" s="3" t="str">
        <f>IFERROR(__xludf.DUMMYFUNCTION("GoogleTranslate(C49, ""en"", ""el"")"),"Ηλιοβασίλεμα")</f>
        <v>Ηλιοβασίλεμα</v>
      </c>
      <c r="AA49" s="3" t="str">
        <f>IFERROR(__xludf.DUMMYFUNCTION("GoogleTranslate(C49, ""en"", ""iw"")"),"שְׁקִיעַת הַשֶׁמֶשׁ")</f>
        <v>שְׁקִיעַת הַשֶׁמֶשׁ</v>
      </c>
      <c r="AB49" s="3" t="str">
        <f>IFERROR(__xludf.DUMMYFUNCTION("GoogleTranslate(C49, ""en"", ""hi"")"),"सूर्यास्त")</f>
        <v>सूर्यास्त</v>
      </c>
      <c r="AC49" s="3" t="str">
        <f>IFERROR(__xludf.DUMMYFUNCTION("GoogleTranslate(C49, ""en"", ""hu"")"),"Napnyugta")</f>
        <v>Napnyugta</v>
      </c>
      <c r="AD49" s="3" t="str">
        <f>IFERROR(__xludf.DUMMYFUNCTION("GoogleTranslate(C49, ""en"", ""is"")"),"Sólsetur")</f>
        <v>Sólsetur</v>
      </c>
      <c r="AE49" s="3" t="str">
        <f>IFERROR(__xludf.DUMMYFUNCTION("GoogleTranslate(C49, ""en"", ""id"")"),"Matahari terbenam")</f>
        <v>Matahari terbenam</v>
      </c>
      <c r="AF49" s="3" t="str">
        <f>IFERROR(__xludf.DUMMYFUNCTION("GoogleTranslate(C49, ""en"", ""in"")"),"Matahari terbenam")</f>
        <v>Matahari terbenam</v>
      </c>
      <c r="AG49" s="3" t="str">
        <f>IFERROR(__xludf.DUMMYFUNCTION("GoogleTranslate(C49, ""en"", ""it"")"),"Tramonto")</f>
        <v>Tramonto</v>
      </c>
      <c r="AH49" s="3" t="str">
        <f>IFERROR(__xludf.DUMMYFUNCTION("GoogleTranslate(C49, ""en"", ""ja"")"),"日没")</f>
        <v>日没</v>
      </c>
      <c r="AI49" s="3" t="str">
        <f>IFERROR(__xludf.DUMMYFUNCTION("GoogleTranslate(C49, ""en"", ""kn"")"),"ಸೂರ್ಯಾಸ್ತ")</f>
        <v>ಸೂರ್ಯಾಸ್ತ</v>
      </c>
      <c r="AJ49" s="3" t="str">
        <f>IFERROR(__xludf.DUMMYFUNCTION("GoogleTranslate(C49, ""en"", ""km"")"),"ថ្ងៃលិច")</f>
        <v>ថ្ងៃលិច</v>
      </c>
      <c r="AK49" s="3" t="str">
        <f>IFERROR(__xludf.DUMMYFUNCTION("GoogleTranslate(C49, ""en"", ""ko"")"),"일몰")</f>
        <v>일몰</v>
      </c>
      <c r="AL49" s="3" t="str">
        <f>IFERROR(__xludf.DUMMYFUNCTION("GoogleTranslate(C49, ""en"", ""lo"")"),"ຕາເວັນຕົກ")</f>
        <v>ຕາເວັນຕົກ</v>
      </c>
      <c r="AM49" s="3" t="str">
        <f>IFERROR(__xludf.DUMMYFUNCTION("GoogleTranslate(C49, ""en"", ""lv"")"),"Saulriets")</f>
        <v>Saulriets</v>
      </c>
      <c r="AN49" s="3" t="str">
        <f>IFERROR(__xludf.DUMMYFUNCTION("GoogleTranslate(C49, ""en"", ""lt"")"),"Saulėlydis")</f>
        <v>Saulėlydis</v>
      </c>
      <c r="AO49" s="3" t="str">
        <f>IFERROR(__xludf.DUMMYFUNCTION("GoogleTranslate(C49, ""en"", ""mk"")"),"Зајдисонце")</f>
        <v>Зајдисонце</v>
      </c>
      <c r="AP49" s="3" t="str">
        <f>IFERROR(__xludf.DUMMYFUNCTION("GoogleTranslate(C49, ""en"", ""ms"")"),"matahari terbenam")</f>
        <v>matahari terbenam</v>
      </c>
      <c r="AQ49" s="3" t="str">
        <f>IFERROR(__xludf.DUMMYFUNCTION("GoogleTranslate(C49, ""en"", ""ml"")"),"സൂര്യാസ്തമയം")</f>
        <v>സൂര്യാസ്തമയം</v>
      </c>
      <c r="AR49" s="3" t="str">
        <f>IFERROR(__xludf.DUMMYFUNCTION("GoogleTranslate(C49, ""en"", ""mr"")"),"सूर्यास्त")</f>
        <v>सूर्यास्त</v>
      </c>
      <c r="AS49" s="3" t="str">
        <f>IFERROR(__xludf.DUMMYFUNCTION("GoogleTranslate(C49, ""en"", ""mn"")"),"Нар жаргах")</f>
        <v>Нар жаргах</v>
      </c>
      <c r="AT49" s="3" t="str">
        <f>IFERROR(__xludf.DUMMYFUNCTION("GoogleTranslate(C49, ""en"", ""ne"")"),"सूर्यास्त")</f>
        <v>सूर्यास्त</v>
      </c>
      <c r="AU49" s="3" t="str">
        <f>IFERROR(__xludf.DUMMYFUNCTION("GoogleTranslate(C49, ""en"", ""nb"")"),"Solnedgang")</f>
        <v>Solnedgang</v>
      </c>
      <c r="AV49" s="3" t="str">
        <f>IFERROR(__xludf.DUMMYFUNCTION("GoogleTranslate(C49, ""en"", ""fa"")"),"غروب آفتاب")</f>
        <v>غروب آفتاب</v>
      </c>
      <c r="AW49" s="3" t="str">
        <f>IFERROR(__xludf.DUMMYFUNCTION("GoogleTranslate(C49, ""en"", ""pl"")"),"Zachód słońca")</f>
        <v>Zachód słońca</v>
      </c>
      <c r="AX49" s="3" t="str">
        <f>IFERROR(__xludf.DUMMYFUNCTION("GoogleTranslate(C49, ""en"", ""pt"")"),"Pôr do sol")</f>
        <v>Pôr do sol</v>
      </c>
      <c r="AY49" s="3" t="str">
        <f>IFERROR(__xludf.DUMMYFUNCTION("GoogleTranslate(C49, ""en"", ""ro"")"),"Apus de soare")</f>
        <v>Apus de soare</v>
      </c>
      <c r="AZ49" s="3" t="str">
        <f>IFERROR(__xludf.DUMMYFUNCTION("GoogleTranslate(C49, ""en"", ""ru"")"),"Закат")</f>
        <v>Закат</v>
      </c>
      <c r="BA49" s="3" t="str">
        <f>IFERROR(__xludf.DUMMYFUNCTION("GoogleTranslate(C49, ""en"", ""sr"")"),"Залазак сунца")</f>
        <v>Залазак сунца</v>
      </c>
      <c r="BB49" s="3" t="str">
        <f>IFERROR(__xludf.DUMMYFUNCTION("GoogleTranslate(C49, ""en"", ""si"")"),"හිරු බැස යෑම")</f>
        <v>හිරු බැස යෑම</v>
      </c>
      <c r="BC49" s="3" t="str">
        <f>IFERROR(__xludf.DUMMYFUNCTION("GoogleTranslate(C49, ""en"", ""sk"")"),"Západ slnka")</f>
        <v>Západ slnka</v>
      </c>
      <c r="BD49" s="3" t="str">
        <f>IFERROR(__xludf.DUMMYFUNCTION("GoogleTranslate(C49, ""en"", ""sl"")"),"sončni zahod")</f>
        <v>sončni zahod</v>
      </c>
      <c r="BE49" s="3" t="str">
        <f>IFERROR(__xludf.DUMMYFUNCTION("GoogleTranslate(C49, ""en"", ""es"")"),"Atardecer")</f>
        <v>Atardecer</v>
      </c>
      <c r="BF49" s="3" t="str">
        <f>IFERROR(__xludf.DUMMYFUNCTION("GoogleTranslate(C49, ""en"", ""sw"")"),"machweo")</f>
        <v>machweo</v>
      </c>
      <c r="BG49" s="3" t="str">
        <f>IFERROR(__xludf.DUMMYFUNCTION("GoogleTranslate(C49, ""en"", ""sv"")"),"Solnedgång")</f>
        <v>Solnedgång</v>
      </c>
      <c r="BH49" s="3" t="str">
        <f>IFERROR(__xludf.DUMMYFUNCTION("GoogleTranslate(C49, ""en"", ""te"")"),"సూర్యాస్తమయం")</f>
        <v>సూర్యాస్తమయం</v>
      </c>
      <c r="BI49" s="3" t="str">
        <f>IFERROR(__xludf.DUMMYFUNCTION("GoogleTranslate(C49, ""en"", ""th"")"),"พระอาทิตย์ตก")</f>
        <v>พระอาทิตย์ตก</v>
      </c>
      <c r="BJ49" s="3" t="str">
        <f>IFERROR(__xludf.DUMMYFUNCTION("GoogleTranslate(C49, ""en"", ""tr"")"),"Gün batımı")</f>
        <v>Gün batımı</v>
      </c>
      <c r="BK49" s="3" t="str">
        <f>IFERROR(__xludf.DUMMYFUNCTION("GoogleTranslate(C49, ""en"", ""uk"")"),"Захід сонця")</f>
        <v>Захід сонця</v>
      </c>
      <c r="BL49" s="3" t="str">
        <f>IFERROR(__xludf.DUMMYFUNCTION("GoogleTranslate(C49, ""en"", ""zu"")"),"Ukushona kwelanga")</f>
        <v>Ukushona kwelanga</v>
      </c>
    </row>
    <row r="50">
      <c r="A50" s="1" t="str">
        <f t="shared" si="1"/>
        <v>Day</v>
      </c>
      <c r="B50" s="4" t="s">
        <v>112</v>
      </c>
      <c r="C50" s="1" t="str">
        <f t="shared" si="2"/>
        <v>Day</v>
      </c>
      <c r="D50" s="3" t="str">
        <f>IFERROR(__xludf.DUMMYFUNCTION("GoogleTranslate(C50, ""en"", ""es"")"),"Día")</f>
        <v>Día</v>
      </c>
      <c r="E50" s="3" t="str">
        <f>IFERROR(__xludf.DUMMYFUNCTION("GoogleTranslate(C50, ""en"", ""ar"")"),"يوم")</f>
        <v>يوم</v>
      </c>
      <c r="F50" s="3" t="str">
        <f>IFERROR(__xludf.DUMMYFUNCTION("GoogleTranslate(C50, ""en"", ""hy"")"),"Օր")</f>
        <v>Օր</v>
      </c>
      <c r="G50" s="3" t="str">
        <f>IFERROR(__xludf.DUMMYFUNCTION("GoogleTranslate(C50, ""en"", ""vi"")"),"Ngày")</f>
        <v>Ngày</v>
      </c>
      <c r="H50" s="3" t="str">
        <f>IFERROR(__xludf.DUMMYFUNCTION("GoogleTranslate(C50, ""en"", ""az"")"),"gün")</f>
        <v>gün</v>
      </c>
      <c r="I50" s="3" t="str">
        <f>IFERROR(__xludf.DUMMYFUNCTION("GoogleTranslate(C50, ""en"", ""eu"")"),"Eguna")</f>
        <v>Eguna</v>
      </c>
      <c r="J50" s="3" t="str">
        <f>IFERROR(__xludf.DUMMYFUNCTION("GoogleTranslate(C50, ""en"", ""be"")"),"Дзень")</f>
        <v>Дзень</v>
      </c>
      <c r="K50" s="3" t="str">
        <f>IFERROR(__xludf.DUMMYFUNCTION("GoogleTranslate(C50, ""en"", ""bn"")"),"দিন")</f>
        <v>দিন</v>
      </c>
      <c r="L50" s="3" t="str">
        <f>IFERROR(__xludf.DUMMYFUNCTION("GoogleTranslate(C50, ""en"", ""bg"")"),"ден")</f>
        <v>ден</v>
      </c>
      <c r="M50" s="3" t="str">
        <f>IFERROR(__xludf.DUMMYFUNCTION("GoogleTranslate(C50, ""en"", ""my"")"),"နေ့")</f>
        <v>နေ့</v>
      </c>
      <c r="N50" s="3" t="str">
        <f>IFERROR(__xludf.DUMMYFUNCTION("GoogleTranslate(C50, ""en"", ""ca"")"),"Dia")</f>
        <v>Dia</v>
      </c>
      <c r="O50" s="3" t="str">
        <f>IFERROR(__xludf.DUMMYFUNCTION("GoogleTranslate(C50, ""en"", ""zh-cn"")"),"天")</f>
        <v>天</v>
      </c>
      <c r="P50" s="3" t="str">
        <f>IFERROR(__xludf.DUMMYFUNCTION("GoogleTranslate(C50, ""en"", ""zh-TW"")"),"天")</f>
        <v>天</v>
      </c>
      <c r="Q50" s="3" t="str">
        <f>IFERROR(__xludf.DUMMYFUNCTION("GoogleTranslate(C50, ""en"", ""hr"")"),"Dan")</f>
        <v>Dan</v>
      </c>
      <c r="R50" s="3" t="str">
        <f>IFERROR(__xludf.DUMMYFUNCTION("GoogleTranslate(C50, ""en"", ""cs"")"),"Den")</f>
        <v>Den</v>
      </c>
      <c r="S50" s="3" t="str">
        <f>IFERROR(__xludf.DUMMYFUNCTION("GoogleTranslate(C50, ""en"", ""da"")"),"Dag")</f>
        <v>Dag</v>
      </c>
      <c r="T50" s="3" t="str">
        <f>IFERROR(__xludf.DUMMYFUNCTION("GoogleTranslate(C50, ""en"", ""nl"")"),"Dag")</f>
        <v>Dag</v>
      </c>
      <c r="U50" s="3" t="str">
        <f>IFERROR(__xludf.DUMMYFUNCTION("GoogleTranslate(C50, ""en"", ""et"")"),"päev")</f>
        <v>päev</v>
      </c>
      <c r="V50" s="1" t="str">
        <f t="shared" si="3"/>
        <v>Day</v>
      </c>
      <c r="W50" s="3" t="str">
        <f>IFERROR(__xludf.DUMMYFUNCTION("GoogleTranslate(C50, ""en"", ""fi"")"),"Päivä")</f>
        <v>Päivä</v>
      </c>
      <c r="X50" s="3" t="str">
        <f>IFERROR(__xludf.DUMMYFUNCTION("GoogleTranslate(C50, ""en"", ""fr"")"),"Jour")</f>
        <v>Jour</v>
      </c>
      <c r="Y50" s="3" t="str">
        <f>IFERROR(__xludf.DUMMYFUNCTION("GoogleTranslate(C50, ""en"", ""de"")"),"Tag")</f>
        <v>Tag</v>
      </c>
      <c r="Z50" s="3" t="str">
        <f>IFERROR(__xludf.DUMMYFUNCTION("GoogleTranslate(C50, ""en"", ""el"")"),"Ημέρα")</f>
        <v>Ημέρα</v>
      </c>
      <c r="AA50" s="3" t="str">
        <f>IFERROR(__xludf.DUMMYFUNCTION("GoogleTranslate(C50, ""en"", ""iw"")"),"יְוֹם")</f>
        <v>יְוֹם</v>
      </c>
      <c r="AB50" s="3" t="str">
        <f>IFERROR(__xludf.DUMMYFUNCTION("GoogleTranslate(C50, ""en"", ""hi"")"),"दिन")</f>
        <v>दिन</v>
      </c>
      <c r="AC50" s="3" t="str">
        <f>IFERROR(__xludf.DUMMYFUNCTION("GoogleTranslate(C50, ""en"", ""hu"")"),"Nap")</f>
        <v>Nap</v>
      </c>
      <c r="AD50" s="3" t="str">
        <f>IFERROR(__xludf.DUMMYFUNCTION("GoogleTranslate(C50, ""en"", ""is"")"),"Dagur")</f>
        <v>Dagur</v>
      </c>
      <c r="AE50" s="3" t="str">
        <f>IFERROR(__xludf.DUMMYFUNCTION("GoogleTranslate(C50, ""en"", ""id"")"),"Hari")</f>
        <v>Hari</v>
      </c>
      <c r="AF50" s="3" t="str">
        <f>IFERROR(__xludf.DUMMYFUNCTION("GoogleTranslate(C50, ""en"", ""in"")"),"Hari")</f>
        <v>Hari</v>
      </c>
      <c r="AG50" s="3" t="str">
        <f>IFERROR(__xludf.DUMMYFUNCTION("GoogleTranslate(C50, ""en"", ""it"")"),"Giorno")</f>
        <v>Giorno</v>
      </c>
      <c r="AH50" s="3" t="str">
        <f>IFERROR(__xludf.DUMMYFUNCTION("GoogleTranslate(C50, ""en"", ""ja"")"),"日")</f>
        <v>日</v>
      </c>
      <c r="AI50" s="3" t="str">
        <f>IFERROR(__xludf.DUMMYFUNCTION("GoogleTranslate(C50, ""en"", ""kn"")"),"ದಿನ")</f>
        <v>ದಿನ</v>
      </c>
      <c r="AJ50" s="3" t="str">
        <f>IFERROR(__xludf.DUMMYFUNCTION("GoogleTranslate(C50, ""en"", ""km"")"),"ថ្ងៃ")</f>
        <v>ថ្ងៃ</v>
      </c>
      <c r="AK50" s="3" t="str">
        <f>IFERROR(__xludf.DUMMYFUNCTION("GoogleTranslate(C50, ""en"", ""ko"")"),"낮")</f>
        <v>낮</v>
      </c>
      <c r="AL50" s="3" t="str">
        <f>IFERROR(__xludf.DUMMYFUNCTION("GoogleTranslate(C50, ""en"", ""lo"")"),"ມື້")</f>
        <v>ມື້</v>
      </c>
      <c r="AM50" s="3" t="str">
        <f>IFERROR(__xludf.DUMMYFUNCTION("GoogleTranslate(C50, ""en"", ""lv"")"),"diena")</f>
        <v>diena</v>
      </c>
      <c r="AN50" s="3" t="str">
        <f>IFERROR(__xludf.DUMMYFUNCTION("GoogleTranslate(C50, ""en"", ""lt"")"),"Diena")</f>
        <v>Diena</v>
      </c>
      <c r="AO50" s="3" t="str">
        <f>IFERROR(__xludf.DUMMYFUNCTION("GoogleTranslate(C50, ""en"", ""mk"")"),"Ден")</f>
        <v>Ден</v>
      </c>
      <c r="AP50" s="3" t="str">
        <f>IFERROR(__xludf.DUMMYFUNCTION("GoogleTranslate(C50, ""en"", ""ms"")"),"Hari")</f>
        <v>Hari</v>
      </c>
      <c r="AQ50" s="3" t="str">
        <f>IFERROR(__xludf.DUMMYFUNCTION("GoogleTranslate(C50, ""en"", ""ml"")"),"ദിവസം")</f>
        <v>ദിവസം</v>
      </c>
      <c r="AR50" s="3" t="str">
        <f>IFERROR(__xludf.DUMMYFUNCTION("GoogleTranslate(C50, ""en"", ""mr"")"),"दिवस")</f>
        <v>दिवस</v>
      </c>
      <c r="AS50" s="3" t="str">
        <f>IFERROR(__xludf.DUMMYFUNCTION("GoogleTranslate(C50, ""en"", ""mn"")"),"Өдөр")</f>
        <v>Өдөр</v>
      </c>
      <c r="AT50" s="3" t="str">
        <f>IFERROR(__xludf.DUMMYFUNCTION("GoogleTranslate(C50, ""en"", ""ne"")"),"दिन")</f>
        <v>दिन</v>
      </c>
      <c r="AU50" s="3" t="str">
        <f>IFERROR(__xludf.DUMMYFUNCTION("GoogleTranslate(C50, ""en"", ""nb"")"),"Dag")</f>
        <v>Dag</v>
      </c>
      <c r="AV50" s="3" t="str">
        <f>IFERROR(__xludf.DUMMYFUNCTION("GoogleTranslate(C50, ""en"", ""fa"")"),"روز")</f>
        <v>روز</v>
      </c>
      <c r="AW50" s="3" t="str">
        <f>IFERROR(__xludf.DUMMYFUNCTION("GoogleTranslate(C50, ""en"", ""pl"")"),"Dzień")</f>
        <v>Dzień</v>
      </c>
      <c r="AX50" s="3" t="str">
        <f>IFERROR(__xludf.DUMMYFUNCTION("GoogleTranslate(C50, ""en"", ""pt"")"),"Dia")</f>
        <v>Dia</v>
      </c>
      <c r="AY50" s="3" t="str">
        <f>IFERROR(__xludf.DUMMYFUNCTION("GoogleTranslate(C50, ""en"", ""ro"")"),"Zi")</f>
        <v>Zi</v>
      </c>
      <c r="AZ50" s="3" t="str">
        <f>IFERROR(__xludf.DUMMYFUNCTION("GoogleTranslate(C50, ""en"", ""ru"")"),"День")</f>
        <v>День</v>
      </c>
      <c r="BA50" s="3" t="str">
        <f>IFERROR(__xludf.DUMMYFUNCTION("GoogleTranslate(C50, ""en"", ""sr"")"),"Дан")</f>
        <v>Дан</v>
      </c>
      <c r="BB50" s="3" t="str">
        <f>IFERROR(__xludf.DUMMYFUNCTION("GoogleTranslate(C50, ""en"", ""si"")"),"දවස")</f>
        <v>දවස</v>
      </c>
      <c r="BC50" s="3" t="str">
        <f>IFERROR(__xludf.DUMMYFUNCTION("GoogleTranslate(C50, ""en"", ""sk"")"),"deň")</f>
        <v>deň</v>
      </c>
      <c r="BD50" s="3" t="str">
        <f>IFERROR(__xludf.DUMMYFUNCTION("GoogleTranslate(C50, ""en"", ""sl"")"),"Dan")</f>
        <v>Dan</v>
      </c>
      <c r="BE50" s="3" t="str">
        <f>IFERROR(__xludf.DUMMYFUNCTION("GoogleTranslate(C50, ""en"", ""es"")"),"Día")</f>
        <v>Día</v>
      </c>
      <c r="BF50" s="3" t="str">
        <f>IFERROR(__xludf.DUMMYFUNCTION("GoogleTranslate(C50, ""en"", ""sw"")"),"Siku")</f>
        <v>Siku</v>
      </c>
      <c r="BG50" s="3" t="str">
        <f>IFERROR(__xludf.DUMMYFUNCTION("GoogleTranslate(C50, ""en"", ""sv"")"),"Dag")</f>
        <v>Dag</v>
      </c>
      <c r="BH50" s="3" t="str">
        <f>IFERROR(__xludf.DUMMYFUNCTION("GoogleTranslate(C50, ""en"", ""te"")"),"రోజు")</f>
        <v>రోజు</v>
      </c>
      <c r="BI50" s="3" t="str">
        <f>IFERROR(__xludf.DUMMYFUNCTION("GoogleTranslate(C50, ""en"", ""th"")"),"วัน")</f>
        <v>วัน</v>
      </c>
      <c r="BJ50" s="3" t="str">
        <f>IFERROR(__xludf.DUMMYFUNCTION("GoogleTranslate(C50, ""en"", ""tr"")"),"Gün")</f>
        <v>Gün</v>
      </c>
      <c r="BK50" s="3" t="str">
        <f>IFERROR(__xludf.DUMMYFUNCTION("GoogleTranslate(C50, ""en"", ""uk"")"),"День")</f>
        <v>День</v>
      </c>
      <c r="BL50" s="3" t="str">
        <f>IFERROR(__xludf.DUMMYFUNCTION("GoogleTranslate(C50, ""en"", ""zu"")"),"Usuku")</f>
        <v>Usuku</v>
      </c>
    </row>
    <row r="51">
      <c r="A51" s="1" t="str">
        <f t="shared" si="1"/>
        <v>Night</v>
      </c>
      <c r="B51" s="4" t="s">
        <v>113</v>
      </c>
      <c r="C51" s="1" t="str">
        <f t="shared" si="2"/>
        <v>Night</v>
      </c>
      <c r="D51" s="3" t="str">
        <f>IFERROR(__xludf.DUMMYFUNCTION("GoogleTranslate(C51, ""en"", ""es"")"),"Noche")</f>
        <v>Noche</v>
      </c>
      <c r="E51" s="3" t="str">
        <f>IFERROR(__xludf.DUMMYFUNCTION("GoogleTranslate(C51, ""en"", ""ar"")"),"ليلة")</f>
        <v>ليلة</v>
      </c>
      <c r="F51" s="3" t="str">
        <f>IFERROR(__xludf.DUMMYFUNCTION("GoogleTranslate(C51, ""en"", ""hy"")"),"Գիշեր")</f>
        <v>Գիշեր</v>
      </c>
      <c r="G51" s="3" t="str">
        <f>IFERROR(__xludf.DUMMYFUNCTION("GoogleTranslate(C51, ""en"", ""vi"")"),"Đêm")</f>
        <v>Đêm</v>
      </c>
      <c r="H51" s="3" t="str">
        <f>IFERROR(__xludf.DUMMYFUNCTION("GoogleTranslate(C51, ""en"", ""az"")"),"Gecə")</f>
        <v>Gecə</v>
      </c>
      <c r="I51" s="3" t="str">
        <f>IFERROR(__xludf.DUMMYFUNCTION("GoogleTranslate(C51, ""en"", ""eu"")"),"Gaua")</f>
        <v>Gaua</v>
      </c>
      <c r="J51" s="3" t="str">
        <f>IFERROR(__xludf.DUMMYFUNCTION("GoogleTranslate(C51, ""en"", ""be"")"),"Ноч")</f>
        <v>Ноч</v>
      </c>
      <c r="K51" s="3" t="str">
        <f>IFERROR(__xludf.DUMMYFUNCTION("GoogleTranslate(C51, ""en"", ""bn"")"),"রাত্রি")</f>
        <v>রাত্রি</v>
      </c>
      <c r="L51" s="3" t="str">
        <f>IFERROR(__xludf.DUMMYFUNCTION("GoogleTranslate(C51, ""en"", ""bg"")"),"нощ")</f>
        <v>нощ</v>
      </c>
      <c r="M51" s="3" t="str">
        <f>IFERROR(__xludf.DUMMYFUNCTION("GoogleTranslate(C51, ""en"", ""my"")"),"ည")</f>
        <v>ည</v>
      </c>
      <c r="N51" s="3" t="str">
        <f>IFERROR(__xludf.DUMMYFUNCTION("GoogleTranslate(C51, ""en"", ""ca"")"),"Nit")</f>
        <v>Nit</v>
      </c>
      <c r="O51" s="3" t="str">
        <f>IFERROR(__xludf.DUMMYFUNCTION("GoogleTranslate(C51, ""en"", ""zh-cn"")"),"夜晚")</f>
        <v>夜晚</v>
      </c>
      <c r="P51" s="3" t="str">
        <f>IFERROR(__xludf.DUMMYFUNCTION("GoogleTranslate(C51, ""en"", ""zh-TW"")"),"夜晚")</f>
        <v>夜晚</v>
      </c>
      <c r="Q51" s="3" t="str">
        <f>IFERROR(__xludf.DUMMYFUNCTION("GoogleTranslate(C51, ""en"", ""hr"")"),"Noć")</f>
        <v>Noć</v>
      </c>
      <c r="R51" s="3" t="str">
        <f>IFERROR(__xludf.DUMMYFUNCTION("GoogleTranslate(C51, ""en"", ""cs"")"),"Noc")</f>
        <v>Noc</v>
      </c>
      <c r="S51" s="3" t="str">
        <f>IFERROR(__xludf.DUMMYFUNCTION("GoogleTranslate(C51, ""en"", ""da"")"),"Nat")</f>
        <v>Nat</v>
      </c>
      <c r="T51" s="3" t="str">
        <f>IFERROR(__xludf.DUMMYFUNCTION("GoogleTranslate(C51, ""en"", ""nl"")"),"Nacht")</f>
        <v>Nacht</v>
      </c>
      <c r="U51" s="3" t="str">
        <f>IFERROR(__xludf.DUMMYFUNCTION("GoogleTranslate(C51, ""en"", ""et"")"),"Öö")</f>
        <v>Öö</v>
      </c>
      <c r="V51" s="1" t="str">
        <f t="shared" si="3"/>
        <v>Night</v>
      </c>
      <c r="W51" s="3" t="str">
        <f>IFERROR(__xludf.DUMMYFUNCTION("GoogleTranslate(C51, ""en"", ""fi"")"),"Yö")</f>
        <v>Yö</v>
      </c>
      <c r="X51" s="3" t="str">
        <f>IFERROR(__xludf.DUMMYFUNCTION("GoogleTranslate(C51, ""en"", ""fr"")"),"Nuit")</f>
        <v>Nuit</v>
      </c>
      <c r="Y51" s="3" t="str">
        <f>IFERROR(__xludf.DUMMYFUNCTION("GoogleTranslate(C51, ""en"", ""de"")"),"Nacht")</f>
        <v>Nacht</v>
      </c>
      <c r="Z51" s="3" t="str">
        <f>IFERROR(__xludf.DUMMYFUNCTION("GoogleTranslate(C51, ""en"", ""el"")"),"Νύχτα")</f>
        <v>Νύχτα</v>
      </c>
      <c r="AA51" s="3" t="str">
        <f>IFERROR(__xludf.DUMMYFUNCTION("GoogleTranslate(C51, ""en"", ""iw"")"),"לַיְלָה")</f>
        <v>לַיְלָה</v>
      </c>
      <c r="AB51" s="3" t="str">
        <f>IFERROR(__xludf.DUMMYFUNCTION("GoogleTranslate(C51, ""en"", ""hi"")"),"रात")</f>
        <v>रात</v>
      </c>
      <c r="AC51" s="3" t="str">
        <f>IFERROR(__xludf.DUMMYFUNCTION("GoogleTranslate(C51, ""en"", ""hu"")"),"Éjszaka")</f>
        <v>Éjszaka</v>
      </c>
      <c r="AD51" s="3" t="str">
        <f>IFERROR(__xludf.DUMMYFUNCTION("GoogleTranslate(C51, ""en"", ""is"")"),"Nótt")</f>
        <v>Nótt</v>
      </c>
      <c r="AE51" s="3" t="str">
        <f>IFERROR(__xludf.DUMMYFUNCTION("GoogleTranslate(C51, ""en"", ""id"")"),"Malam")</f>
        <v>Malam</v>
      </c>
      <c r="AF51" s="3" t="str">
        <f>IFERROR(__xludf.DUMMYFUNCTION("GoogleTranslate(C51, ""en"", ""in"")"),"Malam")</f>
        <v>Malam</v>
      </c>
      <c r="AG51" s="3" t="str">
        <f>IFERROR(__xludf.DUMMYFUNCTION("GoogleTranslate(C51, ""en"", ""it"")"),"Notte")</f>
        <v>Notte</v>
      </c>
      <c r="AH51" s="3" t="str">
        <f>IFERROR(__xludf.DUMMYFUNCTION("GoogleTranslate(C51, ""en"", ""ja"")"),"夜")</f>
        <v>夜</v>
      </c>
      <c r="AI51" s="3" t="str">
        <f>IFERROR(__xludf.DUMMYFUNCTION("GoogleTranslate(C51, ""en"", ""kn"")"),"ರಾತ್ರಿ")</f>
        <v>ರಾತ್ರಿ</v>
      </c>
      <c r="AJ51" s="3" t="str">
        <f>IFERROR(__xludf.DUMMYFUNCTION("GoogleTranslate(C51, ""en"", ""km"")"),"យប់")</f>
        <v>យប់</v>
      </c>
      <c r="AK51" s="3" t="str">
        <f>IFERROR(__xludf.DUMMYFUNCTION("GoogleTranslate(C51, ""en"", ""ko"")"),"밤")</f>
        <v>밤</v>
      </c>
      <c r="AL51" s="3" t="str">
        <f>IFERROR(__xludf.DUMMYFUNCTION("GoogleTranslate(C51, ""en"", ""lo"")"),"ກາງຄືນ")</f>
        <v>ກາງຄືນ</v>
      </c>
      <c r="AM51" s="3" t="str">
        <f>IFERROR(__xludf.DUMMYFUNCTION("GoogleTranslate(C51, ""en"", ""lv"")"),"Nakts")</f>
        <v>Nakts</v>
      </c>
      <c r="AN51" s="3" t="str">
        <f>IFERROR(__xludf.DUMMYFUNCTION("GoogleTranslate(C51, ""en"", ""lt"")"),"Naktis")</f>
        <v>Naktis</v>
      </c>
      <c r="AO51" s="3" t="str">
        <f>IFERROR(__xludf.DUMMYFUNCTION("GoogleTranslate(C51, ""en"", ""mk"")"),"Ноќ")</f>
        <v>Ноќ</v>
      </c>
      <c r="AP51" s="3" t="str">
        <f>IFERROR(__xludf.DUMMYFUNCTION("GoogleTranslate(C51, ""en"", ""ms"")"),"Malam")</f>
        <v>Malam</v>
      </c>
      <c r="AQ51" s="3" t="str">
        <f>IFERROR(__xludf.DUMMYFUNCTION("GoogleTranslate(C51, ""en"", ""ml"")"),"രാത്രി")</f>
        <v>രാത്രി</v>
      </c>
      <c r="AR51" s="3" t="str">
        <f>IFERROR(__xludf.DUMMYFUNCTION("GoogleTranslate(C51, ""en"", ""mr"")"),"रात्री")</f>
        <v>रात्री</v>
      </c>
      <c r="AS51" s="3" t="str">
        <f>IFERROR(__xludf.DUMMYFUNCTION("GoogleTranslate(C51, ""en"", ""mn"")"),"Шөнө")</f>
        <v>Шөнө</v>
      </c>
      <c r="AT51" s="3" t="str">
        <f>IFERROR(__xludf.DUMMYFUNCTION("GoogleTranslate(C51, ""en"", ""ne"")"),"रात")</f>
        <v>रात</v>
      </c>
      <c r="AU51" s="3" t="str">
        <f>IFERROR(__xludf.DUMMYFUNCTION("GoogleTranslate(C51, ""en"", ""nb"")"),"Natt")</f>
        <v>Natt</v>
      </c>
      <c r="AV51" s="3" t="str">
        <f>IFERROR(__xludf.DUMMYFUNCTION("GoogleTranslate(C51, ""en"", ""fa"")"),"شب")</f>
        <v>شب</v>
      </c>
      <c r="AW51" s="3" t="str">
        <f>IFERROR(__xludf.DUMMYFUNCTION("GoogleTranslate(C51, ""en"", ""pl"")"),"Noc")</f>
        <v>Noc</v>
      </c>
      <c r="AX51" s="3" t="str">
        <f>IFERROR(__xludf.DUMMYFUNCTION("GoogleTranslate(C51, ""en"", ""pt"")"),"Noite")</f>
        <v>Noite</v>
      </c>
      <c r="AY51" s="3" t="str">
        <f>IFERROR(__xludf.DUMMYFUNCTION("GoogleTranslate(C51, ""en"", ""ro"")"),"Noapte")</f>
        <v>Noapte</v>
      </c>
      <c r="AZ51" s="3" t="str">
        <f>IFERROR(__xludf.DUMMYFUNCTION("GoogleTranslate(C51, ""en"", ""ru"")"),"Ночь")</f>
        <v>Ночь</v>
      </c>
      <c r="BA51" s="3" t="str">
        <f>IFERROR(__xludf.DUMMYFUNCTION("GoogleTranslate(C51, ""en"", ""sr"")"),"Ноћ")</f>
        <v>Ноћ</v>
      </c>
      <c r="BB51" s="3" t="str">
        <f>IFERROR(__xludf.DUMMYFUNCTION("GoogleTranslate(C51, ""en"", ""si"")"),"රාත්රිය")</f>
        <v>රාත්රිය</v>
      </c>
      <c r="BC51" s="3" t="str">
        <f>IFERROR(__xludf.DUMMYFUNCTION("GoogleTranslate(C51, ""en"", ""sk"")"),"Noc")</f>
        <v>Noc</v>
      </c>
      <c r="BD51" s="3" t="str">
        <f>IFERROR(__xludf.DUMMYFUNCTION("GoogleTranslate(C51, ""en"", ""sl"")"),"Noč")</f>
        <v>Noč</v>
      </c>
      <c r="BE51" s="3" t="str">
        <f>IFERROR(__xludf.DUMMYFUNCTION("GoogleTranslate(C51, ""en"", ""es"")"),"Noche")</f>
        <v>Noche</v>
      </c>
      <c r="BF51" s="3" t="str">
        <f>IFERROR(__xludf.DUMMYFUNCTION("GoogleTranslate(C51, ""en"", ""sw"")"),"Usiku")</f>
        <v>Usiku</v>
      </c>
      <c r="BG51" s="3" t="str">
        <f>IFERROR(__xludf.DUMMYFUNCTION("GoogleTranslate(C51, ""en"", ""sv"")"),"Natt")</f>
        <v>Natt</v>
      </c>
      <c r="BH51" s="3" t="str">
        <f>IFERROR(__xludf.DUMMYFUNCTION("GoogleTranslate(C51, ""en"", ""te"")"),"రాత్రి")</f>
        <v>రాత్రి</v>
      </c>
      <c r="BI51" s="3" t="str">
        <f>IFERROR(__xludf.DUMMYFUNCTION("GoogleTranslate(C51, ""en"", ""th"")"),"กลางคืน")</f>
        <v>กลางคืน</v>
      </c>
      <c r="BJ51" s="3" t="str">
        <f>IFERROR(__xludf.DUMMYFUNCTION("GoogleTranslate(C51, ""en"", ""tr"")"),"Gece")</f>
        <v>Gece</v>
      </c>
      <c r="BK51" s="3" t="str">
        <f>IFERROR(__xludf.DUMMYFUNCTION("GoogleTranslate(C51, ""en"", ""uk"")"),"ніч")</f>
        <v>ніч</v>
      </c>
      <c r="BL51" s="3" t="str">
        <f>IFERROR(__xludf.DUMMYFUNCTION("GoogleTranslate(C51, ""en"", ""zu"")"),"Ebusuku")</f>
        <v>Ebusuku</v>
      </c>
    </row>
    <row r="52">
      <c r="A52" s="1" t="str">
        <f t="shared" si="1"/>
        <v>Bright</v>
      </c>
      <c r="B52" s="4" t="s">
        <v>114</v>
      </c>
      <c r="C52" s="1" t="str">
        <f t="shared" si="2"/>
        <v>Bright</v>
      </c>
      <c r="D52" s="3" t="str">
        <f>IFERROR(__xludf.DUMMYFUNCTION("GoogleTranslate(C52, ""en"", ""es"")"),"Brillante")</f>
        <v>Brillante</v>
      </c>
      <c r="E52" s="3" t="str">
        <f>IFERROR(__xludf.DUMMYFUNCTION("GoogleTranslate(C52, ""en"", ""ar"")"),"ساطع")</f>
        <v>ساطع</v>
      </c>
      <c r="F52" s="3" t="str">
        <f>IFERROR(__xludf.DUMMYFUNCTION("GoogleTranslate(C52, ""en"", ""hy"")"),"Պայծառ")</f>
        <v>Պայծառ</v>
      </c>
      <c r="G52" s="3" t="str">
        <f>IFERROR(__xludf.DUMMYFUNCTION("GoogleTranslate(C52, ""en"", ""vi"")"),"Sáng")</f>
        <v>Sáng</v>
      </c>
      <c r="H52" s="3" t="str">
        <f>IFERROR(__xludf.DUMMYFUNCTION("GoogleTranslate(C52, ""en"", ""az"")"),"Parlaq")</f>
        <v>Parlaq</v>
      </c>
      <c r="I52" s="3" t="str">
        <f>IFERROR(__xludf.DUMMYFUNCTION("GoogleTranslate(C52, ""en"", ""eu"")"),"Distiratsua")</f>
        <v>Distiratsua</v>
      </c>
      <c r="J52" s="3" t="str">
        <f>IFERROR(__xludf.DUMMYFUNCTION("GoogleTranslate(C52, ""en"", ""be"")"),"Яркая")</f>
        <v>Яркая</v>
      </c>
      <c r="K52" s="3" t="str">
        <f>IFERROR(__xludf.DUMMYFUNCTION("GoogleTranslate(C52, ""en"", ""bn"")"),"উজ্জ্বল")</f>
        <v>উজ্জ্বল</v>
      </c>
      <c r="L52" s="3" t="str">
        <f>IFERROR(__xludf.DUMMYFUNCTION("GoogleTranslate(C52, ""en"", ""bg"")"),"Ярък")</f>
        <v>Ярък</v>
      </c>
      <c r="M52" s="3" t="str">
        <f>IFERROR(__xludf.DUMMYFUNCTION("GoogleTranslate(C52, ""en"", ""my"")"),"တောက်ပ")</f>
        <v>တောက်ပ</v>
      </c>
      <c r="N52" s="3" t="str">
        <f>IFERROR(__xludf.DUMMYFUNCTION("GoogleTranslate(C52, ""en"", ""ca"")"),"Lluminós")</f>
        <v>Lluminós</v>
      </c>
      <c r="O52" s="3" t="str">
        <f>IFERROR(__xludf.DUMMYFUNCTION("GoogleTranslate(C52, ""en"", ""zh-cn"")"),"明亮的")</f>
        <v>明亮的</v>
      </c>
      <c r="P52" s="3" t="str">
        <f>IFERROR(__xludf.DUMMYFUNCTION("GoogleTranslate(C52, ""en"", ""zh-TW"")"),"明亮的")</f>
        <v>明亮的</v>
      </c>
      <c r="Q52" s="3" t="str">
        <f>IFERROR(__xludf.DUMMYFUNCTION("GoogleTranslate(C52, ""en"", ""hr"")"),"Svijetla")</f>
        <v>Svijetla</v>
      </c>
      <c r="R52" s="3" t="str">
        <f>IFERROR(__xludf.DUMMYFUNCTION("GoogleTranslate(C52, ""en"", ""cs"")"),"Jasný")</f>
        <v>Jasný</v>
      </c>
      <c r="S52" s="3" t="str">
        <f>IFERROR(__xludf.DUMMYFUNCTION("GoogleTranslate(C52, ""en"", ""da"")"),"Lyse")</f>
        <v>Lyse</v>
      </c>
      <c r="T52" s="3" t="str">
        <f>IFERROR(__xludf.DUMMYFUNCTION("GoogleTranslate(C52, ""en"", ""nl"")"),"Helder")</f>
        <v>Helder</v>
      </c>
      <c r="U52" s="3" t="str">
        <f>IFERROR(__xludf.DUMMYFUNCTION("GoogleTranslate(C52, ""en"", ""et"")"),"Hele")</f>
        <v>Hele</v>
      </c>
      <c r="V52" s="1" t="str">
        <f t="shared" si="3"/>
        <v>Bright</v>
      </c>
      <c r="W52" s="3" t="str">
        <f>IFERROR(__xludf.DUMMYFUNCTION("GoogleTranslate(C52, ""en"", ""fi"")"),"Kirkas")</f>
        <v>Kirkas</v>
      </c>
      <c r="X52" s="3" t="str">
        <f>IFERROR(__xludf.DUMMYFUNCTION("GoogleTranslate(C52, ""en"", ""fr"")"),"Brillant")</f>
        <v>Brillant</v>
      </c>
      <c r="Y52" s="3" t="str">
        <f>IFERROR(__xludf.DUMMYFUNCTION("GoogleTranslate(C52, ""en"", ""de"")"),"Hell")</f>
        <v>Hell</v>
      </c>
      <c r="Z52" s="3" t="str">
        <f>IFERROR(__xludf.DUMMYFUNCTION("GoogleTranslate(C52, ""en"", ""el"")"),"Ευφυής")</f>
        <v>Ευφυής</v>
      </c>
      <c r="AA52" s="3" t="str">
        <f>IFERROR(__xludf.DUMMYFUNCTION("GoogleTranslate(C52, ""en"", ""iw"")"),"בָּהִיר")</f>
        <v>בָּהִיר</v>
      </c>
      <c r="AB52" s="3" t="str">
        <f>IFERROR(__xludf.DUMMYFUNCTION("GoogleTranslate(C52, ""en"", ""hi"")"),"चमकदार")</f>
        <v>चमकदार</v>
      </c>
      <c r="AC52" s="3" t="str">
        <f>IFERROR(__xludf.DUMMYFUNCTION("GoogleTranslate(C52, ""en"", ""hu"")"),"Fényes")</f>
        <v>Fényes</v>
      </c>
      <c r="AD52" s="3" t="str">
        <f>IFERROR(__xludf.DUMMYFUNCTION("GoogleTranslate(C52, ""en"", ""is"")"),"Björt")</f>
        <v>Björt</v>
      </c>
      <c r="AE52" s="3" t="str">
        <f>IFERROR(__xludf.DUMMYFUNCTION("GoogleTranslate(C52, ""en"", ""id"")"),"Terang")</f>
        <v>Terang</v>
      </c>
      <c r="AF52" s="3" t="str">
        <f>IFERROR(__xludf.DUMMYFUNCTION("GoogleTranslate(C52, ""en"", ""in"")"),"Terang")</f>
        <v>Terang</v>
      </c>
      <c r="AG52" s="3" t="str">
        <f>IFERROR(__xludf.DUMMYFUNCTION("GoogleTranslate(C52, ""en"", ""it"")"),"Luminoso")</f>
        <v>Luminoso</v>
      </c>
      <c r="AH52" s="3" t="str">
        <f>IFERROR(__xludf.DUMMYFUNCTION("GoogleTranslate(C52, ""en"", ""ja"")"),"明るい")</f>
        <v>明るい</v>
      </c>
      <c r="AI52" s="3" t="str">
        <f>IFERROR(__xludf.DUMMYFUNCTION("GoogleTranslate(C52, ""en"", ""kn"")"),"ಬ್ರೈಟ್")</f>
        <v>ಬ್ರೈಟ್</v>
      </c>
      <c r="AJ52" s="3" t="str">
        <f>IFERROR(__xludf.DUMMYFUNCTION("GoogleTranslate(C52, ""en"", ""km"")"),"ភ្លឺ")</f>
        <v>ភ្លឺ</v>
      </c>
      <c r="AK52" s="3" t="str">
        <f>IFERROR(__xludf.DUMMYFUNCTION("GoogleTranslate(C52, ""en"", ""ko"")"),"밝은")</f>
        <v>밝은</v>
      </c>
      <c r="AL52" s="3" t="str">
        <f>IFERROR(__xludf.DUMMYFUNCTION("GoogleTranslate(C52, ""en"", ""lo"")"),"ສົດໃສ")</f>
        <v>ສົດໃສ</v>
      </c>
      <c r="AM52" s="3" t="str">
        <f>IFERROR(__xludf.DUMMYFUNCTION("GoogleTranslate(C52, ""en"", ""lv"")"),"Gaišs")</f>
        <v>Gaišs</v>
      </c>
      <c r="AN52" s="3" t="str">
        <f>IFERROR(__xludf.DUMMYFUNCTION("GoogleTranslate(C52, ""en"", ""lt"")"),"Ryškus")</f>
        <v>Ryškus</v>
      </c>
      <c r="AO52" s="3" t="str">
        <f>IFERROR(__xludf.DUMMYFUNCTION("GoogleTranslate(C52, ""en"", ""mk"")"),"Светла")</f>
        <v>Светла</v>
      </c>
      <c r="AP52" s="3" t="str">
        <f>IFERROR(__xludf.DUMMYFUNCTION("GoogleTranslate(C52, ""en"", ""ms"")"),"Terang")</f>
        <v>Terang</v>
      </c>
      <c r="AQ52" s="3" t="str">
        <f>IFERROR(__xludf.DUMMYFUNCTION("GoogleTranslate(C52, ""en"", ""ml"")"),"തിളക്കമുള്ളത്")</f>
        <v>തിളക്കമുള്ളത്</v>
      </c>
      <c r="AR52" s="3" t="str">
        <f>IFERROR(__xludf.DUMMYFUNCTION("GoogleTranslate(C52, ""en"", ""mr"")"),"तेजस्वी")</f>
        <v>तेजस्वी</v>
      </c>
      <c r="AS52" s="3" t="str">
        <f>IFERROR(__xludf.DUMMYFUNCTION("GoogleTranslate(C52, ""en"", ""mn"")"),"Гэрэлт")</f>
        <v>Гэрэлт</v>
      </c>
      <c r="AT52" s="3" t="str">
        <f>IFERROR(__xludf.DUMMYFUNCTION("GoogleTranslate(C52, ""en"", ""ne"")"),"उज्यालो")</f>
        <v>उज्यालो</v>
      </c>
      <c r="AU52" s="3" t="str">
        <f>IFERROR(__xludf.DUMMYFUNCTION("GoogleTranslate(C52, ""en"", ""nb"")"),"Lys")</f>
        <v>Lys</v>
      </c>
      <c r="AV52" s="3" t="str">
        <f>IFERROR(__xludf.DUMMYFUNCTION("GoogleTranslate(C52, ""en"", ""fa"")"),"روشن")</f>
        <v>روشن</v>
      </c>
      <c r="AW52" s="3" t="str">
        <f>IFERROR(__xludf.DUMMYFUNCTION("GoogleTranslate(C52, ""en"", ""pl"")"),"Jasny")</f>
        <v>Jasny</v>
      </c>
      <c r="AX52" s="3" t="str">
        <f>IFERROR(__xludf.DUMMYFUNCTION("GoogleTranslate(C52, ""en"", ""pt"")"),"Brilhante")</f>
        <v>Brilhante</v>
      </c>
      <c r="AY52" s="3" t="str">
        <f>IFERROR(__xludf.DUMMYFUNCTION("GoogleTranslate(C52, ""en"", ""ro"")"),"Luminos")</f>
        <v>Luminos</v>
      </c>
      <c r="AZ52" s="3" t="str">
        <f>IFERROR(__xludf.DUMMYFUNCTION("GoogleTranslate(C52, ""en"", ""ru"")"),"Яркий")</f>
        <v>Яркий</v>
      </c>
      <c r="BA52" s="3" t="str">
        <f>IFERROR(__xludf.DUMMYFUNCTION("GoogleTranslate(C52, ""en"", ""sr"")"),"Бригхт")</f>
        <v>Бригхт</v>
      </c>
      <c r="BB52" s="3" t="str">
        <f>IFERROR(__xludf.DUMMYFUNCTION("GoogleTranslate(C52, ""en"", ""si"")"),"දීප්තිමත්")</f>
        <v>දීප්තිමත්</v>
      </c>
      <c r="BC52" s="3" t="str">
        <f>IFERROR(__xludf.DUMMYFUNCTION("GoogleTranslate(C52, ""en"", ""sk"")"),"Svetlý")</f>
        <v>Svetlý</v>
      </c>
      <c r="BD52" s="3" t="str">
        <f>IFERROR(__xludf.DUMMYFUNCTION("GoogleTranslate(C52, ""en"", ""sl"")"),"Svetlo")</f>
        <v>Svetlo</v>
      </c>
      <c r="BE52" s="3" t="str">
        <f>IFERROR(__xludf.DUMMYFUNCTION("GoogleTranslate(C52, ""en"", ""es"")"),"Brillante")</f>
        <v>Brillante</v>
      </c>
      <c r="BF52" s="3" t="str">
        <f>IFERROR(__xludf.DUMMYFUNCTION("GoogleTranslate(C52, ""en"", ""sw"")"),"Mkali")</f>
        <v>Mkali</v>
      </c>
      <c r="BG52" s="3" t="str">
        <f>IFERROR(__xludf.DUMMYFUNCTION("GoogleTranslate(C52, ""en"", ""sv"")"),"Ljus")</f>
        <v>Ljus</v>
      </c>
      <c r="BH52" s="3" t="str">
        <f>IFERROR(__xludf.DUMMYFUNCTION("GoogleTranslate(C52, ""en"", ""te"")"),"ప్రకాశవంతమైన")</f>
        <v>ప్రకాశవంతమైన</v>
      </c>
      <c r="BI52" s="3" t="str">
        <f>IFERROR(__xludf.DUMMYFUNCTION("GoogleTranslate(C52, ""en"", ""th"")"),"สว่าง")</f>
        <v>สว่าง</v>
      </c>
      <c r="BJ52" s="3" t="str">
        <f>IFERROR(__xludf.DUMMYFUNCTION("GoogleTranslate(C52, ""en"", ""tr"")"),"Parlak")</f>
        <v>Parlak</v>
      </c>
      <c r="BK52" s="3" t="str">
        <f>IFERROR(__xludf.DUMMYFUNCTION("GoogleTranslate(C52, ""en"", ""uk"")"),"Яскравий")</f>
        <v>Яскравий</v>
      </c>
      <c r="BL52" s="3" t="str">
        <f>IFERROR(__xludf.DUMMYFUNCTION("GoogleTranslate(C52, ""en"", ""zu"")"),"Okugqamile")</f>
        <v>Okugqamile</v>
      </c>
    </row>
    <row r="53">
      <c r="A53" s="1" t="str">
        <f t="shared" si="1"/>
        <v>Dark</v>
      </c>
      <c r="B53" s="4" t="s">
        <v>115</v>
      </c>
      <c r="C53" s="1" t="str">
        <f t="shared" si="2"/>
        <v>Dark</v>
      </c>
      <c r="D53" s="3" t="str">
        <f>IFERROR(__xludf.DUMMYFUNCTION("GoogleTranslate(C53, ""en"", ""es"")"),"Oscuro")</f>
        <v>Oscuro</v>
      </c>
      <c r="E53" s="3" t="str">
        <f>IFERROR(__xludf.DUMMYFUNCTION("GoogleTranslate(C53, ""en"", ""ar"")"),"مظلم")</f>
        <v>مظلم</v>
      </c>
      <c r="F53" s="3" t="str">
        <f>IFERROR(__xludf.DUMMYFUNCTION("GoogleTranslate(C53, ""en"", ""hy"")"),"Մութ")</f>
        <v>Մութ</v>
      </c>
      <c r="G53" s="3" t="str">
        <f>IFERROR(__xludf.DUMMYFUNCTION("GoogleTranslate(C53, ""en"", ""vi"")"),"Tối tăm")</f>
        <v>Tối tăm</v>
      </c>
      <c r="H53" s="3" t="str">
        <f>IFERROR(__xludf.DUMMYFUNCTION("GoogleTranslate(C53, ""en"", ""az"")"),"Qaranlıq")</f>
        <v>Qaranlıq</v>
      </c>
      <c r="I53" s="3" t="str">
        <f>IFERROR(__xludf.DUMMYFUNCTION("GoogleTranslate(C53, ""en"", ""eu"")"),"Iluna")</f>
        <v>Iluna</v>
      </c>
      <c r="J53" s="3" t="str">
        <f>IFERROR(__xludf.DUMMYFUNCTION("GoogleTranslate(C53, ""en"", ""be"")"),"Цёмны")</f>
        <v>Цёмны</v>
      </c>
      <c r="K53" s="3" t="str">
        <f>IFERROR(__xludf.DUMMYFUNCTION("GoogleTranslate(C53, ""en"", ""bn"")"),"অন্ধকার")</f>
        <v>অন্ধকার</v>
      </c>
      <c r="L53" s="3" t="str">
        <f>IFERROR(__xludf.DUMMYFUNCTION("GoogleTranslate(C53, ""en"", ""bg"")"),"Тъмно")</f>
        <v>Тъмно</v>
      </c>
      <c r="M53" s="3" t="str">
        <f>IFERROR(__xludf.DUMMYFUNCTION("GoogleTranslate(C53, ""en"", ""my"")"),"အမှောင်")</f>
        <v>အမှောင်</v>
      </c>
      <c r="N53" s="3" t="str">
        <f>IFERROR(__xludf.DUMMYFUNCTION("GoogleTranslate(C53, ""en"", ""ca"")"),"Fosc")</f>
        <v>Fosc</v>
      </c>
      <c r="O53" s="3" t="str">
        <f>IFERROR(__xludf.DUMMYFUNCTION("GoogleTranslate(C53, ""en"", ""zh-cn"")"),"黑暗的")</f>
        <v>黑暗的</v>
      </c>
      <c r="P53" s="3" t="str">
        <f>IFERROR(__xludf.DUMMYFUNCTION("GoogleTranslate(C53, ""en"", ""zh-TW"")"),"黑暗的")</f>
        <v>黑暗的</v>
      </c>
      <c r="Q53" s="3" t="str">
        <f>IFERROR(__xludf.DUMMYFUNCTION("GoogleTranslate(C53, ""en"", ""hr"")"),"tamno")</f>
        <v>tamno</v>
      </c>
      <c r="R53" s="3" t="str">
        <f>IFERROR(__xludf.DUMMYFUNCTION("GoogleTranslate(C53, ""en"", ""cs"")"),"Tmavý")</f>
        <v>Tmavý</v>
      </c>
      <c r="S53" s="3" t="str">
        <f>IFERROR(__xludf.DUMMYFUNCTION("GoogleTranslate(C53, ""en"", ""da"")"),"Mørk")</f>
        <v>Mørk</v>
      </c>
      <c r="T53" s="3" t="str">
        <f>IFERROR(__xludf.DUMMYFUNCTION("GoogleTranslate(C53, ""en"", ""nl"")"),"Donker")</f>
        <v>Donker</v>
      </c>
      <c r="U53" s="3" t="str">
        <f>IFERROR(__xludf.DUMMYFUNCTION("GoogleTranslate(C53, ""en"", ""et"")"),"Tume")</f>
        <v>Tume</v>
      </c>
      <c r="V53" s="1" t="str">
        <f t="shared" si="3"/>
        <v>Dark</v>
      </c>
      <c r="W53" s="3" t="str">
        <f>IFERROR(__xludf.DUMMYFUNCTION("GoogleTranslate(C53, ""en"", ""fi"")"),"Tumma")</f>
        <v>Tumma</v>
      </c>
      <c r="X53" s="3" t="str">
        <f>IFERROR(__xludf.DUMMYFUNCTION("GoogleTranslate(C53, ""en"", ""fr"")"),"Sombre")</f>
        <v>Sombre</v>
      </c>
      <c r="Y53" s="3" t="str">
        <f>IFERROR(__xludf.DUMMYFUNCTION("GoogleTranslate(C53, ""en"", ""de"")"),"Dunkel")</f>
        <v>Dunkel</v>
      </c>
      <c r="Z53" s="3" t="str">
        <f>IFERROR(__xludf.DUMMYFUNCTION("GoogleTranslate(C53, ""en"", ""el"")"),"Σκοτάδι")</f>
        <v>Σκοτάδι</v>
      </c>
      <c r="AA53" s="3" t="str">
        <f>IFERROR(__xludf.DUMMYFUNCTION("GoogleTranslate(C53, ""en"", ""iw"")"),"כֵּהֶה")</f>
        <v>כֵּהֶה</v>
      </c>
      <c r="AB53" s="3" t="str">
        <f>IFERROR(__xludf.DUMMYFUNCTION("GoogleTranslate(C53, ""en"", ""hi"")"),"अँधेरा")</f>
        <v>अँधेरा</v>
      </c>
      <c r="AC53" s="3" t="str">
        <f>IFERROR(__xludf.DUMMYFUNCTION("GoogleTranslate(C53, ""en"", ""hu"")"),"Sötét")</f>
        <v>Sötét</v>
      </c>
      <c r="AD53" s="3" t="str">
        <f>IFERROR(__xludf.DUMMYFUNCTION("GoogleTranslate(C53, ""en"", ""is"")"),"Myrkur")</f>
        <v>Myrkur</v>
      </c>
      <c r="AE53" s="3" t="str">
        <f>IFERROR(__xludf.DUMMYFUNCTION("GoogleTranslate(C53, ""en"", ""id"")"),"Gelap")</f>
        <v>Gelap</v>
      </c>
      <c r="AF53" s="3" t="str">
        <f>IFERROR(__xludf.DUMMYFUNCTION("GoogleTranslate(C53, ""en"", ""in"")"),"Gelap")</f>
        <v>Gelap</v>
      </c>
      <c r="AG53" s="3" t="str">
        <f>IFERROR(__xludf.DUMMYFUNCTION("GoogleTranslate(C53, ""en"", ""it"")"),"Buio")</f>
        <v>Buio</v>
      </c>
      <c r="AH53" s="3" t="str">
        <f>IFERROR(__xludf.DUMMYFUNCTION("GoogleTranslate(C53, ""en"", ""ja"")"),"暗い")</f>
        <v>暗い</v>
      </c>
      <c r="AI53" s="3" t="str">
        <f>IFERROR(__xludf.DUMMYFUNCTION("GoogleTranslate(C53, ""en"", ""kn"")"),"ಕತ್ತಲು")</f>
        <v>ಕತ್ತಲು</v>
      </c>
      <c r="AJ53" s="3" t="str">
        <f>IFERROR(__xludf.DUMMYFUNCTION("GoogleTranslate(C53, ""en"", ""km"")"),"ងងឹត")</f>
        <v>ងងឹត</v>
      </c>
      <c r="AK53" s="3" t="str">
        <f>IFERROR(__xludf.DUMMYFUNCTION("GoogleTranslate(C53, ""en"", ""ko"")"),"어두운")</f>
        <v>어두운</v>
      </c>
      <c r="AL53" s="3" t="str">
        <f>IFERROR(__xludf.DUMMYFUNCTION("GoogleTranslate(C53, ""en"", ""lo"")"),"ມືດ")</f>
        <v>ມືດ</v>
      </c>
      <c r="AM53" s="3" t="str">
        <f>IFERROR(__xludf.DUMMYFUNCTION("GoogleTranslate(C53, ""en"", ""lv"")"),"Tumšs")</f>
        <v>Tumšs</v>
      </c>
      <c r="AN53" s="3" t="str">
        <f>IFERROR(__xludf.DUMMYFUNCTION("GoogleTranslate(C53, ""en"", ""lt"")"),"Tamsus")</f>
        <v>Tamsus</v>
      </c>
      <c r="AO53" s="3" t="str">
        <f>IFERROR(__xludf.DUMMYFUNCTION("GoogleTranslate(C53, ""en"", ""mk"")"),"Темно")</f>
        <v>Темно</v>
      </c>
      <c r="AP53" s="3" t="str">
        <f>IFERROR(__xludf.DUMMYFUNCTION("GoogleTranslate(C53, ""en"", ""ms"")"),"Gelap")</f>
        <v>Gelap</v>
      </c>
      <c r="AQ53" s="3" t="str">
        <f>IFERROR(__xludf.DUMMYFUNCTION("GoogleTranslate(C53, ""en"", ""ml"")"),"ഇരുട്ട്")</f>
        <v>ഇരുട്ട്</v>
      </c>
      <c r="AR53" s="3" t="str">
        <f>IFERROR(__xludf.DUMMYFUNCTION("GoogleTranslate(C53, ""en"", ""mr"")"),"गडद")</f>
        <v>गडद</v>
      </c>
      <c r="AS53" s="3" t="str">
        <f>IFERROR(__xludf.DUMMYFUNCTION("GoogleTranslate(C53, ""en"", ""mn"")"),"Харанхуй")</f>
        <v>Харанхуй</v>
      </c>
      <c r="AT53" s="3" t="str">
        <f>IFERROR(__xludf.DUMMYFUNCTION("GoogleTranslate(C53, ""en"", ""ne"")"),"अँध्यारो")</f>
        <v>अँध्यारो</v>
      </c>
      <c r="AU53" s="3" t="str">
        <f>IFERROR(__xludf.DUMMYFUNCTION("GoogleTranslate(C53, ""en"", ""nb"")"),"Mørk")</f>
        <v>Mørk</v>
      </c>
      <c r="AV53" s="3" t="str">
        <f>IFERROR(__xludf.DUMMYFUNCTION("GoogleTranslate(C53, ""en"", ""fa"")"),"تاریک")</f>
        <v>تاریک</v>
      </c>
      <c r="AW53" s="3" t="str">
        <f>IFERROR(__xludf.DUMMYFUNCTION("GoogleTranslate(C53, ""en"", ""pl"")"),"Ciemny")</f>
        <v>Ciemny</v>
      </c>
      <c r="AX53" s="3" t="str">
        <f>IFERROR(__xludf.DUMMYFUNCTION("GoogleTranslate(C53, ""en"", ""pt"")"),"Escuro")</f>
        <v>Escuro</v>
      </c>
      <c r="AY53" s="3" t="str">
        <f>IFERROR(__xludf.DUMMYFUNCTION("GoogleTranslate(C53, ""en"", ""ro"")"),"Întuneric")</f>
        <v>Întuneric</v>
      </c>
      <c r="AZ53" s="3" t="str">
        <f>IFERROR(__xludf.DUMMYFUNCTION("GoogleTranslate(C53, ""en"", ""ru"")"),"Темный")</f>
        <v>Темный</v>
      </c>
      <c r="BA53" s="3" t="str">
        <f>IFERROR(__xludf.DUMMYFUNCTION("GoogleTranslate(C53, ""en"", ""sr"")"),"Дарк")</f>
        <v>Дарк</v>
      </c>
      <c r="BB53" s="3" t="str">
        <f>IFERROR(__xludf.DUMMYFUNCTION("GoogleTranslate(C53, ""en"", ""si"")"),"අඳුරු")</f>
        <v>අඳුරු</v>
      </c>
      <c r="BC53" s="3" t="str">
        <f>IFERROR(__xludf.DUMMYFUNCTION("GoogleTranslate(C53, ""en"", ""sk"")"),"Tmavý")</f>
        <v>Tmavý</v>
      </c>
      <c r="BD53" s="3" t="str">
        <f>IFERROR(__xludf.DUMMYFUNCTION("GoogleTranslate(C53, ""en"", ""sl"")"),"Temno")</f>
        <v>Temno</v>
      </c>
      <c r="BE53" s="3" t="str">
        <f>IFERROR(__xludf.DUMMYFUNCTION("GoogleTranslate(C53, ""en"", ""es"")"),"Oscuro")</f>
        <v>Oscuro</v>
      </c>
      <c r="BF53" s="3" t="str">
        <f>IFERROR(__xludf.DUMMYFUNCTION("GoogleTranslate(C53, ""en"", ""sw"")"),"Giza")</f>
        <v>Giza</v>
      </c>
      <c r="BG53" s="3" t="str">
        <f>IFERROR(__xludf.DUMMYFUNCTION("GoogleTranslate(C53, ""en"", ""sv"")"),"Mörk")</f>
        <v>Mörk</v>
      </c>
      <c r="BH53" s="3" t="str">
        <f>IFERROR(__xludf.DUMMYFUNCTION("GoogleTranslate(C53, ""en"", ""te"")"),"చీకటి")</f>
        <v>చీకటి</v>
      </c>
      <c r="BI53" s="3" t="str">
        <f>IFERROR(__xludf.DUMMYFUNCTION("GoogleTranslate(C53, ""en"", ""th"")"),"มืด")</f>
        <v>มืด</v>
      </c>
      <c r="BJ53" s="3" t="str">
        <f>IFERROR(__xludf.DUMMYFUNCTION("GoogleTranslate(C53, ""en"", ""tr"")"),"Karanlık")</f>
        <v>Karanlık</v>
      </c>
      <c r="BK53" s="3" t="str">
        <f>IFERROR(__xludf.DUMMYFUNCTION("GoogleTranslate(C53, ""en"", ""uk"")"),"Темний")</f>
        <v>Темний</v>
      </c>
      <c r="BL53" s="3" t="str">
        <f>IFERROR(__xludf.DUMMYFUNCTION("GoogleTranslate(C53, ""en"", ""zu"")"),"Kumnyama")</f>
        <v>Kumnyama</v>
      </c>
    </row>
    <row r="54">
      <c r="A54" s="1" t="str">
        <f t="shared" si="1"/>
        <v>Temperature_&amp;_chance_of_rain_in_{name}_in_the_coming_hours</v>
      </c>
      <c r="B54" s="4" t="s">
        <v>116</v>
      </c>
      <c r="C54" s="1" t="str">
        <f t="shared" si="2"/>
        <v>Temperature &amp; chance of rain in {name} in the coming hours</v>
      </c>
      <c r="D54" s="3" t="str">
        <f>IFERROR(__xludf.DUMMYFUNCTION("GoogleTranslate(C54, ""en"", ""es"")"),"Temperatura y probabilidad de lluvia en {nombre} en las próximas horas")</f>
        <v>Temperatura y probabilidad de lluvia en {nombre} en las próximas horas</v>
      </c>
      <c r="E54" s="3" t="str">
        <f>IFERROR(__xludf.DUMMYFUNCTION("GoogleTranslate(C54, ""en"", ""ar"")"),"درجات الحرارة واحتمال هطول الأمطار في {الاسم} خلال الساعات القادمة")</f>
        <v>درجات الحرارة واحتمال هطول الأمطار في {الاسم} خلال الساعات القادمة</v>
      </c>
      <c r="F54" s="3" t="str">
        <f>IFERROR(__xludf.DUMMYFUNCTION("GoogleTranslate(C54, ""en"", ""hy"")"),"Առաջիկա ժամերին {name}-ում ջերմաստիճան և անձրևի հավանականություն")</f>
        <v>Առաջիկա ժամերին {name}-ում ջերմաստիճան և անձրևի հավանականություն</v>
      </c>
      <c r="G54" s="3" t="str">
        <f>IFERROR(__xludf.DUMMYFUNCTION("GoogleTranslate(C54, ""en"", ""vi"")"),"Nhiệt độ và khả năng có mưa ở {name} trong những giờ tới")</f>
        <v>Nhiệt độ và khả năng có mưa ở {name} trong những giờ tới</v>
      </c>
      <c r="H54" s="3" t="str">
        <f>IFERROR(__xludf.DUMMYFUNCTION("GoogleTranslate(C54, ""en"", ""az"")"),"Yaxın saatlarda {name} ərazisində temperatur və yağış ehtimalı")</f>
        <v>Yaxın saatlarda {name} ərazisində temperatur və yağış ehtimalı</v>
      </c>
      <c r="I54" s="3" t="str">
        <f>IFERROR(__xludf.DUMMYFUNCTION("GoogleTranslate(C54, ""en"", ""eu"")"),"Tenperatura eta euria egiteko aukera {name}n datozen orduetan")</f>
        <v>Tenperatura eta euria egiteko aukera {name}n datozen orduetan</v>
      </c>
      <c r="J54" s="3" t="str">
        <f>IFERROR(__xludf.DUMMYFUNCTION("GoogleTranslate(C54, ""en"", ""be"")"),"Тэмпература і верагоднасць дажджу ў {name} у бліжэйшыя гадзіны")</f>
        <v>Тэмпература і верагоднасць дажджу ў {name} у бліжэйшыя гадзіны</v>
      </c>
      <c r="K54" s="3" t="str">
        <f>IFERROR(__xludf.DUMMYFUNCTION("GoogleTranslate(C54, ""en"", ""bn"")"),"আগামী ঘণ্টায় {name}-এ তাপমাত্রা ও বৃষ্টির সম্ভাবনা")</f>
        <v>আগামী ঘণ্টায় {name}-এ তাপমাত্রা ও বৃষ্টির সম্ভাবনা</v>
      </c>
      <c r="L54" s="3" t="str">
        <f>IFERROR(__xludf.DUMMYFUNCTION("GoogleTranslate(C54, ""en"", ""bg"")"),"Температура и вероятност за дъжд в {name} през следващите часове")</f>
        <v>Температура и вероятност за дъжд в {name} през следващите часове</v>
      </c>
      <c r="M54" s="3" t="str">
        <f>IFERROR(__xludf.DUMMYFUNCTION("GoogleTranslate(C54, ""en"", ""my"")"),"လာမည့်နာရီများတွင် {name} တွင် အပူချိန်နှင့် မိုးရွာနိုင်ခြေ")</f>
        <v>လာမည့်နာရီများတွင် {name} တွင် အပူချိန်နှင့် မိုးရွာနိုင်ခြေ</v>
      </c>
      <c r="N54" s="3" t="str">
        <f>IFERROR(__xludf.DUMMYFUNCTION("GoogleTranslate(C54, ""en"", ""ca"")"),"Temperatura i probabilitat de pluja a {name} en les properes hores")</f>
        <v>Temperatura i probabilitat de pluja a {name} en les properes hores</v>
      </c>
      <c r="O54" s="3" t="str">
        <f>IFERROR(__xludf.DUMMYFUNCTION("GoogleTranslate(C54, ""en"", ""zh-cn"")"),"未来几小时内{name}的气温和降雨概率")</f>
        <v>未来几小时内{name}的气温和降雨概率</v>
      </c>
      <c r="P54" s="3" t="str">
        <f>IFERROR(__xludf.DUMMYFUNCTION("GoogleTranslate(C54, ""en"", ""zh-TW"")"),"未來幾小時內{name}的氣溫和降雨機率")</f>
        <v>未來幾小時內{name}的氣溫和降雨機率</v>
      </c>
      <c r="Q54" s="3" t="str">
        <f>IFERROR(__xludf.DUMMYFUNCTION("GoogleTranslate(C54, ""en"", ""hr"")"),"Temperatura i mogućnost kiše u {name} u nadolazećim satima")</f>
        <v>Temperatura i mogućnost kiše u {name} u nadolazećim satima</v>
      </c>
      <c r="R54" s="3" t="str">
        <f>IFERROR(__xludf.DUMMYFUNCTION("GoogleTranslate(C54, ""en"", ""cs"")"),"Teplota a možnost deště v {name} v nadcházejících hodinách")</f>
        <v>Teplota a možnost deště v {name} v nadcházejících hodinách</v>
      </c>
      <c r="S54" s="3" t="str">
        <f>IFERROR(__xludf.DUMMYFUNCTION("GoogleTranslate(C54, ""en"", ""da"")"),"Temperatur og chance for regn i {name} i de kommende timer")</f>
        <v>Temperatur og chance for regn i {name} i de kommende timer</v>
      </c>
      <c r="T54" s="3" t="str">
        <f>IFERROR(__xludf.DUMMYFUNCTION("GoogleTranslate(C54, ""en"", ""nl"")"),"Temperatuur en kans op regen in {name} de komende uren")</f>
        <v>Temperatuur en kans op regen in {name} de komende uren</v>
      </c>
      <c r="U54" s="3" t="str">
        <f>IFERROR(__xludf.DUMMYFUNCTION("GoogleTranslate(C54, ""en"", ""et"")"),"Temperatuur ja vihma võimalus asukohas {name} lähitundidel")</f>
        <v>Temperatuur ja vihma võimalus asukohas {name} lähitundidel</v>
      </c>
      <c r="V54" s="1" t="str">
        <f t="shared" si="3"/>
        <v>Temperature &amp; chance of rain in {name} in the coming hours</v>
      </c>
      <c r="W54" s="3" t="str">
        <f>IFERROR(__xludf.DUMMYFUNCTION("GoogleTranslate(C54, ""en"", ""fi"")"),"Lämpötila ja sateen mahdollisuus paikassa {name} tulevina tunteina")</f>
        <v>Lämpötila ja sateen mahdollisuus paikassa {name} tulevina tunteina</v>
      </c>
      <c r="X54" s="3" t="str">
        <f>IFERROR(__xludf.DUMMYFUNCTION("GoogleTranslate(C54, ""en"", ""fr"")"),"Température et risque de pluie à {name} dans les heures à venir")</f>
        <v>Température et risque de pluie à {name} dans les heures à venir</v>
      </c>
      <c r="Y54" s="3" t="str">
        <f>IFERROR(__xludf.DUMMYFUNCTION("GoogleTranslate(C54, ""en"", ""de"")"),"Temperatur und Regenwahrscheinlichkeit in {name} in den kommenden Stunden")</f>
        <v>Temperatur und Regenwahrscheinlichkeit in {name} in den kommenden Stunden</v>
      </c>
      <c r="Z54" s="3" t="str">
        <f>IFERROR(__xludf.DUMMYFUNCTION("GoogleTranslate(C54, ""en"", ""el"")"),"Θερμοκρασία &amp; πιθανότητα βροχής στο {name} τις επόμενες ώρες")</f>
        <v>Θερμοκρασία &amp; πιθανότητα βροχής στο {name} τις επόμενες ώρες</v>
      </c>
      <c r="AA54" s="3" t="str">
        <f>IFERROR(__xludf.DUMMYFUNCTION("GoogleTranslate(C54, ""en"", ""iw"")"),"טמפרטורה וסיכוי לגשם ב{name} בשעות הקרובות")</f>
        <v>טמפרטורה וסיכוי לגשם ב{name} בשעות הקרובות</v>
      </c>
      <c r="AB54" s="3" t="str">
        <f>IFERROR(__xludf.DUMMYFUNCTION("GoogleTranslate(C54, ""en"", ""hi"")"),"आने वाले घंटों में {नाम} में तापमान और बारिश की संभावना")</f>
        <v>आने वाले घंटों में {नाम} में तापमान और बारिश की संभावना</v>
      </c>
      <c r="AC54" s="3" t="str">
        <f>IFERROR(__xludf.DUMMYFUNCTION("GoogleTranslate(C54, ""en"", ""hu"")"),"Hőmérséklet és eső valószínűsége itt: {name} a következő órákban")</f>
        <v>Hőmérséklet és eső valószínűsége itt: {name} a következő órákban</v>
      </c>
      <c r="AD54" s="3" t="str">
        <f>IFERROR(__xludf.DUMMYFUNCTION("GoogleTranslate(C54, ""en"", ""is"")"),"Hiti og líkur á rigningu í {name} á næstu klukkustundum")</f>
        <v>Hiti og líkur á rigningu í {name} á næstu klukkustundum</v>
      </c>
      <c r="AE54" s="3" t="str">
        <f>IFERROR(__xludf.DUMMYFUNCTION("GoogleTranslate(C54, ""en"", ""id"")"),"Suhu &amp; kemungkinan hujan di {name} dalam beberapa jam mendatang")</f>
        <v>Suhu &amp; kemungkinan hujan di {name} dalam beberapa jam mendatang</v>
      </c>
      <c r="AF54" s="3" t="str">
        <f>IFERROR(__xludf.DUMMYFUNCTION("GoogleTranslate(C54, ""en"", ""in"")"),"Suhu &amp; kemungkinan hujan di {name} dalam beberapa jam mendatang")</f>
        <v>Suhu &amp; kemungkinan hujan di {name} dalam beberapa jam mendatang</v>
      </c>
      <c r="AG54" s="3" t="str">
        <f>IFERROR(__xludf.DUMMYFUNCTION("GoogleTranslate(C54, ""en"", ""it"")"),"Temperatura e possibilità di pioggia a {name} nelle prossime ore")</f>
        <v>Temperatura e possibilità di pioggia a {name} nelle prossime ore</v>
      </c>
      <c r="AH54" s="3" t="str">
        <f>IFERROR(__xludf.DUMMYFUNCTION("GoogleTranslate(C54, ""en"", ""ja"")"),"{name}の今後数時間の気温と降水確率")</f>
        <v>{name}の今後数時間の気温と降水確率</v>
      </c>
      <c r="AI54" s="3" t="str">
        <f>IFERROR(__xludf.DUMMYFUNCTION("GoogleTranslate(C54, ""en"", ""kn"")"),"ಮುಂಬರುವ ಗಂಟೆಗಳಲ್ಲಿ {name} ನಲ್ಲಿ ತಾಪಮಾನ ಮತ್ತು ಮಳೆಯ ಸಾಧ್ಯತೆ")</f>
        <v>ಮುಂಬರುವ ಗಂಟೆಗಳಲ್ಲಿ {name} ನಲ್ಲಿ ತಾಪಮಾನ ಮತ್ತು ಮಳೆಯ ಸಾಧ್ಯತೆ</v>
      </c>
      <c r="AJ54" s="3" t="str">
        <f>IFERROR(__xludf.DUMMYFUNCTION("GoogleTranslate(C54, ""en"", ""km"")"),"សីតុណ្ហភាព និងឱកាសនៃភ្លៀងនៅក្នុង {name} ក្នុងរយៈពេលប៉ុន្មានម៉ោងខាងមុខនេះ")</f>
        <v>សីតុណ្ហភាព និងឱកាសនៃភ្លៀងនៅក្នុង {name} ក្នុងរយៈពេលប៉ុន្មានម៉ោងខាងមុខនេះ</v>
      </c>
      <c r="AK54" s="3" t="str">
        <f>IFERROR(__xludf.DUMMYFUNCTION("GoogleTranslate(C54, ""en"", ""ko"")"),"앞으로 몇 시간 동안 {name}의 기온 및 비 올 확률")</f>
        <v>앞으로 몇 시간 동안 {name}의 기온 및 비 올 확률</v>
      </c>
      <c r="AL54" s="3" t="str">
        <f>IFERROR(__xludf.DUMMYFUNCTION("GoogleTranslate(C54, ""en"", ""lo"")"),"ອຸນຫະພູມ ແລະ ໂອກາດທີ່ຈະມີຝົນຕົກໃນ {name} ໃນຊົ່ວໂມງຂ້າງໜ້າ")</f>
        <v>ອຸນຫະພູມ ແລະ ໂອກາດທີ່ຈະມີຝົນຕົກໃນ {name} ໃນຊົ່ວໂມງຂ້າງໜ້າ</v>
      </c>
      <c r="AM54" s="3" t="str">
        <f>IFERROR(__xludf.DUMMYFUNCTION("GoogleTranslate(C54, ""en"", ""lv"")"),"Temperatūra un lietus iespējamība šajā vietā: {name} tuvākajās stundās")</f>
        <v>Temperatūra un lietus iespējamība šajā vietā: {name} tuvākajās stundās</v>
      </c>
      <c r="AN54" s="3" t="str">
        <f>IFERROR(__xludf.DUMMYFUNCTION("GoogleTranslate(C54, ""en"", ""lt"")"),"Temperatūra ir lietaus tikimybė {name} artimiausiomis valandomis")</f>
        <v>Temperatūra ir lietaus tikimybė {name} artimiausiomis valandomis</v>
      </c>
      <c r="AO54" s="3" t="str">
        <f>IFERROR(__xludf.DUMMYFUNCTION("GoogleTranslate(C54, ""en"", ""mk"")"),"Температура и можност за дожд во {name} во наредните часови")</f>
        <v>Температура и можност за дожд во {name} во наредните часови</v>
      </c>
      <c r="AP54" s="3" t="str">
        <f>IFERROR(__xludf.DUMMYFUNCTION("GoogleTranslate(C54, ""en"", ""ms"")"),"Suhu &amp; kemungkinan hujan di {name} dalam beberapa jam akan datang")</f>
        <v>Suhu &amp; kemungkinan hujan di {name} dalam beberapa jam akan datang</v>
      </c>
      <c r="AQ54" s="3" t="str">
        <f>IFERROR(__xludf.DUMMYFUNCTION("GoogleTranslate(C54, ""en"", ""ml"")"),"വരും മണിക്കൂറുകളിൽ {name} എന്ന സ്ഥലത്ത് താപനിലയും മഴയ്ക്കുള്ള സാധ്യതയും")</f>
        <v>വരും മണിക്കൂറുകളിൽ {name} എന്ന സ്ഥലത്ത് താപനിലയും മഴയ്ക്കുള്ള സാധ്യതയും</v>
      </c>
      <c r="AR54" s="3" t="str">
        <f>IFERROR(__xludf.DUMMYFUNCTION("GoogleTranslate(C54, ""en"", ""mr"")"),"येत्या काही तासांमध्ये तापमान आणि {name} मध्ये पावसाची शक्यता")</f>
        <v>येत्या काही तासांमध्ये तापमान आणि {name} मध्ये पावसाची शक्यता</v>
      </c>
      <c r="AS54" s="3" t="str">
        <f>IFERROR(__xludf.DUMMYFUNCTION("GoogleTranslate(C54, ""en"", ""mn"")"),"Ойрын цагуудад {name}-д температур ба бороо орох магадлалтай")</f>
        <v>Ойрын цагуудад {name}-д температур ба бороо орох магадлалтай</v>
      </c>
      <c r="AT54" s="3" t="str">
        <f>IFERROR(__xludf.DUMMYFUNCTION("GoogleTranslate(C54, ""en"", ""ne"")"),"आगामी घण्टामा {name} मा तापक्रम र वर्षाको सम्भावना")</f>
        <v>आगामी घण्टामा {name} मा तापक्रम र वर्षाको सम्भावना</v>
      </c>
      <c r="AU54" s="3" t="str">
        <f>IFERROR(__xludf.DUMMYFUNCTION("GoogleTranslate(C54, ""en"", ""nb"")"),"Temperatur og sjanse for regn i {name} de kommende timene")</f>
        <v>Temperatur og sjanse for regn i {name} de kommende timene</v>
      </c>
      <c r="AV54" s="3" t="str">
        <f>IFERROR(__xludf.DUMMYFUNCTION("GoogleTranslate(C54, ""en"", ""fa"")"),"دما و احتمال بارندگی در {name} در ساعات آینده")</f>
        <v>دما و احتمال بارندگی در {name} در ساعات آینده</v>
      </c>
      <c r="AW54" s="3" t="str">
        <f>IFERROR(__xludf.DUMMYFUNCTION("GoogleTranslate(C54, ""en"", ""pl"")"),"Temperatura i prawdopodobieństwo opadów deszczu w {name} w nadchodzących godzinach")</f>
        <v>Temperatura i prawdopodobieństwo opadów deszczu w {name} w nadchodzących godzinach</v>
      </c>
      <c r="AX54" s="3" t="str">
        <f>IFERROR(__xludf.DUMMYFUNCTION("GoogleTranslate(C54, ""en"", ""pt"")"),"Temperatura e possibilidade de chuva em {name} nas próximas horas")</f>
        <v>Temperatura e possibilidade de chuva em {name} nas próximas horas</v>
      </c>
      <c r="AY54" s="3" t="str">
        <f>IFERROR(__xludf.DUMMYFUNCTION("GoogleTranslate(C54, ""en"", ""ro"")"),"Temperatura și șansa de ploaie în {name} în următoarele ore")</f>
        <v>Temperatura și șansa de ploaie în {name} în următoarele ore</v>
      </c>
      <c r="AZ54" s="3" t="str">
        <f>IFERROR(__xludf.DUMMYFUNCTION("GoogleTranslate(C54, ""en"", ""ru"")"),"Температура и вероятность дождя в {name} в ближайшие часы")</f>
        <v>Температура и вероятность дождя в {name} в ближайшие часы</v>
      </c>
      <c r="BA54" s="3" t="str">
        <f>IFERROR(__xludf.DUMMYFUNCTION("GoogleTranslate(C54, ""en"", ""sr"")"),"Температура и могућност кише у {наме} у наредним сатима")</f>
        <v>Температура и могућност кише у {наме} у наредним сатима</v>
      </c>
      <c r="BB54" s="3" t="str">
        <f>IFERROR(__xludf.DUMMYFUNCTION("GoogleTranslate(C54, ""en"", ""si"")"),"ඉදිරි පැය වලදී {name} හි උෂ්ණත්වය සහ වර්ෂාපතන අවස්ථාව")</f>
        <v>ඉදිරි පැය වලදී {name} හි උෂ්ණත්වය සහ වර්ෂාපතන අවස්ථාව</v>
      </c>
      <c r="BC54" s="3" t="str">
        <f>IFERROR(__xludf.DUMMYFUNCTION("GoogleTranslate(C54, ""en"", ""sk"")"),"Teplota a možnosť dažďa v meste {name} v najbližších hodinách")</f>
        <v>Teplota a možnosť dažďa v meste {name} v najbližších hodinách</v>
      </c>
      <c r="BD54" s="3" t="str">
        <f>IFERROR(__xludf.DUMMYFUNCTION("GoogleTranslate(C54, ""en"", ""sl"")"),"Temperatura in možnost dežja v {name} v prihodnjih urah")</f>
        <v>Temperatura in možnost dežja v {name} v prihodnjih urah</v>
      </c>
      <c r="BE54" s="3" t="str">
        <f>IFERROR(__xludf.DUMMYFUNCTION("GoogleTranslate(C54, ""en"", ""es"")"),"Temperatura y probabilidad de lluvia en {nombre} en las próximas horas")</f>
        <v>Temperatura y probabilidad de lluvia en {nombre} en las próximas horas</v>
      </c>
      <c r="BF54" s="3" t="str">
        <f>IFERROR(__xludf.DUMMYFUNCTION("GoogleTranslate(C54, ""en"", ""sw"")"),"Halijoto na uwezekano wa mvua katika {name} saa zijazo")</f>
        <v>Halijoto na uwezekano wa mvua katika {name} saa zijazo</v>
      </c>
      <c r="BG54" s="3" t="str">
        <f>IFERROR(__xludf.DUMMYFUNCTION("GoogleTranslate(C54, ""en"", ""sv"")"),"Temperatur och risk för regn i {name} under de kommande timmarna")</f>
        <v>Temperatur och risk för regn i {name} under de kommande timmarna</v>
      </c>
      <c r="BH54" s="3" t="str">
        <f>IFERROR(__xludf.DUMMYFUNCTION("GoogleTranslate(C54, ""en"", ""te"")"),"రానున్న గంటల్లో {name}లో ఉష్ణోగ్రత &amp; వర్షం పడే అవకాశం")</f>
        <v>రానున్న గంటల్లో {name}లో ఉష్ణోగ్రత &amp; వర్షం పడే అవకాశం</v>
      </c>
      <c r="BI54" s="3" t="str">
        <f>IFERROR(__xludf.DUMMYFUNCTION("GoogleTranslate(C54, ""en"", ""th"")"),"อุณหภูมิและโอกาสที่ฝนจะตกใน {name} ในอีกไม่กี่ชั่วโมงข้างหน้า")</f>
        <v>อุณหภูมิและโอกาสที่ฝนจะตกใน {name} ในอีกไม่กี่ชั่วโมงข้างหน้า</v>
      </c>
      <c r="BJ54" s="3" t="str">
        <f>IFERROR(__xludf.DUMMYFUNCTION("GoogleTranslate(C54, ""en"", ""tr"")"),"{name} için önümüzdeki saatlerde sıcaklık ve yağmur ihtimali")</f>
        <v>{name} için önümüzdeki saatlerde sıcaklık ve yağmur ihtimali</v>
      </c>
      <c r="BK54" s="3" t="str">
        <f>IFERROR(__xludf.DUMMYFUNCTION("GoogleTranslate(C54, ""en"", ""uk"")"),"Температура та ймовірність дощу в {name} найближчими годинами")</f>
        <v>Температура та ймовірність дощу в {name} найближчими годинами</v>
      </c>
      <c r="BL54" s="3" t="str">
        <f>IFERROR(__xludf.DUMMYFUNCTION("GoogleTranslate(C54, ""en"", ""zu"")"),"Izinga lokushisa nethuba lemvula e-{name} emahoreni azayo")</f>
        <v>Izinga lokushisa nethuba lemvula e-{name} emahoreni azayo</v>
      </c>
    </row>
    <row r="55">
      <c r="A55" s="1" t="str">
        <f t="shared" si="1"/>
        <v>Chance_of_rain</v>
      </c>
      <c r="B55" s="4" t="s">
        <v>117</v>
      </c>
      <c r="C55" s="1" t="str">
        <f t="shared" si="2"/>
        <v>Chance of rain</v>
      </c>
      <c r="D55" s="3" t="str">
        <f>IFERROR(__xludf.DUMMYFUNCTION("GoogleTranslate(C55, ""en"", ""es"")"),"Posibilidad de lluvia")</f>
        <v>Posibilidad de lluvia</v>
      </c>
      <c r="E55" s="3" t="str">
        <f>IFERROR(__xludf.DUMMYFUNCTION("GoogleTranslate(C55, ""en"", ""ar"")"),"فرصة هطول المطر")</f>
        <v>فرصة هطول المطر</v>
      </c>
      <c r="F55" s="3" t="str">
        <f>IFERROR(__xludf.DUMMYFUNCTION("GoogleTranslate(C55, ""en"", ""hy"")"),"Անձրևի հավանականություն")</f>
        <v>Անձրևի հավանականություն</v>
      </c>
      <c r="G55" s="3" t="str">
        <f>IFERROR(__xludf.DUMMYFUNCTION("GoogleTranslate(C55, ""en"", ""vi"")"),"Khả năng có mưa")</f>
        <v>Khả năng có mưa</v>
      </c>
      <c r="H55" s="3" t="str">
        <f>IFERROR(__xludf.DUMMYFUNCTION("GoogleTranslate(C55, ""en"", ""az"")"),"Yağış ehtimalı")</f>
        <v>Yağış ehtimalı</v>
      </c>
      <c r="I55" s="3" t="str">
        <f>IFERROR(__xludf.DUMMYFUNCTION("GoogleTranslate(C55, ""en"", ""eu"")"),"Euria egiteko aukera")</f>
        <v>Euria egiteko aukera</v>
      </c>
      <c r="J55" s="3" t="str">
        <f>IFERROR(__xludf.DUMMYFUNCTION("GoogleTranslate(C55, ""en"", ""be"")"),"Магчымы дождж")</f>
        <v>Магчымы дождж</v>
      </c>
      <c r="K55" s="3" t="str">
        <f>IFERROR(__xludf.DUMMYFUNCTION("GoogleTranslate(C55, ""en"", ""bn"")"),"বৃষ্টির সম্ভাবনা")</f>
        <v>বৃষ্টির সম্ভাবনা</v>
      </c>
      <c r="L55" s="3" t="str">
        <f>IFERROR(__xludf.DUMMYFUNCTION("GoogleTranslate(C55, ""en"", ""bg"")"),"Вероятност за дъжд")</f>
        <v>Вероятност за дъжд</v>
      </c>
      <c r="M55" s="3" t="str">
        <f>IFERROR(__xludf.DUMMYFUNCTION("GoogleTranslate(C55, ""en"", ""my"")"),"မိုးရွာနိုင်ခြေ")</f>
        <v>မိုးရွာနိုင်ခြေ</v>
      </c>
      <c r="N55" s="3" t="str">
        <f>IFERROR(__xludf.DUMMYFUNCTION("GoogleTranslate(C55, ""en"", ""ca"")"),"Possibilitat de pluja")</f>
        <v>Possibilitat de pluja</v>
      </c>
      <c r="O55" s="3" t="str">
        <f>IFERROR(__xludf.DUMMYFUNCTION("GoogleTranslate(C55, ""en"", ""zh-cn"")"),"有可能下雨")</f>
        <v>有可能下雨</v>
      </c>
      <c r="P55" s="3" t="str">
        <f>IFERROR(__xludf.DUMMYFUNCTION("GoogleTranslate(C55, ""en"", ""zh-TW"")"),"有可能下雨")</f>
        <v>有可能下雨</v>
      </c>
      <c r="Q55" s="3" t="str">
        <f>IFERROR(__xludf.DUMMYFUNCTION("GoogleTranslate(C55, ""en"", ""hr"")"),"Mogućnost kiše")</f>
        <v>Mogućnost kiše</v>
      </c>
      <c r="R55" s="3" t="str">
        <f>IFERROR(__xludf.DUMMYFUNCTION("GoogleTranslate(C55, ""en"", ""cs"")"),"Možnost deště")</f>
        <v>Možnost deště</v>
      </c>
      <c r="S55" s="3" t="str">
        <f>IFERROR(__xludf.DUMMYFUNCTION("GoogleTranslate(C55, ""en"", ""da"")"),"Mulighed for regn")</f>
        <v>Mulighed for regn</v>
      </c>
      <c r="T55" s="3" t="str">
        <f>IFERROR(__xludf.DUMMYFUNCTION("GoogleTranslate(C55, ""en"", ""nl"")"),"Kans op regen")</f>
        <v>Kans op regen</v>
      </c>
      <c r="U55" s="3" t="str">
        <f>IFERROR(__xludf.DUMMYFUNCTION("GoogleTranslate(C55, ""en"", ""et"")"),"Vihma võimalus")</f>
        <v>Vihma võimalus</v>
      </c>
      <c r="V55" s="1" t="str">
        <f t="shared" si="3"/>
        <v>Chance of rain</v>
      </c>
      <c r="W55" s="3" t="str">
        <f>IFERROR(__xludf.DUMMYFUNCTION("GoogleTranslate(C55, ""en"", ""fi"")"),"Sateen mahdollisuus")</f>
        <v>Sateen mahdollisuus</v>
      </c>
      <c r="X55" s="3" t="str">
        <f>IFERROR(__xludf.DUMMYFUNCTION("GoogleTranslate(C55, ""en"", ""fr"")"),"Risque de pluie")</f>
        <v>Risque de pluie</v>
      </c>
      <c r="Y55" s="3" t="str">
        <f>IFERROR(__xludf.DUMMYFUNCTION("GoogleTranslate(C55, ""en"", ""de"")"),"Regenwahrscheinlichkeit")</f>
        <v>Regenwahrscheinlichkeit</v>
      </c>
      <c r="Z55" s="3" t="str">
        <f>IFERROR(__xludf.DUMMYFUNCTION("GoogleTranslate(C55, ""en"", ""el"")"),"Πιθανότητα βροχής")</f>
        <v>Πιθανότητα βροχής</v>
      </c>
      <c r="AA55" s="3" t="str">
        <f>IFERROR(__xludf.DUMMYFUNCTION("GoogleTranslate(C55, ""en"", ""iw"")"),"סיכוי לגשם")</f>
        <v>סיכוי לגשם</v>
      </c>
      <c r="AB55" s="3" t="str">
        <f>IFERROR(__xludf.DUMMYFUNCTION("GoogleTranslate(C55, ""en"", ""hi"")"),"बारिश की संभावना")</f>
        <v>बारिश की संभावना</v>
      </c>
      <c r="AC55" s="3" t="str">
        <f>IFERROR(__xludf.DUMMYFUNCTION("GoogleTranslate(C55, ""en"", ""hu"")"),"Eső valószínű")</f>
        <v>Eső valószínű</v>
      </c>
      <c r="AD55" s="3" t="str">
        <f>IFERROR(__xludf.DUMMYFUNCTION("GoogleTranslate(C55, ""en"", ""is"")"),"Líkur á rigningu")</f>
        <v>Líkur á rigningu</v>
      </c>
      <c r="AE55" s="3" t="str">
        <f>IFERROR(__xludf.DUMMYFUNCTION("GoogleTranslate(C55, ""en"", ""id"")"),"Kemungkinan hujan")</f>
        <v>Kemungkinan hujan</v>
      </c>
      <c r="AF55" s="3" t="str">
        <f>IFERROR(__xludf.DUMMYFUNCTION("GoogleTranslate(C55, ""en"", ""in"")"),"Kemungkinan hujan")</f>
        <v>Kemungkinan hujan</v>
      </c>
      <c r="AG55" s="3" t="str">
        <f>IFERROR(__xludf.DUMMYFUNCTION("GoogleTranslate(C55, ""en"", ""it"")"),"Possibilità di pioggia")</f>
        <v>Possibilità di pioggia</v>
      </c>
      <c r="AH55" s="3" t="str">
        <f>IFERROR(__xludf.DUMMYFUNCTION("GoogleTranslate(C55, ""en"", ""ja"")"),"雨の可能性")</f>
        <v>雨の可能性</v>
      </c>
      <c r="AI55" s="3" t="str">
        <f>IFERROR(__xludf.DUMMYFUNCTION("GoogleTranslate(C55, ""en"", ""kn"")"),"ಮಳೆಯಾಗುವ ಸಾಧ್ಯತೆ")</f>
        <v>ಮಳೆಯಾಗುವ ಸಾಧ್ಯತೆ</v>
      </c>
      <c r="AJ55" s="3" t="str">
        <f>IFERROR(__xludf.DUMMYFUNCTION("GoogleTranslate(C55, ""en"", ""km"")"),"ឱកាសភ្លៀង")</f>
        <v>ឱកាសភ្លៀង</v>
      </c>
      <c r="AK55" s="3" t="str">
        <f>IFERROR(__xludf.DUMMYFUNCTION("GoogleTranslate(C55, ""en"", ""ko"")"),"비올 확률")</f>
        <v>비올 확률</v>
      </c>
      <c r="AL55" s="3" t="str">
        <f>IFERROR(__xludf.DUMMYFUNCTION("GoogleTranslate(C55, ""en"", ""lo"")"),"ໂອກາດຝົນຕົກ")</f>
        <v>ໂອກາດຝົນຕົກ</v>
      </c>
      <c r="AM55" s="3" t="str">
        <f>IFERROR(__xludf.DUMMYFUNCTION("GoogleTranslate(C55, ""en"", ""lv"")"),"Iespējams lietus")</f>
        <v>Iespējams lietus</v>
      </c>
      <c r="AN55" s="3" t="str">
        <f>IFERROR(__xludf.DUMMYFUNCTION("GoogleTranslate(C55, ""en"", ""lt"")"),"Lietaus tikimybė")</f>
        <v>Lietaus tikimybė</v>
      </c>
      <c r="AO55" s="3" t="str">
        <f>IFERROR(__xludf.DUMMYFUNCTION("GoogleTranslate(C55, ""en"", ""mk"")"),"Можност за дожд")</f>
        <v>Можност за дожд</v>
      </c>
      <c r="AP55" s="3" t="str">
        <f>IFERROR(__xludf.DUMMYFUNCTION("GoogleTranslate(C55, ""en"", ""ms"")"),"Peluang hujan")</f>
        <v>Peluang hujan</v>
      </c>
      <c r="AQ55" s="3" t="str">
        <f>IFERROR(__xludf.DUMMYFUNCTION("GoogleTranslate(C55, ""en"", ""ml"")"),"മഴയ്ക്ക് സാധ്യത")</f>
        <v>മഴയ്ക്ക് സാധ്യത</v>
      </c>
      <c r="AR55" s="3" t="str">
        <f>IFERROR(__xludf.DUMMYFUNCTION("GoogleTranslate(C55, ""en"", ""mr"")"),"पावसाची शक्यता")</f>
        <v>पावसाची शक्यता</v>
      </c>
      <c r="AS55" s="3" t="str">
        <f>IFERROR(__xludf.DUMMYFUNCTION("GoogleTranslate(C55, ""en"", ""mn"")"),"Бороо орох магадлалтай")</f>
        <v>Бороо орох магадлалтай</v>
      </c>
      <c r="AT55" s="3" t="str">
        <f>IFERROR(__xludf.DUMMYFUNCTION("GoogleTranslate(C55, ""en"", ""ne"")"),"वर्षाको सम्भावना")</f>
        <v>वर्षाको सम्भावना</v>
      </c>
      <c r="AU55" s="3" t="str">
        <f>IFERROR(__xludf.DUMMYFUNCTION("GoogleTranslate(C55, ""en"", ""nb"")"),"Mulighet for regn")</f>
        <v>Mulighet for regn</v>
      </c>
      <c r="AV55" s="3" t="str">
        <f>IFERROR(__xludf.DUMMYFUNCTION("GoogleTranslate(C55, ""en"", ""fa"")"),"احتمال بارش باران")</f>
        <v>احتمال بارش باران</v>
      </c>
      <c r="AW55" s="3" t="str">
        <f>IFERROR(__xludf.DUMMYFUNCTION("GoogleTranslate(C55, ""en"", ""pl"")"),"Szansa na deszcz")</f>
        <v>Szansa na deszcz</v>
      </c>
      <c r="AX55" s="3" t="str">
        <f>IFERROR(__xludf.DUMMYFUNCTION("GoogleTranslate(C55, ""en"", ""pt"")"),"Possibilidade de chuva")</f>
        <v>Possibilidade de chuva</v>
      </c>
      <c r="AY55" s="3" t="str">
        <f>IFERROR(__xludf.DUMMYFUNCTION("GoogleTranslate(C55, ""en"", ""ro"")"),"Şanse de ploaie")</f>
        <v>Şanse de ploaie</v>
      </c>
      <c r="AZ55" s="3" t="str">
        <f>IFERROR(__xludf.DUMMYFUNCTION("GoogleTranslate(C55, ""en"", ""ru"")"),"Вероятность дождя")</f>
        <v>Вероятность дождя</v>
      </c>
      <c r="BA55" s="3" t="str">
        <f>IFERROR(__xludf.DUMMYFUNCTION("GoogleTranslate(C55, ""en"", ""sr"")"),"Могућа киша")</f>
        <v>Могућа киша</v>
      </c>
      <c r="BB55" s="3" t="str">
        <f>IFERROR(__xludf.DUMMYFUNCTION("GoogleTranslate(C55, ""en"", ""si"")"),"වැසි ඇති වීමට ඉඩ ඇත")</f>
        <v>වැසි ඇති වීමට ඉඩ ඇත</v>
      </c>
      <c r="BC55" s="3" t="str">
        <f>IFERROR(__xludf.DUMMYFUNCTION("GoogleTranslate(C55, ""en"", ""sk"")"),"Možnosť dažďa")</f>
        <v>Možnosť dažďa</v>
      </c>
      <c r="BD55" s="3" t="str">
        <f>IFERROR(__xludf.DUMMYFUNCTION("GoogleTranslate(C55, ""en"", ""sl"")"),"Možnost dežja")</f>
        <v>Možnost dežja</v>
      </c>
      <c r="BE55" s="3" t="str">
        <f>IFERROR(__xludf.DUMMYFUNCTION("GoogleTranslate(C55, ""en"", ""es"")"),"Posibilidad de lluvia")</f>
        <v>Posibilidad de lluvia</v>
      </c>
      <c r="BF55" s="3" t="str">
        <f>IFERROR(__xludf.DUMMYFUNCTION("GoogleTranslate(C55, ""en"", ""sw"")"),"Uwezekano wa mvua")</f>
        <v>Uwezekano wa mvua</v>
      </c>
      <c r="BG55" s="3" t="str">
        <f>IFERROR(__xludf.DUMMYFUNCTION("GoogleTranslate(C55, ""en"", ""sv"")"),"Risk för regn")</f>
        <v>Risk för regn</v>
      </c>
      <c r="BH55" s="3" t="str">
        <f>IFERROR(__xludf.DUMMYFUNCTION("GoogleTranslate(C55, ""en"", ""te"")"),"వర్షం పడే అవకాశం")</f>
        <v>వర్షం పడే అవకాశం</v>
      </c>
      <c r="BI55" s="3" t="str">
        <f>IFERROR(__xludf.DUMMYFUNCTION("GoogleTranslate(C55, ""en"", ""th"")"),"มีโอกาสเกิดฝนตก")</f>
        <v>มีโอกาสเกิดฝนตก</v>
      </c>
      <c r="BJ55" s="3" t="str">
        <f>IFERROR(__xludf.DUMMYFUNCTION("GoogleTranslate(C55, ""en"", ""tr"")"),"Yağmur ihtimali")</f>
        <v>Yağmur ihtimali</v>
      </c>
      <c r="BK55" s="3" t="str">
        <f>IFERROR(__xludf.DUMMYFUNCTION("GoogleTranslate(C55, ""en"", ""uk"")"),"Можливий дощ")</f>
        <v>Можливий дощ</v>
      </c>
      <c r="BL55" s="3" t="str">
        <f>IFERROR(__xludf.DUMMYFUNCTION("GoogleTranslate(C55, ""en"", ""zu"")"),"Amathuba emvula")</f>
        <v>Amathuba emvula</v>
      </c>
    </row>
    <row r="56">
      <c r="A56" s="1" t="str">
        <f t="shared" si="1"/>
        <v>Chance_of_snow</v>
      </c>
      <c r="B56" s="4" t="s">
        <v>118</v>
      </c>
      <c r="C56" s="1" t="str">
        <f t="shared" si="2"/>
        <v>Chance of snow</v>
      </c>
      <c r="D56" s="3" t="str">
        <f>IFERROR(__xludf.DUMMYFUNCTION("GoogleTranslate(C56, ""en"", ""es"")"),"Posibilidad de nieve")</f>
        <v>Posibilidad de nieve</v>
      </c>
      <c r="E56" s="3" t="str">
        <f>IFERROR(__xludf.DUMMYFUNCTION("GoogleTranslate(C56, ""en"", ""ar"")"),"فرصة تساقط الثلوج")</f>
        <v>فرصة تساقط الثلوج</v>
      </c>
      <c r="F56" s="3" t="str">
        <f>IFERROR(__xludf.DUMMYFUNCTION("GoogleTranslate(C56, ""en"", ""hy"")"),"Ձյան հավանականություն")</f>
        <v>Ձյան հավանականություն</v>
      </c>
      <c r="G56" s="3" t="str">
        <f>IFERROR(__xludf.DUMMYFUNCTION("GoogleTranslate(C56, ""en"", ""vi"")"),"Khả năng có tuyết")</f>
        <v>Khả năng có tuyết</v>
      </c>
      <c r="H56" s="3" t="str">
        <f>IFERROR(__xludf.DUMMYFUNCTION("GoogleTranslate(C56, ""en"", ""az"")"),"Qar ehtimalı")</f>
        <v>Qar ehtimalı</v>
      </c>
      <c r="I56" s="3" t="str">
        <f>IFERROR(__xludf.DUMMYFUNCTION("GoogleTranslate(C56, ""en"", ""eu"")"),"Elur aukera")</f>
        <v>Elur aukera</v>
      </c>
      <c r="J56" s="3" t="str">
        <f>IFERROR(__xludf.DUMMYFUNCTION("GoogleTranslate(C56, ""en"", ""be"")"),"Магчымы снег")</f>
        <v>Магчымы снег</v>
      </c>
      <c r="K56" s="3" t="str">
        <f>IFERROR(__xludf.DUMMYFUNCTION("GoogleTranslate(C56, ""en"", ""bn"")"),"তুষারপাতের সম্ভাবনা")</f>
        <v>তুষারপাতের সম্ভাবনা</v>
      </c>
      <c r="L56" s="3" t="str">
        <f>IFERROR(__xludf.DUMMYFUNCTION("GoogleTranslate(C56, ""en"", ""bg"")"),"Възможност за сняг")</f>
        <v>Възможност за сняг</v>
      </c>
      <c r="M56" s="3" t="str">
        <f>IFERROR(__xludf.DUMMYFUNCTION("GoogleTranslate(C56, ""en"", ""my"")"),"နှင်းကျနိုင်ခြေ")</f>
        <v>နှင်းကျနိုင်ခြေ</v>
      </c>
      <c r="N56" s="3" t="str">
        <f>IFERROR(__xludf.DUMMYFUNCTION("GoogleTranslate(C56, ""en"", ""ca"")"),"Possibilitat de neu")</f>
        <v>Possibilitat de neu</v>
      </c>
      <c r="O56" s="3" t="str">
        <f>IFERROR(__xludf.DUMMYFUNCTION("GoogleTranslate(C56, ""en"", ""zh-cn"")"),"有机会下雪")</f>
        <v>有机会下雪</v>
      </c>
      <c r="P56" s="3" t="str">
        <f>IFERROR(__xludf.DUMMYFUNCTION("GoogleTranslate(C56, ""en"", ""zh-TW"")"),"有機會下雪")</f>
        <v>有機會下雪</v>
      </c>
      <c r="Q56" s="3" t="str">
        <f>IFERROR(__xludf.DUMMYFUNCTION("GoogleTranslate(C56, ""en"", ""hr"")"),"Mogućnost snijega")</f>
        <v>Mogućnost snijega</v>
      </c>
      <c r="R56" s="3" t="str">
        <f>IFERROR(__xludf.DUMMYFUNCTION("GoogleTranslate(C56, ""en"", ""cs"")"),"Možnost sněžení")</f>
        <v>Možnost sněžení</v>
      </c>
      <c r="S56" s="3" t="str">
        <f>IFERROR(__xludf.DUMMYFUNCTION("GoogleTranslate(C56, ""en"", ""da"")"),"Mulighed for sne")</f>
        <v>Mulighed for sne</v>
      </c>
      <c r="T56" s="3" t="str">
        <f>IFERROR(__xludf.DUMMYFUNCTION("GoogleTranslate(C56, ""en"", ""nl"")"),"Kans op sneeuw")</f>
        <v>Kans op sneeuw</v>
      </c>
      <c r="U56" s="3" t="str">
        <f>IFERROR(__xludf.DUMMYFUNCTION("GoogleTranslate(C56, ""en"", ""et"")"),"Lume võimalus")</f>
        <v>Lume võimalus</v>
      </c>
      <c r="V56" s="1" t="str">
        <f t="shared" si="3"/>
        <v>Chance of snow</v>
      </c>
      <c r="W56" s="3" t="str">
        <f>IFERROR(__xludf.DUMMYFUNCTION("GoogleTranslate(C56, ""en"", ""fi"")"),"Lumisadetta")</f>
        <v>Lumisadetta</v>
      </c>
      <c r="X56" s="3" t="str">
        <f>IFERROR(__xludf.DUMMYFUNCTION("GoogleTranslate(C56, ""en"", ""fr"")"),"Risque de neige")</f>
        <v>Risque de neige</v>
      </c>
      <c r="Y56" s="3" t="str">
        <f>IFERROR(__xludf.DUMMYFUNCTION("GoogleTranslate(C56, ""en"", ""de"")"),"Chance auf Schnee")</f>
        <v>Chance auf Schnee</v>
      </c>
      <c r="Z56" s="3" t="str">
        <f>IFERROR(__xludf.DUMMYFUNCTION("GoogleTranslate(C56, ""en"", ""el"")"),"Πιθανότητα χιονιού")</f>
        <v>Πιθανότητα χιονιού</v>
      </c>
      <c r="AA56" s="3" t="str">
        <f>IFERROR(__xludf.DUMMYFUNCTION("GoogleTranslate(C56, ""en"", ""iw"")"),"סיכוי לשלג")</f>
        <v>סיכוי לשלג</v>
      </c>
      <c r="AB56" s="3" t="str">
        <f>IFERROR(__xludf.DUMMYFUNCTION("GoogleTranslate(C56, ""en"", ""hi"")"),"बर्फ का अवसर")</f>
        <v>बर्फ का अवसर</v>
      </c>
      <c r="AC56" s="3" t="str">
        <f>IFERROR(__xludf.DUMMYFUNCTION("GoogleTranslate(C56, ""en"", ""hu"")"),"Havazás esélye")</f>
        <v>Havazás esélye</v>
      </c>
      <c r="AD56" s="3" t="str">
        <f>IFERROR(__xludf.DUMMYFUNCTION("GoogleTranslate(C56, ""en"", ""is"")"),"Líkur á snjó")</f>
        <v>Líkur á snjó</v>
      </c>
      <c r="AE56" s="3" t="str">
        <f>IFERROR(__xludf.DUMMYFUNCTION("GoogleTranslate(C56, ""en"", ""id"")"),"Kemungkinan salju")</f>
        <v>Kemungkinan salju</v>
      </c>
      <c r="AF56" s="3" t="str">
        <f>IFERROR(__xludf.DUMMYFUNCTION("GoogleTranslate(C56, ""en"", ""in"")"),"Kemungkinan salju")</f>
        <v>Kemungkinan salju</v>
      </c>
      <c r="AG56" s="3" t="str">
        <f>IFERROR(__xludf.DUMMYFUNCTION("GoogleTranslate(C56, ""en"", ""it"")"),"Possibilità di neve")</f>
        <v>Possibilità di neve</v>
      </c>
      <c r="AH56" s="3" t="str">
        <f>IFERROR(__xludf.DUMMYFUNCTION("GoogleTranslate(C56, ""en"", ""ja"")"),"雪の可能性")</f>
        <v>雪の可能性</v>
      </c>
      <c r="AI56" s="3" t="str">
        <f>IFERROR(__xludf.DUMMYFUNCTION("GoogleTranslate(C56, ""en"", ""kn"")"),"ಹಿಮದ ಸಾಧ್ಯತೆ")</f>
        <v>ಹಿಮದ ಸಾಧ್ಯತೆ</v>
      </c>
      <c r="AJ56" s="3" t="str">
        <f>IFERROR(__xludf.DUMMYFUNCTION("GoogleTranslate(C56, ""en"", ""km"")"),"ឱកាសព្រិល")</f>
        <v>ឱកាសព្រិល</v>
      </c>
      <c r="AK56" s="3" t="str">
        <f>IFERROR(__xludf.DUMMYFUNCTION("GoogleTranslate(C56, ""en"", ""ko"")"),"눈이 올 확률")</f>
        <v>눈이 올 확률</v>
      </c>
      <c r="AL56" s="3" t="str">
        <f>IFERROR(__xludf.DUMMYFUNCTION("GoogleTranslate(C56, ""en"", ""lo"")"),"ໂອກາດຂອງຫິມະ")</f>
        <v>ໂອກາດຂອງຫິມະ</v>
      </c>
      <c r="AM56" s="3" t="str">
        <f>IFERROR(__xludf.DUMMYFUNCTION("GoogleTranslate(C56, ""en"", ""lv"")"),"Iespējams sniegs")</f>
        <v>Iespējams sniegs</v>
      </c>
      <c r="AN56" s="3" t="str">
        <f>IFERROR(__xludf.DUMMYFUNCTION("GoogleTranslate(C56, ""en"", ""lt"")"),"Sniego tikimybė")</f>
        <v>Sniego tikimybė</v>
      </c>
      <c r="AO56" s="3" t="str">
        <f>IFERROR(__xludf.DUMMYFUNCTION("GoogleTranslate(C56, ""en"", ""mk"")"),"Можност за снег")</f>
        <v>Можност за снег</v>
      </c>
      <c r="AP56" s="3" t="str">
        <f>IFERROR(__xludf.DUMMYFUNCTION("GoogleTranslate(C56, ""en"", ""ms"")"),"Peluang salji")</f>
        <v>Peluang salji</v>
      </c>
      <c r="AQ56" s="3" t="str">
        <f>IFERROR(__xludf.DUMMYFUNCTION("GoogleTranslate(C56, ""en"", ""ml"")"),"മഞ്ഞ് വീഴാനുള്ള സാധ്യത")</f>
        <v>മഞ്ഞ് വീഴാനുള്ള സാധ്യത</v>
      </c>
      <c r="AR56" s="3" t="str">
        <f>IFERROR(__xludf.DUMMYFUNCTION("GoogleTranslate(C56, ""en"", ""mr"")"),"बर्फाची शक्यता")</f>
        <v>बर्फाची शक्यता</v>
      </c>
      <c r="AS56" s="3" t="str">
        <f>IFERROR(__xludf.DUMMYFUNCTION("GoogleTranslate(C56, ""en"", ""mn"")"),"Цас орох магадлалтай")</f>
        <v>Цас орох магадлалтай</v>
      </c>
      <c r="AT56" s="3" t="str">
        <f>IFERROR(__xludf.DUMMYFUNCTION("GoogleTranslate(C56, ""en"", ""ne"")"),"हिमपातको सम्भावना")</f>
        <v>हिमपातको सम्भावना</v>
      </c>
      <c r="AU56" s="3" t="str">
        <f>IFERROR(__xludf.DUMMYFUNCTION("GoogleTranslate(C56, ""en"", ""nb"")"),"Mulighet for snø")</f>
        <v>Mulighet for snø</v>
      </c>
      <c r="AV56" s="3" t="str">
        <f>IFERROR(__xludf.DUMMYFUNCTION("GoogleTranslate(C56, ""en"", ""fa"")"),"احتمال بارش برف")</f>
        <v>احتمال بارش برف</v>
      </c>
      <c r="AW56" s="3" t="str">
        <f>IFERROR(__xludf.DUMMYFUNCTION("GoogleTranslate(C56, ""en"", ""pl"")"),"Szansa na śnieg")</f>
        <v>Szansa na śnieg</v>
      </c>
      <c r="AX56" s="3" t="str">
        <f>IFERROR(__xludf.DUMMYFUNCTION("GoogleTranslate(C56, ""en"", ""pt"")"),"Possibilidade de neve")</f>
        <v>Possibilidade de neve</v>
      </c>
      <c r="AY56" s="3" t="str">
        <f>IFERROR(__xludf.DUMMYFUNCTION("GoogleTranslate(C56, ""en"", ""ro"")"),"Şanse de ninsoare")</f>
        <v>Şanse de ninsoare</v>
      </c>
      <c r="AZ56" s="3" t="str">
        <f>IFERROR(__xludf.DUMMYFUNCTION("GoogleTranslate(C56, ""en"", ""ru"")"),"Вероятность снега")</f>
        <v>Вероятность снега</v>
      </c>
      <c r="BA56" s="3" t="str">
        <f>IFERROR(__xludf.DUMMYFUNCTION("GoogleTranslate(C56, ""en"", ""sr"")"),"Цханце оф снов")</f>
        <v>Цханце оф снов</v>
      </c>
      <c r="BB56" s="3" t="str">
        <f>IFERROR(__xludf.DUMMYFUNCTION("GoogleTranslate(C56, ""en"", ""si"")"),"හිම වැටීමේ හැකියාව")</f>
        <v>හිම වැටීමේ හැකියාව</v>
      </c>
      <c r="BC56" s="3" t="str">
        <f>IFERROR(__xludf.DUMMYFUNCTION("GoogleTranslate(C56, ""en"", ""sk"")"),"Možnosť sneženia")</f>
        <v>Možnosť sneženia</v>
      </c>
      <c r="BD56" s="3" t="str">
        <f>IFERROR(__xludf.DUMMYFUNCTION("GoogleTranslate(C56, ""en"", ""sl"")"),"Možnost snega")</f>
        <v>Možnost snega</v>
      </c>
      <c r="BE56" s="3" t="str">
        <f>IFERROR(__xludf.DUMMYFUNCTION("GoogleTranslate(C56, ""en"", ""es"")"),"Posibilidad de nieve")</f>
        <v>Posibilidad de nieve</v>
      </c>
      <c r="BF56" s="3" t="str">
        <f>IFERROR(__xludf.DUMMYFUNCTION("GoogleTranslate(C56, ""en"", ""sw"")"),"Uwezekano wa theluji")</f>
        <v>Uwezekano wa theluji</v>
      </c>
      <c r="BG56" s="3" t="str">
        <f>IFERROR(__xludf.DUMMYFUNCTION("GoogleTranslate(C56, ""en"", ""sv"")"),"Risk för snö")</f>
        <v>Risk för snö</v>
      </c>
      <c r="BH56" s="3" t="str">
        <f>IFERROR(__xludf.DUMMYFUNCTION("GoogleTranslate(C56, ""en"", ""te"")"),"మంచు కురిసే అవకాశం")</f>
        <v>మంచు కురిసే అవకాశం</v>
      </c>
      <c r="BI56" s="3" t="str">
        <f>IFERROR(__xludf.DUMMYFUNCTION("GoogleTranslate(C56, ""en"", ""th"")"),"มีโอกาสเกิดหิมะตก")</f>
        <v>มีโอกาสเกิดหิมะตก</v>
      </c>
      <c r="BJ56" s="3" t="str">
        <f>IFERROR(__xludf.DUMMYFUNCTION("GoogleTranslate(C56, ""en"", ""tr"")"),"Kar ihtimali")</f>
        <v>Kar ihtimali</v>
      </c>
      <c r="BK56" s="3" t="str">
        <f>IFERROR(__xludf.DUMMYFUNCTION("GoogleTranslate(C56, ""en"", ""uk"")"),"Можливий сніг")</f>
        <v>Можливий сніг</v>
      </c>
      <c r="BL56" s="3" t="str">
        <f>IFERROR(__xludf.DUMMYFUNCTION("GoogleTranslate(C56, ""en"", ""zu"")"),"Ithuba leqhwa")</f>
        <v>Ithuba leqhwa</v>
      </c>
    </row>
    <row r="57">
      <c r="A57" s="1" t="str">
        <f t="shared" si="1"/>
        <v>Precipitation</v>
      </c>
      <c r="B57" s="4" t="s">
        <v>119</v>
      </c>
      <c r="C57" s="1" t="str">
        <f t="shared" si="2"/>
        <v>Precipitation</v>
      </c>
      <c r="D57" s="3" t="str">
        <f>IFERROR(__xludf.DUMMYFUNCTION("GoogleTranslate(C57, ""en"", ""es"")"),"Precipitación")</f>
        <v>Precipitación</v>
      </c>
      <c r="E57" s="3" t="str">
        <f>IFERROR(__xludf.DUMMYFUNCTION("GoogleTranslate(C57, ""en"", ""ar"")"),"تساقط")</f>
        <v>تساقط</v>
      </c>
      <c r="F57" s="3" t="str">
        <f>IFERROR(__xludf.DUMMYFUNCTION("GoogleTranslate(C57, ""en"", ""hy"")"),"Տեղումներ")</f>
        <v>Տեղումներ</v>
      </c>
      <c r="G57" s="3" t="str">
        <f>IFERROR(__xludf.DUMMYFUNCTION("GoogleTranslate(C57, ""en"", ""vi"")"),"Sự kết tủa")</f>
        <v>Sự kết tủa</v>
      </c>
      <c r="H57" s="3" t="str">
        <f>IFERROR(__xludf.DUMMYFUNCTION("GoogleTranslate(C57, ""en"", ""az"")"),"Yağıntı")</f>
        <v>Yağıntı</v>
      </c>
      <c r="I57" s="3" t="str">
        <f>IFERROR(__xludf.DUMMYFUNCTION("GoogleTranslate(C57, ""en"", ""eu"")"),"Prezipitazioa")</f>
        <v>Prezipitazioa</v>
      </c>
      <c r="J57" s="3" t="str">
        <f>IFERROR(__xludf.DUMMYFUNCTION("GoogleTranslate(C57, ""en"", ""be"")"),"Ападкі")</f>
        <v>Ападкі</v>
      </c>
      <c r="K57" s="3" t="str">
        <f>IFERROR(__xludf.DUMMYFUNCTION("GoogleTranslate(C57, ""en"", ""bn"")"),"বর্ষণ")</f>
        <v>বর্ষণ</v>
      </c>
      <c r="L57" s="3" t="str">
        <f>IFERROR(__xludf.DUMMYFUNCTION("GoogleTranslate(C57, ""en"", ""bg"")"),"Валежи")</f>
        <v>Валежи</v>
      </c>
      <c r="M57" s="3" t="str">
        <f>IFERROR(__xludf.DUMMYFUNCTION("GoogleTranslate(C57, ""en"", ""my"")"),"မိုးရွာတယ်။")</f>
        <v>မိုးရွာတယ်။</v>
      </c>
      <c r="N57" s="3" t="str">
        <f>IFERROR(__xludf.DUMMYFUNCTION("GoogleTranslate(C57, ""en"", ""ca"")"),"Precipitació")</f>
        <v>Precipitació</v>
      </c>
      <c r="O57" s="3" t="str">
        <f>IFERROR(__xludf.DUMMYFUNCTION("GoogleTranslate(C57, ""en"", ""zh-cn"")"),"沉淀")</f>
        <v>沉淀</v>
      </c>
      <c r="P57" s="3" t="str">
        <f>IFERROR(__xludf.DUMMYFUNCTION("GoogleTranslate(C57, ""en"", ""zh-TW"")"),"沉澱")</f>
        <v>沉澱</v>
      </c>
      <c r="Q57" s="3" t="str">
        <f>IFERROR(__xludf.DUMMYFUNCTION("GoogleTranslate(C57, ""en"", ""hr"")"),"Taloženje")</f>
        <v>Taloženje</v>
      </c>
      <c r="R57" s="3" t="str">
        <f>IFERROR(__xludf.DUMMYFUNCTION("GoogleTranslate(C57, ""en"", ""cs"")"),"Srážky")</f>
        <v>Srážky</v>
      </c>
      <c r="S57" s="3" t="str">
        <f>IFERROR(__xludf.DUMMYFUNCTION("GoogleTranslate(C57, ""en"", ""da"")"),"Nedbør")</f>
        <v>Nedbør</v>
      </c>
      <c r="T57" s="3" t="str">
        <f>IFERROR(__xludf.DUMMYFUNCTION("GoogleTranslate(C57, ""en"", ""nl"")"),"Neerslag")</f>
        <v>Neerslag</v>
      </c>
      <c r="U57" s="3" t="str">
        <f>IFERROR(__xludf.DUMMYFUNCTION("GoogleTranslate(C57, ""en"", ""et"")"),"Sademed")</f>
        <v>Sademed</v>
      </c>
      <c r="V57" s="1" t="str">
        <f t="shared" si="3"/>
        <v>Precipitation</v>
      </c>
      <c r="W57" s="3" t="str">
        <f>IFERROR(__xludf.DUMMYFUNCTION("GoogleTranslate(C57, ""en"", ""fi"")"),"Sademäärä")</f>
        <v>Sademäärä</v>
      </c>
      <c r="X57" s="3" t="str">
        <f>IFERROR(__xludf.DUMMYFUNCTION("GoogleTranslate(C57, ""en"", ""fr"")"),"Précipitation")</f>
        <v>Précipitation</v>
      </c>
      <c r="Y57" s="3" t="str">
        <f>IFERROR(__xludf.DUMMYFUNCTION("GoogleTranslate(C57, ""en"", ""de"")"),"Fällung")</f>
        <v>Fällung</v>
      </c>
      <c r="Z57" s="3" t="str">
        <f>IFERROR(__xludf.DUMMYFUNCTION("GoogleTranslate(C57, ""en"", ""el"")"),"Κατακρήμνιση")</f>
        <v>Κατακρήμνιση</v>
      </c>
      <c r="AA57" s="3" t="str">
        <f>IFERROR(__xludf.DUMMYFUNCTION("GoogleTranslate(C57, ""en"", ""iw"")"),"מִשׁקָע")</f>
        <v>מִשׁקָע</v>
      </c>
      <c r="AB57" s="3" t="str">
        <f>IFERROR(__xludf.DUMMYFUNCTION("GoogleTranslate(C57, ""en"", ""hi"")"),"वर्षण")</f>
        <v>वर्षण</v>
      </c>
      <c r="AC57" s="3" t="str">
        <f>IFERROR(__xludf.DUMMYFUNCTION("GoogleTranslate(C57, ""en"", ""hu"")"),"Csapadék")</f>
        <v>Csapadék</v>
      </c>
      <c r="AD57" s="3" t="str">
        <f>IFERROR(__xludf.DUMMYFUNCTION("GoogleTranslate(C57, ""en"", ""is"")"),"Úrkoma")</f>
        <v>Úrkoma</v>
      </c>
      <c r="AE57" s="3" t="str">
        <f>IFERROR(__xludf.DUMMYFUNCTION("GoogleTranslate(C57, ""en"", ""id"")"),"Pengendapan")</f>
        <v>Pengendapan</v>
      </c>
      <c r="AF57" s="3" t="str">
        <f>IFERROR(__xludf.DUMMYFUNCTION("GoogleTranslate(C57, ""en"", ""in"")"),"Pengendapan")</f>
        <v>Pengendapan</v>
      </c>
      <c r="AG57" s="3" t="str">
        <f>IFERROR(__xludf.DUMMYFUNCTION("GoogleTranslate(C57, ""en"", ""it"")"),"Precipitazione")</f>
        <v>Precipitazione</v>
      </c>
      <c r="AH57" s="3" t="str">
        <f>IFERROR(__xludf.DUMMYFUNCTION("GoogleTranslate(C57, ""en"", ""ja"")"),"降水量")</f>
        <v>降水量</v>
      </c>
      <c r="AI57" s="3" t="str">
        <f>IFERROR(__xludf.DUMMYFUNCTION("GoogleTranslate(C57, ""en"", ""kn"")"),"ಮಳೆ")</f>
        <v>ಮಳೆ</v>
      </c>
      <c r="AJ57" s="3" t="str">
        <f>IFERROR(__xludf.DUMMYFUNCTION("GoogleTranslate(C57, ""en"", ""km"")"),"ទឹកភ្លៀង")</f>
        <v>ទឹកភ្លៀង</v>
      </c>
      <c r="AK57" s="3" t="str">
        <f>IFERROR(__xludf.DUMMYFUNCTION("GoogleTranslate(C57, ""en"", ""ko"")"),"강수량")</f>
        <v>강수량</v>
      </c>
      <c r="AL57" s="3" t="str">
        <f>IFERROR(__xludf.DUMMYFUNCTION("GoogleTranslate(C57, ""en"", ""lo"")"),"ຝົນ")</f>
        <v>ຝົນ</v>
      </c>
      <c r="AM57" s="3" t="str">
        <f>IFERROR(__xludf.DUMMYFUNCTION("GoogleTranslate(C57, ""en"", ""lv"")"),"Nokrišņi")</f>
        <v>Nokrišņi</v>
      </c>
      <c r="AN57" s="3" t="str">
        <f>IFERROR(__xludf.DUMMYFUNCTION("GoogleTranslate(C57, ""en"", ""lt"")"),"Krituliai")</f>
        <v>Krituliai</v>
      </c>
      <c r="AO57" s="3" t="str">
        <f>IFERROR(__xludf.DUMMYFUNCTION("GoogleTranslate(C57, ""en"", ""mk"")"),"Врнежите")</f>
        <v>Врнежите</v>
      </c>
      <c r="AP57" s="3" t="str">
        <f>IFERROR(__xludf.DUMMYFUNCTION("GoogleTranslate(C57, ""en"", ""ms"")"),"kerpasan")</f>
        <v>kerpasan</v>
      </c>
      <c r="AQ57" s="3" t="str">
        <f>IFERROR(__xludf.DUMMYFUNCTION("GoogleTranslate(C57, ""en"", ""ml"")"),"മഴ")</f>
        <v>മഴ</v>
      </c>
      <c r="AR57" s="3" t="str">
        <f>IFERROR(__xludf.DUMMYFUNCTION("GoogleTranslate(C57, ""en"", ""mr"")"),"वर्षाव")</f>
        <v>वर्षाव</v>
      </c>
      <c r="AS57" s="3" t="str">
        <f>IFERROR(__xludf.DUMMYFUNCTION("GoogleTranslate(C57, ""en"", ""mn"")"),"Хур тунадас")</f>
        <v>Хур тунадас</v>
      </c>
      <c r="AT57" s="3" t="str">
        <f>IFERROR(__xludf.DUMMYFUNCTION("GoogleTranslate(C57, ""en"", ""ne"")"),"वर्षा")</f>
        <v>वर्षा</v>
      </c>
      <c r="AU57" s="3" t="str">
        <f>IFERROR(__xludf.DUMMYFUNCTION("GoogleTranslate(C57, ""en"", ""nb"")"),"Nedbør")</f>
        <v>Nedbør</v>
      </c>
      <c r="AV57" s="3" t="str">
        <f>IFERROR(__xludf.DUMMYFUNCTION("GoogleTranslate(C57, ""en"", ""fa"")"),"بارش")</f>
        <v>بارش</v>
      </c>
      <c r="AW57" s="3" t="str">
        <f>IFERROR(__xludf.DUMMYFUNCTION("GoogleTranslate(C57, ""en"", ""pl"")"),"Osad")</f>
        <v>Osad</v>
      </c>
      <c r="AX57" s="3" t="str">
        <f>IFERROR(__xludf.DUMMYFUNCTION("GoogleTranslate(C57, ""en"", ""pt"")"),"Precipitação")</f>
        <v>Precipitação</v>
      </c>
      <c r="AY57" s="3" t="str">
        <f>IFERROR(__xludf.DUMMYFUNCTION("GoogleTranslate(C57, ""en"", ""ro"")"),"Precipitare")</f>
        <v>Precipitare</v>
      </c>
      <c r="AZ57" s="3" t="str">
        <f>IFERROR(__xludf.DUMMYFUNCTION("GoogleTranslate(C57, ""en"", ""ru"")"),"Осадки")</f>
        <v>Осадки</v>
      </c>
      <c r="BA57" s="3" t="str">
        <f>IFERROR(__xludf.DUMMYFUNCTION("GoogleTranslate(C57, ""en"", ""sr"")"),"Падавине")</f>
        <v>Падавине</v>
      </c>
      <c r="BB57" s="3" t="str">
        <f>IFERROR(__xludf.DUMMYFUNCTION("GoogleTranslate(C57, ""en"", ""si"")"),"වර්ෂාපතනය")</f>
        <v>වර්ෂාපතනය</v>
      </c>
      <c r="BC57" s="3" t="str">
        <f>IFERROR(__xludf.DUMMYFUNCTION("GoogleTranslate(C57, ""en"", ""sk"")"),"Zrážky")</f>
        <v>Zrážky</v>
      </c>
      <c r="BD57" s="3" t="str">
        <f>IFERROR(__xludf.DUMMYFUNCTION("GoogleTranslate(C57, ""en"", ""sl"")"),"Padavine")</f>
        <v>Padavine</v>
      </c>
      <c r="BE57" s="3" t="str">
        <f>IFERROR(__xludf.DUMMYFUNCTION("GoogleTranslate(C57, ""en"", ""es"")"),"Precipitación")</f>
        <v>Precipitación</v>
      </c>
      <c r="BF57" s="3" t="str">
        <f>IFERROR(__xludf.DUMMYFUNCTION("GoogleTranslate(C57, ""en"", ""sw"")"),"Mvua")</f>
        <v>Mvua</v>
      </c>
      <c r="BG57" s="3" t="str">
        <f>IFERROR(__xludf.DUMMYFUNCTION("GoogleTranslate(C57, ""en"", ""sv"")"),"Nederbörd")</f>
        <v>Nederbörd</v>
      </c>
      <c r="BH57" s="3" t="str">
        <f>IFERROR(__xludf.DUMMYFUNCTION("GoogleTranslate(C57, ""en"", ""te"")"),"అవపాతం")</f>
        <v>అవపాతం</v>
      </c>
      <c r="BI57" s="3" t="str">
        <f>IFERROR(__xludf.DUMMYFUNCTION("GoogleTranslate(C57, ""en"", ""th"")"),"ปริมาณน้ำฝน")</f>
        <v>ปริมาณน้ำฝน</v>
      </c>
      <c r="BJ57" s="3" t="str">
        <f>IFERROR(__xludf.DUMMYFUNCTION("GoogleTranslate(C57, ""en"", ""tr"")"),"Yağış")</f>
        <v>Yağış</v>
      </c>
      <c r="BK57" s="3" t="str">
        <f>IFERROR(__xludf.DUMMYFUNCTION("GoogleTranslate(C57, ""en"", ""uk"")"),"Опади")</f>
        <v>Опади</v>
      </c>
      <c r="BL57" s="3" t="str">
        <f>IFERROR(__xludf.DUMMYFUNCTION("GoogleTranslate(C57, ""en"", ""zu"")"),"Imvula")</f>
        <v>Imvula</v>
      </c>
    </row>
    <row r="58">
      <c r="A58" s="1" t="str">
        <f t="shared" si="1"/>
        <v>Wind_Speed</v>
      </c>
      <c r="B58" s="4" t="s">
        <v>120</v>
      </c>
      <c r="C58" s="1" t="str">
        <f t="shared" si="2"/>
        <v>Wind Speed</v>
      </c>
      <c r="D58" s="3" t="str">
        <f>IFERROR(__xludf.DUMMYFUNCTION("GoogleTranslate(C58, ""en"", ""es"")"),"Velocidad del viento")</f>
        <v>Velocidad del viento</v>
      </c>
      <c r="E58" s="3" t="str">
        <f>IFERROR(__xludf.DUMMYFUNCTION("GoogleTranslate(C58, ""en"", ""ar"")"),"سرعة الرياح")</f>
        <v>سرعة الرياح</v>
      </c>
      <c r="F58" s="3" t="str">
        <f>IFERROR(__xludf.DUMMYFUNCTION("GoogleTranslate(C58, ""en"", ""hy"")"),"Քամու արագություն")</f>
        <v>Քամու արագություն</v>
      </c>
      <c r="G58" s="3" t="str">
        <f>IFERROR(__xludf.DUMMYFUNCTION("GoogleTranslate(C58, ""en"", ""vi"")"),"Tốc độ gió")</f>
        <v>Tốc độ gió</v>
      </c>
      <c r="H58" s="3" t="str">
        <f>IFERROR(__xludf.DUMMYFUNCTION("GoogleTranslate(C58, ""en"", ""az"")"),"Küləyin sürəti")</f>
        <v>Küləyin sürəti</v>
      </c>
      <c r="I58" s="3" t="str">
        <f>IFERROR(__xludf.DUMMYFUNCTION("GoogleTranslate(C58, ""en"", ""eu"")"),"Haizearen abiadura")</f>
        <v>Haizearen abiadura</v>
      </c>
      <c r="J58" s="3" t="str">
        <f>IFERROR(__xludf.DUMMYFUNCTION("GoogleTranslate(C58, ""en"", ""be"")"),"Хуткасць ветру")</f>
        <v>Хуткасць ветру</v>
      </c>
      <c r="K58" s="3" t="str">
        <f>IFERROR(__xludf.DUMMYFUNCTION("GoogleTranslate(C58, ""en"", ""bn"")"),"বাতাসের গতি")</f>
        <v>বাতাসের গতি</v>
      </c>
      <c r="L58" s="3" t="str">
        <f>IFERROR(__xludf.DUMMYFUNCTION("GoogleTranslate(C58, ""en"", ""bg"")"),"Скорост на вятъра")</f>
        <v>Скорост на вятъра</v>
      </c>
      <c r="M58" s="3" t="str">
        <f>IFERROR(__xludf.DUMMYFUNCTION("GoogleTranslate(C58, ""en"", ""my"")"),"လေတိုက်နှုန်း")</f>
        <v>လေတိုက်နှုန်း</v>
      </c>
      <c r="N58" s="3" t="str">
        <f>IFERROR(__xludf.DUMMYFUNCTION("GoogleTranslate(C58, ""en"", ""ca"")"),"Velocitat del vent")</f>
        <v>Velocitat del vent</v>
      </c>
      <c r="O58" s="3" t="str">
        <f>IFERROR(__xludf.DUMMYFUNCTION("GoogleTranslate(C58, ""en"", ""zh-cn"")"),"风速")</f>
        <v>风速</v>
      </c>
      <c r="P58" s="3" t="str">
        <f>IFERROR(__xludf.DUMMYFUNCTION("GoogleTranslate(C58, ""en"", ""zh-TW"")"),"風速")</f>
        <v>風速</v>
      </c>
      <c r="Q58" s="3" t="str">
        <f>IFERROR(__xludf.DUMMYFUNCTION("GoogleTranslate(C58, ""en"", ""hr"")"),"Brzina vjetra")</f>
        <v>Brzina vjetra</v>
      </c>
      <c r="R58" s="3" t="str">
        <f>IFERROR(__xludf.DUMMYFUNCTION("GoogleTranslate(C58, ""en"", ""cs"")"),"Rychlost větru")</f>
        <v>Rychlost větru</v>
      </c>
      <c r="S58" s="3" t="str">
        <f>IFERROR(__xludf.DUMMYFUNCTION("GoogleTranslate(C58, ""en"", ""da"")"),"Vindhastighed")</f>
        <v>Vindhastighed</v>
      </c>
      <c r="T58" s="3" t="str">
        <f>IFERROR(__xludf.DUMMYFUNCTION("GoogleTranslate(C58, ""en"", ""nl"")"),"Windsnelheid")</f>
        <v>Windsnelheid</v>
      </c>
      <c r="U58" s="3" t="str">
        <f>IFERROR(__xludf.DUMMYFUNCTION("GoogleTranslate(C58, ""en"", ""et"")"),"Tuule kiirus")</f>
        <v>Tuule kiirus</v>
      </c>
      <c r="V58" s="1" t="str">
        <f t="shared" si="3"/>
        <v>Wind Speed</v>
      </c>
      <c r="W58" s="3" t="str">
        <f>IFERROR(__xludf.DUMMYFUNCTION("GoogleTranslate(C58, ""en"", ""fi"")"),"Tuulen nopeus")</f>
        <v>Tuulen nopeus</v>
      </c>
      <c r="X58" s="3" t="str">
        <f>IFERROR(__xludf.DUMMYFUNCTION("GoogleTranslate(C58, ""en"", ""fr"")"),"Vitesse du vent")</f>
        <v>Vitesse du vent</v>
      </c>
      <c r="Y58" s="3" t="str">
        <f>IFERROR(__xludf.DUMMYFUNCTION("GoogleTranslate(C58, ""en"", ""de"")"),"Windgeschwindigkeit")</f>
        <v>Windgeschwindigkeit</v>
      </c>
      <c r="Z58" s="3" t="str">
        <f>IFERROR(__xludf.DUMMYFUNCTION("GoogleTranslate(C58, ""en"", ""el"")"),"Ταχύτητα ανέμου")</f>
        <v>Ταχύτητα ανέμου</v>
      </c>
      <c r="AA58" s="3" t="str">
        <f>IFERROR(__xludf.DUMMYFUNCTION("GoogleTranslate(C58, ""en"", ""iw"")"),"מהירות הרוח")</f>
        <v>מהירות הרוח</v>
      </c>
      <c r="AB58" s="3" t="str">
        <f>IFERROR(__xludf.DUMMYFUNCTION("GoogleTranslate(C58, ""en"", ""hi"")"),"हवा की गति")</f>
        <v>हवा की गति</v>
      </c>
      <c r="AC58" s="3" t="str">
        <f>IFERROR(__xludf.DUMMYFUNCTION("GoogleTranslate(C58, ""en"", ""hu"")"),"Szélsebesség")</f>
        <v>Szélsebesség</v>
      </c>
      <c r="AD58" s="3" t="str">
        <f>IFERROR(__xludf.DUMMYFUNCTION("GoogleTranslate(C58, ""en"", ""is"")"),"Vindhraði")</f>
        <v>Vindhraði</v>
      </c>
      <c r="AE58" s="3" t="str">
        <f>IFERROR(__xludf.DUMMYFUNCTION("GoogleTranslate(C58, ""en"", ""id"")"),"Kecepatan Angin")</f>
        <v>Kecepatan Angin</v>
      </c>
      <c r="AF58" s="3" t="str">
        <f>IFERROR(__xludf.DUMMYFUNCTION("GoogleTranslate(C58, ""en"", ""in"")"),"Kecepatan Angin")</f>
        <v>Kecepatan Angin</v>
      </c>
      <c r="AG58" s="3" t="str">
        <f>IFERROR(__xludf.DUMMYFUNCTION("GoogleTranslate(C58, ""en"", ""it"")"),"Velocità del vento")</f>
        <v>Velocità del vento</v>
      </c>
      <c r="AH58" s="3" t="str">
        <f>IFERROR(__xludf.DUMMYFUNCTION("GoogleTranslate(C58, ""en"", ""ja"")"),"風速")</f>
        <v>風速</v>
      </c>
      <c r="AI58" s="3" t="str">
        <f>IFERROR(__xludf.DUMMYFUNCTION("GoogleTranslate(C58, ""en"", ""kn"")"),"ಗಾಳಿಯ ವೇಗ")</f>
        <v>ಗಾಳಿಯ ವೇಗ</v>
      </c>
      <c r="AJ58" s="3" t="str">
        <f>IFERROR(__xludf.DUMMYFUNCTION("GoogleTranslate(C58, ""en"", ""km"")"),"ល្បឿនខ្យល់")</f>
        <v>ល្បឿនខ្យល់</v>
      </c>
      <c r="AK58" s="3" t="str">
        <f>IFERROR(__xludf.DUMMYFUNCTION("GoogleTranslate(C58, ""en"", ""ko"")"),"풍속")</f>
        <v>풍속</v>
      </c>
      <c r="AL58" s="3" t="str">
        <f>IFERROR(__xludf.DUMMYFUNCTION("GoogleTranslate(C58, ""en"", ""lo"")"),"ຄວາມໄວລົມ")</f>
        <v>ຄວາມໄວລົມ</v>
      </c>
      <c r="AM58" s="3" t="str">
        <f>IFERROR(__xludf.DUMMYFUNCTION("GoogleTranslate(C58, ""en"", ""lv"")"),"Vēja ātrums")</f>
        <v>Vēja ātrums</v>
      </c>
      <c r="AN58" s="3" t="str">
        <f>IFERROR(__xludf.DUMMYFUNCTION("GoogleTranslate(C58, ""en"", ""lt"")"),"Vėjo greitis")</f>
        <v>Vėjo greitis</v>
      </c>
      <c r="AO58" s="3" t="str">
        <f>IFERROR(__xludf.DUMMYFUNCTION("GoogleTranslate(C58, ""en"", ""mk"")"),"Брзина на ветрот")</f>
        <v>Брзина на ветрот</v>
      </c>
      <c r="AP58" s="3" t="str">
        <f>IFERROR(__xludf.DUMMYFUNCTION("GoogleTranslate(C58, ""en"", ""ms"")"),"Kelajuan Angin")</f>
        <v>Kelajuan Angin</v>
      </c>
      <c r="AQ58" s="3" t="str">
        <f>IFERROR(__xludf.DUMMYFUNCTION("GoogleTranslate(C58, ""en"", ""ml"")"),"കാറ്റിൻ്റെ വേഗത")</f>
        <v>കാറ്റിൻ്റെ വേഗത</v>
      </c>
      <c r="AR58" s="3" t="str">
        <f>IFERROR(__xludf.DUMMYFUNCTION("GoogleTranslate(C58, ""en"", ""mr"")"),"वाऱ्याचा वेग")</f>
        <v>वाऱ्याचा वेग</v>
      </c>
      <c r="AS58" s="3" t="str">
        <f>IFERROR(__xludf.DUMMYFUNCTION("GoogleTranslate(C58, ""en"", ""mn"")"),"Салхины хурд")</f>
        <v>Салхины хурд</v>
      </c>
      <c r="AT58" s="3" t="str">
        <f>IFERROR(__xludf.DUMMYFUNCTION("GoogleTranslate(C58, ""en"", ""ne"")"),"हावाको गति")</f>
        <v>हावाको गति</v>
      </c>
      <c r="AU58" s="3" t="str">
        <f>IFERROR(__xludf.DUMMYFUNCTION("GoogleTranslate(C58, ""en"", ""nb"")"),"Vindhastighet")</f>
        <v>Vindhastighet</v>
      </c>
      <c r="AV58" s="3" t="str">
        <f>IFERROR(__xludf.DUMMYFUNCTION("GoogleTranslate(C58, ""en"", ""fa"")"),"سرعت باد")</f>
        <v>سرعت باد</v>
      </c>
      <c r="AW58" s="3" t="str">
        <f>IFERROR(__xludf.DUMMYFUNCTION("GoogleTranslate(C58, ""en"", ""pl"")"),"Prędkość wiatru")</f>
        <v>Prędkość wiatru</v>
      </c>
      <c r="AX58" s="3" t="str">
        <f>IFERROR(__xludf.DUMMYFUNCTION("GoogleTranslate(C58, ""en"", ""pt"")"),"Velocidade do Vento")</f>
        <v>Velocidade do Vento</v>
      </c>
      <c r="AY58" s="3" t="str">
        <f>IFERROR(__xludf.DUMMYFUNCTION("GoogleTranslate(C58, ""en"", ""ro"")"),"Viteza vântului")</f>
        <v>Viteza vântului</v>
      </c>
      <c r="AZ58" s="3" t="str">
        <f>IFERROR(__xludf.DUMMYFUNCTION("GoogleTranslate(C58, ""en"", ""ru"")"),"Скорость ветра")</f>
        <v>Скорость ветра</v>
      </c>
      <c r="BA58" s="3" t="str">
        <f>IFERROR(__xludf.DUMMYFUNCTION("GoogleTranslate(C58, ""en"", ""sr"")"),"Брзина ветра")</f>
        <v>Брзина ветра</v>
      </c>
      <c r="BB58" s="3" t="str">
        <f>IFERROR(__xludf.DUMMYFUNCTION("GoogleTranslate(C58, ""en"", ""si"")"),"සුළං වේගය")</f>
        <v>සුළං වේගය</v>
      </c>
      <c r="BC58" s="3" t="str">
        <f>IFERROR(__xludf.DUMMYFUNCTION("GoogleTranslate(C58, ""en"", ""sk"")"),"Rýchlosť vetra")</f>
        <v>Rýchlosť vetra</v>
      </c>
      <c r="BD58" s="3" t="str">
        <f>IFERROR(__xludf.DUMMYFUNCTION("GoogleTranslate(C58, ""en"", ""sl"")"),"Hitrost vetra")</f>
        <v>Hitrost vetra</v>
      </c>
      <c r="BE58" s="3" t="str">
        <f>IFERROR(__xludf.DUMMYFUNCTION("GoogleTranslate(C58, ""en"", ""es"")"),"Velocidad del viento")</f>
        <v>Velocidad del viento</v>
      </c>
      <c r="BF58" s="3" t="str">
        <f>IFERROR(__xludf.DUMMYFUNCTION("GoogleTranslate(C58, ""en"", ""sw"")"),"Kasi ya Upepo")</f>
        <v>Kasi ya Upepo</v>
      </c>
      <c r="BG58" s="3" t="str">
        <f>IFERROR(__xludf.DUMMYFUNCTION("GoogleTranslate(C58, ""en"", ""sv"")"),"Vindhastighet")</f>
        <v>Vindhastighet</v>
      </c>
      <c r="BH58" s="3" t="str">
        <f>IFERROR(__xludf.DUMMYFUNCTION("GoogleTranslate(C58, ""en"", ""te"")"),"గాలి వేగం")</f>
        <v>గాలి వేగం</v>
      </c>
      <c r="BI58" s="3" t="str">
        <f>IFERROR(__xludf.DUMMYFUNCTION("GoogleTranslate(C58, ""en"", ""th"")"),"ความเร็วลม")</f>
        <v>ความเร็วลม</v>
      </c>
      <c r="BJ58" s="3" t="str">
        <f>IFERROR(__xludf.DUMMYFUNCTION("GoogleTranslate(C58, ""en"", ""tr"")"),"Rüzgar Hızı")</f>
        <v>Rüzgar Hızı</v>
      </c>
      <c r="BK58" s="3" t="str">
        <f>IFERROR(__xludf.DUMMYFUNCTION("GoogleTranslate(C58, ""en"", ""uk"")"),"Швидкість вітру")</f>
        <v>Швидкість вітру</v>
      </c>
      <c r="BL58" s="3" t="str">
        <f>IFERROR(__xludf.DUMMYFUNCTION("GoogleTranslate(C58, ""en"", ""zu"")"),"Isivinini Somoya")</f>
        <v>Isivinini Somoya</v>
      </c>
    </row>
    <row r="59">
      <c r="A59" s="1" t="str">
        <f t="shared" si="1"/>
        <v>Chance_of_rain</v>
      </c>
      <c r="B59" s="4" t="s">
        <v>117</v>
      </c>
      <c r="C59" s="1" t="str">
        <f t="shared" si="2"/>
        <v>Chance of rain</v>
      </c>
      <c r="D59" s="3" t="str">
        <f>IFERROR(__xludf.DUMMYFUNCTION("GoogleTranslate(C59, ""en"", ""es"")"),"Posibilidad de lluvia")</f>
        <v>Posibilidad de lluvia</v>
      </c>
      <c r="E59" s="3" t="str">
        <f>IFERROR(__xludf.DUMMYFUNCTION("GoogleTranslate(C59, ""en"", ""ar"")"),"فرصة هطول المطر")</f>
        <v>فرصة هطول المطر</v>
      </c>
      <c r="F59" s="3" t="str">
        <f>IFERROR(__xludf.DUMMYFUNCTION("GoogleTranslate(C59, ""en"", ""hy"")"),"Անձրևի հավանականություն")</f>
        <v>Անձրևի հավանականություն</v>
      </c>
      <c r="G59" s="3" t="str">
        <f>IFERROR(__xludf.DUMMYFUNCTION("GoogleTranslate(C59, ""en"", ""vi"")"),"Khả năng có mưa")</f>
        <v>Khả năng có mưa</v>
      </c>
      <c r="H59" s="3" t="str">
        <f>IFERROR(__xludf.DUMMYFUNCTION("GoogleTranslate(C59, ""en"", ""az"")"),"Yağış ehtimalı")</f>
        <v>Yağış ehtimalı</v>
      </c>
      <c r="I59" s="3" t="str">
        <f>IFERROR(__xludf.DUMMYFUNCTION("GoogleTranslate(C59, ""en"", ""eu"")"),"Euria egiteko aukera")</f>
        <v>Euria egiteko aukera</v>
      </c>
      <c r="J59" s="3" t="str">
        <f>IFERROR(__xludf.DUMMYFUNCTION("GoogleTranslate(C59, ""en"", ""be"")"),"Магчымы дождж")</f>
        <v>Магчымы дождж</v>
      </c>
      <c r="K59" s="3" t="str">
        <f>IFERROR(__xludf.DUMMYFUNCTION("GoogleTranslate(C59, ""en"", ""bn"")"),"বৃষ্টির সম্ভাবনা")</f>
        <v>বৃষ্টির সম্ভাবনা</v>
      </c>
      <c r="L59" s="3" t="str">
        <f>IFERROR(__xludf.DUMMYFUNCTION("GoogleTranslate(C59, ""en"", ""bg"")"),"Вероятност за дъжд")</f>
        <v>Вероятност за дъжд</v>
      </c>
      <c r="M59" s="3" t="str">
        <f>IFERROR(__xludf.DUMMYFUNCTION("GoogleTranslate(C59, ""en"", ""my"")"),"မိုးရွာနိုင်ခြေ")</f>
        <v>မိုးရွာနိုင်ခြေ</v>
      </c>
      <c r="N59" s="3" t="str">
        <f>IFERROR(__xludf.DUMMYFUNCTION("GoogleTranslate(C59, ""en"", ""ca"")"),"Possibilitat de pluja")</f>
        <v>Possibilitat de pluja</v>
      </c>
      <c r="O59" s="3" t="str">
        <f>IFERROR(__xludf.DUMMYFUNCTION("GoogleTranslate(C59, ""en"", ""zh-cn"")"),"有可能下雨")</f>
        <v>有可能下雨</v>
      </c>
      <c r="P59" s="3" t="str">
        <f>IFERROR(__xludf.DUMMYFUNCTION("GoogleTranslate(C59, ""en"", ""zh-TW"")"),"有可能下雨")</f>
        <v>有可能下雨</v>
      </c>
      <c r="Q59" s="3" t="str">
        <f>IFERROR(__xludf.DUMMYFUNCTION("GoogleTranslate(C59, ""en"", ""hr"")"),"Mogućnost kiše")</f>
        <v>Mogućnost kiše</v>
      </c>
      <c r="R59" s="3" t="str">
        <f>IFERROR(__xludf.DUMMYFUNCTION("GoogleTranslate(C59, ""en"", ""cs"")"),"Možnost deště")</f>
        <v>Možnost deště</v>
      </c>
      <c r="S59" s="3" t="str">
        <f>IFERROR(__xludf.DUMMYFUNCTION("GoogleTranslate(C59, ""en"", ""da"")"),"Mulighed for regn")</f>
        <v>Mulighed for regn</v>
      </c>
      <c r="T59" s="3" t="str">
        <f>IFERROR(__xludf.DUMMYFUNCTION("GoogleTranslate(C59, ""en"", ""nl"")"),"Kans op regen")</f>
        <v>Kans op regen</v>
      </c>
      <c r="U59" s="3" t="str">
        <f>IFERROR(__xludf.DUMMYFUNCTION("GoogleTranslate(C59, ""en"", ""et"")"),"Vihma võimalus")</f>
        <v>Vihma võimalus</v>
      </c>
      <c r="V59" s="1" t="str">
        <f t="shared" si="3"/>
        <v>Chance of rain</v>
      </c>
      <c r="W59" s="3" t="str">
        <f>IFERROR(__xludf.DUMMYFUNCTION("GoogleTranslate(C59, ""en"", ""fi"")"),"Sateen mahdollisuus")</f>
        <v>Sateen mahdollisuus</v>
      </c>
      <c r="X59" s="3" t="str">
        <f>IFERROR(__xludf.DUMMYFUNCTION("GoogleTranslate(C59, ""en"", ""fr"")"),"Risque de pluie")</f>
        <v>Risque de pluie</v>
      </c>
      <c r="Y59" s="3" t="str">
        <f>IFERROR(__xludf.DUMMYFUNCTION("GoogleTranslate(C59, ""en"", ""de"")"),"Regenwahrscheinlichkeit")</f>
        <v>Regenwahrscheinlichkeit</v>
      </c>
      <c r="Z59" s="3" t="str">
        <f>IFERROR(__xludf.DUMMYFUNCTION("GoogleTranslate(C59, ""en"", ""el"")"),"Πιθανότητα βροχής")</f>
        <v>Πιθανότητα βροχής</v>
      </c>
      <c r="AA59" s="3" t="str">
        <f>IFERROR(__xludf.DUMMYFUNCTION("GoogleTranslate(C59, ""en"", ""iw"")"),"סיכוי לגשם")</f>
        <v>סיכוי לגשם</v>
      </c>
      <c r="AB59" s="3" t="str">
        <f>IFERROR(__xludf.DUMMYFUNCTION("GoogleTranslate(C59, ""en"", ""hi"")"),"बारिश की संभावना")</f>
        <v>बारिश की संभावना</v>
      </c>
      <c r="AC59" s="3" t="str">
        <f>IFERROR(__xludf.DUMMYFUNCTION("GoogleTranslate(C59, ""en"", ""hu"")"),"Eső valószínű")</f>
        <v>Eső valószínű</v>
      </c>
      <c r="AD59" s="3" t="str">
        <f>IFERROR(__xludf.DUMMYFUNCTION("GoogleTranslate(C59, ""en"", ""is"")"),"Líkur á rigningu")</f>
        <v>Líkur á rigningu</v>
      </c>
      <c r="AE59" s="3" t="str">
        <f>IFERROR(__xludf.DUMMYFUNCTION("GoogleTranslate(C59, ""en"", ""id"")"),"Kemungkinan hujan")</f>
        <v>Kemungkinan hujan</v>
      </c>
      <c r="AF59" s="3" t="str">
        <f>IFERROR(__xludf.DUMMYFUNCTION("GoogleTranslate(C59, ""en"", ""in"")"),"Kemungkinan hujan")</f>
        <v>Kemungkinan hujan</v>
      </c>
      <c r="AG59" s="3" t="str">
        <f>IFERROR(__xludf.DUMMYFUNCTION("GoogleTranslate(C59, ""en"", ""it"")"),"Possibilità di pioggia")</f>
        <v>Possibilità di pioggia</v>
      </c>
      <c r="AH59" s="3" t="str">
        <f>IFERROR(__xludf.DUMMYFUNCTION("GoogleTranslate(C59, ""en"", ""ja"")"),"雨の可能性")</f>
        <v>雨の可能性</v>
      </c>
      <c r="AI59" s="3" t="str">
        <f>IFERROR(__xludf.DUMMYFUNCTION("GoogleTranslate(C59, ""en"", ""kn"")"),"ಮಳೆಯಾಗುವ ಸಾಧ್ಯತೆ")</f>
        <v>ಮಳೆಯಾಗುವ ಸಾಧ್ಯತೆ</v>
      </c>
      <c r="AJ59" s="3" t="str">
        <f>IFERROR(__xludf.DUMMYFUNCTION("GoogleTranslate(C59, ""en"", ""km"")"),"ឱកាសភ្លៀង")</f>
        <v>ឱកាសភ្លៀង</v>
      </c>
      <c r="AK59" s="3" t="str">
        <f>IFERROR(__xludf.DUMMYFUNCTION("GoogleTranslate(C59, ""en"", ""ko"")"),"비올 확률")</f>
        <v>비올 확률</v>
      </c>
      <c r="AL59" s="3" t="str">
        <f>IFERROR(__xludf.DUMMYFUNCTION("GoogleTranslate(C59, ""en"", ""lo"")"),"ໂອກາດຝົນຕົກ")</f>
        <v>ໂອກາດຝົນຕົກ</v>
      </c>
      <c r="AM59" s="3" t="str">
        <f>IFERROR(__xludf.DUMMYFUNCTION("GoogleTranslate(C59, ""en"", ""lv"")"),"Iespējams lietus")</f>
        <v>Iespējams lietus</v>
      </c>
      <c r="AN59" s="3" t="str">
        <f>IFERROR(__xludf.DUMMYFUNCTION("GoogleTranslate(C59, ""en"", ""lt"")"),"Lietaus tikimybė")</f>
        <v>Lietaus tikimybė</v>
      </c>
      <c r="AO59" s="3" t="str">
        <f>IFERROR(__xludf.DUMMYFUNCTION("GoogleTranslate(C59, ""en"", ""mk"")"),"Можност за дожд")</f>
        <v>Можност за дожд</v>
      </c>
      <c r="AP59" s="3" t="str">
        <f>IFERROR(__xludf.DUMMYFUNCTION("GoogleTranslate(C59, ""en"", ""ms"")"),"Peluang hujan")</f>
        <v>Peluang hujan</v>
      </c>
      <c r="AQ59" s="3" t="str">
        <f>IFERROR(__xludf.DUMMYFUNCTION("GoogleTranslate(C59, ""en"", ""ml"")"),"മഴയ്ക്ക് സാധ്യത")</f>
        <v>മഴയ്ക്ക് സാധ്യത</v>
      </c>
      <c r="AR59" s="3" t="str">
        <f>IFERROR(__xludf.DUMMYFUNCTION("GoogleTranslate(C59, ""en"", ""mr"")"),"पावसाची शक्यता")</f>
        <v>पावसाची शक्यता</v>
      </c>
      <c r="AS59" s="3" t="str">
        <f>IFERROR(__xludf.DUMMYFUNCTION("GoogleTranslate(C59, ""en"", ""mn"")"),"Бороо орох магадлалтай")</f>
        <v>Бороо орох магадлалтай</v>
      </c>
      <c r="AT59" s="3" t="str">
        <f>IFERROR(__xludf.DUMMYFUNCTION("GoogleTranslate(C59, ""en"", ""ne"")"),"वर्षाको सम्भावना")</f>
        <v>वर्षाको सम्भावना</v>
      </c>
      <c r="AU59" s="3" t="str">
        <f>IFERROR(__xludf.DUMMYFUNCTION("GoogleTranslate(C59, ""en"", ""nb"")"),"Mulighet for regn")</f>
        <v>Mulighet for regn</v>
      </c>
      <c r="AV59" s="3" t="str">
        <f>IFERROR(__xludf.DUMMYFUNCTION("GoogleTranslate(C59, ""en"", ""fa"")"),"احتمال بارش باران")</f>
        <v>احتمال بارش باران</v>
      </c>
      <c r="AW59" s="3" t="str">
        <f>IFERROR(__xludf.DUMMYFUNCTION("GoogleTranslate(C59, ""en"", ""pl"")"),"Szansa na deszcz")</f>
        <v>Szansa na deszcz</v>
      </c>
      <c r="AX59" s="3" t="str">
        <f>IFERROR(__xludf.DUMMYFUNCTION("GoogleTranslate(C59, ""en"", ""pt"")"),"Possibilidade de chuva")</f>
        <v>Possibilidade de chuva</v>
      </c>
      <c r="AY59" s="3" t="str">
        <f>IFERROR(__xludf.DUMMYFUNCTION("GoogleTranslate(C59, ""en"", ""ro"")"),"Şanse de ploaie")</f>
        <v>Şanse de ploaie</v>
      </c>
      <c r="AZ59" s="3" t="str">
        <f>IFERROR(__xludf.DUMMYFUNCTION("GoogleTranslate(C59, ""en"", ""ru"")"),"Вероятность дождя")</f>
        <v>Вероятность дождя</v>
      </c>
      <c r="BA59" s="3" t="str">
        <f>IFERROR(__xludf.DUMMYFUNCTION("GoogleTranslate(C59, ""en"", ""sr"")"),"Могућа киша")</f>
        <v>Могућа киша</v>
      </c>
      <c r="BB59" s="3" t="str">
        <f>IFERROR(__xludf.DUMMYFUNCTION("GoogleTranslate(C59, ""en"", ""si"")"),"වැසි ඇති වීමට ඉඩ ඇත")</f>
        <v>වැසි ඇති වීමට ඉඩ ඇත</v>
      </c>
      <c r="BC59" s="3" t="str">
        <f>IFERROR(__xludf.DUMMYFUNCTION("GoogleTranslate(C59, ""en"", ""sk"")"),"Možnosť dažďa")</f>
        <v>Možnosť dažďa</v>
      </c>
      <c r="BD59" s="3" t="str">
        <f>IFERROR(__xludf.DUMMYFUNCTION("GoogleTranslate(C59, ""en"", ""sl"")"),"Možnost dežja")</f>
        <v>Možnost dežja</v>
      </c>
      <c r="BE59" s="3" t="str">
        <f>IFERROR(__xludf.DUMMYFUNCTION("GoogleTranslate(C59, ""en"", ""es"")"),"Posibilidad de lluvia")</f>
        <v>Posibilidad de lluvia</v>
      </c>
      <c r="BF59" s="3" t="str">
        <f>IFERROR(__xludf.DUMMYFUNCTION("GoogleTranslate(C59, ""en"", ""sw"")"),"Uwezekano wa mvua")</f>
        <v>Uwezekano wa mvua</v>
      </c>
      <c r="BG59" s="3" t="str">
        <f>IFERROR(__xludf.DUMMYFUNCTION("GoogleTranslate(C59, ""en"", ""sv"")"),"Risk för regn")</f>
        <v>Risk för regn</v>
      </c>
      <c r="BH59" s="3" t="str">
        <f>IFERROR(__xludf.DUMMYFUNCTION("GoogleTranslate(C59, ""en"", ""te"")"),"వర్షం పడే అవకాశం")</f>
        <v>వర్షం పడే అవకాశం</v>
      </c>
      <c r="BI59" s="3" t="str">
        <f>IFERROR(__xludf.DUMMYFUNCTION("GoogleTranslate(C59, ""en"", ""th"")"),"มีโอกาสเกิดฝนตก")</f>
        <v>มีโอกาสเกิดฝนตก</v>
      </c>
      <c r="BJ59" s="3" t="str">
        <f>IFERROR(__xludf.DUMMYFUNCTION("GoogleTranslate(C59, ""en"", ""tr"")"),"Yağmur ihtimali")</f>
        <v>Yağmur ihtimali</v>
      </c>
      <c r="BK59" s="3" t="str">
        <f>IFERROR(__xludf.DUMMYFUNCTION("GoogleTranslate(C59, ""en"", ""uk"")"),"Можливий дощ")</f>
        <v>Можливий дощ</v>
      </c>
      <c r="BL59" s="3" t="str">
        <f>IFERROR(__xludf.DUMMYFUNCTION("GoogleTranslate(C59, ""en"", ""zu"")"),"Amathuba emvula")</f>
        <v>Amathuba emvula</v>
      </c>
    </row>
    <row r="60">
      <c r="A60" s="1" t="str">
        <f t="shared" si="1"/>
        <v>Feels_like</v>
      </c>
      <c r="B60" s="4" t="s">
        <v>121</v>
      </c>
      <c r="C60" s="1" t="str">
        <f t="shared" si="2"/>
        <v>Feels like</v>
      </c>
      <c r="D60" s="3" t="str">
        <f>IFERROR(__xludf.DUMMYFUNCTION("GoogleTranslate(C60, ""en"", ""es"")"),"se siente como")</f>
        <v>se siente como</v>
      </c>
      <c r="E60" s="3" t="str">
        <f>IFERROR(__xludf.DUMMYFUNCTION("GoogleTranslate(C60, ""en"", ""ar"")"),"يشعر وكأنه")</f>
        <v>يشعر وكأنه</v>
      </c>
      <c r="F60" s="3" t="str">
        <f>IFERROR(__xludf.DUMMYFUNCTION("GoogleTranslate(C60, ""en"", ""hy"")"),"Զգում է")</f>
        <v>Զգում է</v>
      </c>
      <c r="G60" s="3" t="str">
        <f>IFERROR(__xludf.DUMMYFUNCTION("GoogleTranslate(C60, ""en"", ""vi"")"),"Cảm thấy như")</f>
        <v>Cảm thấy như</v>
      </c>
      <c r="H60" s="3" t="str">
        <f>IFERROR(__xludf.DUMMYFUNCTION("GoogleTranslate(C60, ""en"", ""az"")"),"Hiss olunur")</f>
        <v>Hiss olunur</v>
      </c>
      <c r="I60" s="3" t="str">
        <f>IFERROR(__xludf.DUMMYFUNCTION("GoogleTranslate(C60, ""en"", ""eu"")"),"Gustura sentitzen da")</f>
        <v>Gustura sentitzen da</v>
      </c>
      <c r="J60" s="3" t="str">
        <f>IFERROR(__xludf.DUMMYFUNCTION("GoogleTranslate(C60, ""en"", ""be"")"),"Па адчуваннях")</f>
        <v>Па адчуваннях</v>
      </c>
      <c r="K60" s="3" t="str">
        <f>IFERROR(__xludf.DUMMYFUNCTION("GoogleTranslate(C60, ""en"", ""bn"")"),"ভালো লাগে")</f>
        <v>ভালো লাগে</v>
      </c>
      <c r="L60" s="3" t="str">
        <f>IFERROR(__xludf.DUMMYFUNCTION("GoogleTranslate(C60, ""en"", ""bg"")"),"Усеща се като")</f>
        <v>Усеща се като</v>
      </c>
      <c r="M60" s="3" t="str">
        <f>IFERROR(__xludf.DUMMYFUNCTION("GoogleTranslate(C60, ""en"", ""my"")"),"ကြိုက်သလိုခံစားရတယ်။")</f>
        <v>ကြိုက်သလိုခံစားရတယ်။</v>
      </c>
      <c r="N60" s="3" t="str">
        <f>IFERROR(__xludf.DUMMYFUNCTION("GoogleTranslate(C60, ""en"", ""ca"")"),"Se sent com")</f>
        <v>Se sent com</v>
      </c>
      <c r="O60" s="3" t="str">
        <f>IFERROR(__xludf.DUMMYFUNCTION("GoogleTranslate(C60, ""en"", ""zh-cn"")"),"感觉就像")</f>
        <v>感觉就像</v>
      </c>
      <c r="P60" s="3" t="str">
        <f>IFERROR(__xludf.DUMMYFUNCTION("GoogleTranslate(C60, ""en"", ""zh-TW"")"),"感覺就像")</f>
        <v>感覺就像</v>
      </c>
      <c r="Q60" s="3" t="str">
        <f>IFERROR(__xludf.DUMMYFUNCTION("GoogleTranslate(C60, ""en"", ""hr"")"),"Osjeća se kao")</f>
        <v>Osjeća se kao</v>
      </c>
      <c r="R60" s="3" t="str">
        <f>IFERROR(__xludf.DUMMYFUNCTION("GoogleTranslate(C60, ""en"", ""cs"")"),"Cítím se jako")</f>
        <v>Cítím se jako</v>
      </c>
      <c r="S60" s="3" t="str">
        <f>IFERROR(__xludf.DUMMYFUNCTION("GoogleTranslate(C60, ""en"", ""da"")"),"Føles som")</f>
        <v>Føles som</v>
      </c>
      <c r="T60" s="3" t="str">
        <f>IFERROR(__xludf.DUMMYFUNCTION("GoogleTranslate(C60, ""en"", ""nl"")"),"Voelt als")</f>
        <v>Voelt als</v>
      </c>
      <c r="U60" s="3" t="str">
        <f>IFERROR(__xludf.DUMMYFUNCTION("GoogleTranslate(C60, ""en"", ""et"")"),"Tundub nagu")</f>
        <v>Tundub nagu</v>
      </c>
      <c r="V60" s="1" t="str">
        <f t="shared" si="3"/>
        <v>Feels like</v>
      </c>
      <c r="W60" s="3" t="str">
        <f>IFERROR(__xludf.DUMMYFUNCTION("GoogleTranslate(C60, ""en"", ""fi"")"),"Tuntuu")</f>
        <v>Tuntuu</v>
      </c>
      <c r="X60" s="3" t="str">
        <f>IFERROR(__xludf.DUMMYFUNCTION("GoogleTranslate(C60, ""en"", ""fr"")"),"On a l'impression")</f>
        <v>On a l'impression</v>
      </c>
      <c r="Y60" s="3" t="str">
        <f>IFERROR(__xludf.DUMMYFUNCTION("GoogleTranslate(C60, ""en"", ""de"")"),"Fühlt sich an wie")</f>
        <v>Fühlt sich an wie</v>
      </c>
      <c r="Z60" s="3" t="str">
        <f>IFERROR(__xludf.DUMMYFUNCTION("GoogleTranslate(C60, ""en"", ""el"")"),"Αισθάνεται σαν")</f>
        <v>Αισθάνεται σαν</v>
      </c>
      <c r="AA60" s="3" t="str">
        <f>IFERROR(__xludf.DUMMYFUNCTION("GoogleTranslate(C60, ""en"", ""iw"")"),"מרגיש כמו")</f>
        <v>מרגיש כמו</v>
      </c>
      <c r="AB60" s="3" t="str">
        <f>IFERROR(__xludf.DUMMYFUNCTION("GoogleTranslate(C60, ""en"", ""hi"")"),"की तरह लगना")</f>
        <v>की तरह लगना</v>
      </c>
      <c r="AC60" s="3" t="str">
        <f>IFERROR(__xludf.DUMMYFUNCTION("GoogleTranslate(C60, ""en"", ""hu"")"),"Úgy érzi")</f>
        <v>Úgy érzi</v>
      </c>
      <c r="AD60" s="3" t="str">
        <f>IFERROR(__xludf.DUMMYFUNCTION("GoogleTranslate(C60, ""en"", ""is"")"),"Finnst eins og")</f>
        <v>Finnst eins og</v>
      </c>
      <c r="AE60" s="3" t="str">
        <f>IFERROR(__xludf.DUMMYFUNCTION("GoogleTranslate(C60, ""en"", ""id"")"),"Terasa seperti")</f>
        <v>Terasa seperti</v>
      </c>
      <c r="AF60" s="3" t="str">
        <f>IFERROR(__xludf.DUMMYFUNCTION("GoogleTranslate(C60, ""en"", ""in"")"),"Terasa seperti")</f>
        <v>Terasa seperti</v>
      </c>
      <c r="AG60" s="3" t="str">
        <f>IFERROR(__xludf.DUMMYFUNCTION("GoogleTranslate(C60, ""en"", ""it"")"),"Sembra")</f>
        <v>Sembra</v>
      </c>
      <c r="AH60" s="3" t="str">
        <f>IFERROR(__xludf.DUMMYFUNCTION("GoogleTranslate(C60, ""en"", ""ja"")"),"みたいな感じ")</f>
        <v>みたいな感じ</v>
      </c>
      <c r="AI60" s="3" t="str">
        <f>IFERROR(__xludf.DUMMYFUNCTION("GoogleTranslate(C60, ""en"", ""kn"")"),"ಅನಿಸುತ್ತದೆ")</f>
        <v>ಅನಿಸುತ್ತದೆ</v>
      </c>
      <c r="AJ60" s="3" t="str">
        <f>IFERROR(__xludf.DUMMYFUNCTION("GoogleTranslate(C60, ""en"", ""km"")"),"មានអារម្មណ៍ដូច")</f>
        <v>មានអារម្មណ៍ដូច</v>
      </c>
      <c r="AK60" s="3" t="str">
        <f>IFERROR(__xludf.DUMMYFUNCTION("GoogleTranslate(C60, ""en"", ""ko"")"),"같은 느낌")</f>
        <v>같은 느낌</v>
      </c>
      <c r="AL60" s="3" t="str">
        <f>IFERROR(__xludf.DUMMYFUNCTION("GoogleTranslate(C60, ""en"", ""lo"")"),"ຮູ້ສຶກຄື")</f>
        <v>ຮູ້ສຶກຄື</v>
      </c>
      <c r="AM60" s="3" t="str">
        <f>IFERROR(__xludf.DUMMYFUNCTION("GoogleTranslate(C60, ""en"", ""lv"")"),"Jūtos kā")</f>
        <v>Jūtos kā</v>
      </c>
      <c r="AN60" s="3" t="str">
        <f>IFERROR(__xludf.DUMMYFUNCTION("GoogleTranslate(C60, ""en"", ""lt"")"),"Jaučiasi")</f>
        <v>Jaučiasi</v>
      </c>
      <c r="AO60" s="3" t="str">
        <f>IFERROR(__xludf.DUMMYFUNCTION("GoogleTranslate(C60, ""en"", ""mk"")"),"Се чувствува како")</f>
        <v>Се чувствува како</v>
      </c>
      <c r="AP60" s="3" t="str">
        <f>IFERROR(__xludf.DUMMYFUNCTION("GoogleTranslate(C60, ""en"", ""ms"")"),"Rasa macam")</f>
        <v>Rasa macam</v>
      </c>
      <c r="AQ60" s="3" t="str">
        <f>IFERROR(__xludf.DUMMYFUNCTION("GoogleTranslate(C60, ""en"", ""ml"")"),"പോലെ തോന്നുന്നു")</f>
        <v>പോലെ തോന്നുന്നു</v>
      </c>
      <c r="AR60" s="3" t="str">
        <f>IFERROR(__xludf.DUMMYFUNCTION("GoogleTranslate(C60, ""en"", ""mr"")"),"असे वाटते")</f>
        <v>असे वाटते</v>
      </c>
      <c r="AS60" s="3" t="str">
        <f>IFERROR(__xludf.DUMMYFUNCTION("GoogleTranslate(C60, ""en"", ""mn"")"),"санагдаж байна")</f>
        <v>санагдаж байна</v>
      </c>
      <c r="AT60" s="3" t="str">
        <f>IFERROR(__xludf.DUMMYFUNCTION("GoogleTranslate(C60, ""en"", ""ne"")"),"जस्तो लाग्छ")</f>
        <v>जस्तो लाग्छ</v>
      </c>
      <c r="AU60" s="3" t="str">
        <f>IFERROR(__xludf.DUMMYFUNCTION("GoogleTranslate(C60, ""en"", ""nb"")"),"Føles som")</f>
        <v>Føles som</v>
      </c>
      <c r="AV60" s="3" t="str">
        <f>IFERROR(__xludf.DUMMYFUNCTION("GoogleTranslate(C60, ""en"", ""fa"")"),"احساس می کند")</f>
        <v>احساس می کند</v>
      </c>
      <c r="AW60" s="3" t="str">
        <f>IFERROR(__xludf.DUMMYFUNCTION("GoogleTranslate(C60, ""en"", ""pl"")"),"Czuje się jak")</f>
        <v>Czuje się jak</v>
      </c>
      <c r="AX60" s="3" t="str">
        <f>IFERROR(__xludf.DUMMYFUNCTION("GoogleTranslate(C60, ""en"", ""pt"")"),"Parece")</f>
        <v>Parece</v>
      </c>
      <c r="AY60" s="3" t="str">
        <f>IFERROR(__xludf.DUMMYFUNCTION("GoogleTranslate(C60, ""en"", ""ro"")"),"Se simte ca")</f>
        <v>Se simte ca</v>
      </c>
      <c r="AZ60" s="3" t="str">
        <f>IFERROR(__xludf.DUMMYFUNCTION("GoogleTranslate(C60, ""en"", ""ru"")"),"По ощущениям")</f>
        <v>По ощущениям</v>
      </c>
      <c r="BA60" s="3" t="str">
        <f>IFERROR(__xludf.DUMMYFUNCTION("GoogleTranslate(C60, ""en"", ""sr"")"),"Осећа се као")</f>
        <v>Осећа се као</v>
      </c>
      <c r="BB60" s="3" t="str">
        <f>IFERROR(__xludf.DUMMYFUNCTION("GoogleTranslate(C60, ""en"", ""si"")"),"වගේ දැනෙනවා")</f>
        <v>වගේ දැනෙනවා</v>
      </c>
      <c r="BC60" s="3" t="str">
        <f>IFERROR(__xludf.DUMMYFUNCTION("GoogleTranslate(C60, ""en"", ""sk"")"),"Cítim sa ako")</f>
        <v>Cítim sa ako</v>
      </c>
      <c r="BD60" s="3" t="str">
        <f>IFERROR(__xludf.DUMMYFUNCTION("GoogleTranslate(C60, ""en"", ""sl"")"),"Zdi se kot")</f>
        <v>Zdi se kot</v>
      </c>
      <c r="BE60" s="3" t="str">
        <f>IFERROR(__xludf.DUMMYFUNCTION("GoogleTranslate(C60, ""en"", ""es"")"),"se siente como")</f>
        <v>se siente como</v>
      </c>
      <c r="BF60" s="3" t="str">
        <f>IFERROR(__xludf.DUMMYFUNCTION("GoogleTranslate(C60, ""en"", ""sw"")"),"Anahisi kama")</f>
        <v>Anahisi kama</v>
      </c>
      <c r="BG60" s="3" t="str">
        <f>IFERROR(__xludf.DUMMYFUNCTION("GoogleTranslate(C60, ""en"", ""sv"")"),"Känns som")</f>
        <v>Känns som</v>
      </c>
      <c r="BH60" s="3" t="str">
        <f>IFERROR(__xludf.DUMMYFUNCTION("GoogleTranslate(C60, ""en"", ""te"")"),"అనిపిస్తుంది")</f>
        <v>అనిపిస్తుంది</v>
      </c>
      <c r="BI60" s="3" t="str">
        <f>IFERROR(__xludf.DUMMYFUNCTION("GoogleTranslate(C60, ""en"", ""th"")"),"รู้สึกเหมือน")</f>
        <v>รู้สึกเหมือน</v>
      </c>
      <c r="BJ60" s="3" t="str">
        <f>IFERROR(__xludf.DUMMYFUNCTION("GoogleTranslate(C60, ""en"", ""tr"")"),"Gibi hissettiriyor")</f>
        <v>Gibi hissettiriyor</v>
      </c>
      <c r="BK60" s="3" t="str">
        <f>IFERROR(__xludf.DUMMYFUNCTION("GoogleTranslate(C60, ""en"", ""uk"")"),"Відчувається як")</f>
        <v>Відчувається як</v>
      </c>
      <c r="BL60" s="3" t="str">
        <f>IFERROR(__xludf.DUMMYFUNCTION("GoogleTranslate(C60, ""en"", ""zu"")"),"Kuzwakala")</f>
        <v>Kuzwakala</v>
      </c>
    </row>
    <row r="61">
      <c r="A61" s="1" t="str">
        <f t="shared" si="1"/>
        <v>Cloud_cover</v>
      </c>
      <c r="B61" s="4" t="s">
        <v>122</v>
      </c>
      <c r="C61" s="1" t="str">
        <f t="shared" si="2"/>
        <v>Cloud cover</v>
      </c>
      <c r="D61" s="3" t="str">
        <f>IFERROR(__xludf.DUMMYFUNCTION("GoogleTranslate(C61, ""en"", ""es"")"),"Cubierta de nubes")</f>
        <v>Cubierta de nubes</v>
      </c>
      <c r="E61" s="3" t="str">
        <f>IFERROR(__xludf.DUMMYFUNCTION("GoogleTranslate(C61, ""en"", ""ar"")"),"غطاء سحابي")</f>
        <v>غطاء سحابي</v>
      </c>
      <c r="F61" s="3" t="str">
        <f>IFERROR(__xludf.DUMMYFUNCTION("GoogleTranslate(C61, ""en"", ""hy"")"),"Ամպածածկ")</f>
        <v>Ամպածածկ</v>
      </c>
      <c r="G61" s="3" t="str">
        <f>IFERROR(__xludf.DUMMYFUNCTION("GoogleTranslate(C61, ""en"", ""vi"")"),"mây che phủ")</f>
        <v>mây che phủ</v>
      </c>
      <c r="H61" s="3" t="str">
        <f>IFERROR(__xludf.DUMMYFUNCTION("GoogleTranslate(C61, ""en"", ""az"")"),"Bulud örtüyü")</f>
        <v>Bulud örtüyü</v>
      </c>
      <c r="I61" s="3" t="str">
        <f>IFERROR(__xludf.DUMMYFUNCTION("GoogleTranslate(C61, ""en"", ""eu"")"),"Hodei-estalkia")</f>
        <v>Hodei-estalkia</v>
      </c>
      <c r="J61" s="3" t="str">
        <f>IFERROR(__xludf.DUMMYFUNCTION("GoogleTranslate(C61, ""en"", ""be"")"),"Воблачнасць")</f>
        <v>Воблачнасць</v>
      </c>
      <c r="K61" s="3" t="str">
        <f>IFERROR(__xludf.DUMMYFUNCTION("GoogleTranslate(C61, ""en"", ""bn"")"),"মেঘের আচ্ছাদন")</f>
        <v>মেঘের আচ্ছাদন</v>
      </c>
      <c r="L61" s="3" t="str">
        <f>IFERROR(__xludf.DUMMYFUNCTION("GoogleTranslate(C61, ""en"", ""bg"")"),"Облачно покритие")</f>
        <v>Облачно покритие</v>
      </c>
      <c r="M61" s="3" t="str">
        <f>IFERROR(__xludf.DUMMYFUNCTION("GoogleTranslate(C61, ""en"", ""my"")"),"တိမ်တိုက်")</f>
        <v>တိမ်တိုက်</v>
      </c>
      <c r="N61" s="3" t="str">
        <f>IFERROR(__xludf.DUMMYFUNCTION("GoogleTranslate(C61, ""en"", ""ca"")"),"Coberta de núvols")</f>
        <v>Coberta de núvols</v>
      </c>
      <c r="O61" s="3" t="str">
        <f>IFERROR(__xludf.DUMMYFUNCTION("GoogleTranslate(C61, ""en"", ""zh-cn"")"),"云层覆盖")</f>
        <v>云层覆盖</v>
      </c>
      <c r="P61" s="3" t="str">
        <f>IFERROR(__xludf.DUMMYFUNCTION("GoogleTranslate(C61, ""en"", ""zh-TW"")"),"雲層覆蓋")</f>
        <v>雲層覆蓋</v>
      </c>
      <c r="Q61" s="3" t="str">
        <f>IFERROR(__xludf.DUMMYFUNCTION("GoogleTranslate(C61, ""en"", ""hr"")"),"Oblačnost")</f>
        <v>Oblačnost</v>
      </c>
      <c r="R61" s="3" t="str">
        <f>IFERROR(__xludf.DUMMYFUNCTION("GoogleTranslate(C61, ""en"", ""cs"")"),"Oblačnost")</f>
        <v>Oblačnost</v>
      </c>
      <c r="S61" s="3" t="str">
        <f>IFERROR(__xludf.DUMMYFUNCTION("GoogleTranslate(C61, ""en"", ""da"")"),"Skydække")</f>
        <v>Skydække</v>
      </c>
      <c r="T61" s="3" t="str">
        <f>IFERROR(__xludf.DUMMYFUNCTION("GoogleTranslate(C61, ""en"", ""nl"")"),"Bewolking")</f>
        <v>Bewolking</v>
      </c>
      <c r="U61" s="3" t="str">
        <f>IFERROR(__xludf.DUMMYFUNCTION("GoogleTranslate(C61, ""en"", ""et"")"),"Pilvekate")</f>
        <v>Pilvekate</v>
      </c>
      <c r="V61" s="1" t="str">
        <f t="shared" si="3"/>
        <v>Cloud cover</v>
      </c>
      <c r="W61" s="3" t="str">
        <f>IFERROR(__xludf.DUMMYFUNCTION("GoogleTranslate(C61, ""en"", ""fi"")"),"Pilvipeite")</f>
        <v>Pilvipeite</v>
      </c>
      <c r="X61" s="3" t="str">
        <f>IFERROR(__xludf.DUMMYFUNCTION("GoogleTranslate(C61, ""en"", ""fr"")"),"Couverture nuageuse")</f>
        <v>Couverture nuageuse</v>
      </c>
      <c r="Y61" s="3" t="str">
        <f>IFERROR(__xludf.DUMMYFUNCTION("GoogleTranslate(C61, ""en"", ""de"")"),"Wolkendecke")</f>
        <v>Wolkendecke</v>
      </c>
      <c r="Z61" s="3" t="str">
        <f>IFERROR(__xludf.DUMMYFUNCTION("GoogleTranslate(C61, ""en"", ""el"")"),"Συννεφοκάλυψη")</f>
        <v>Συννεφοκάλυψη</v>
      </c>
      <c r="AA61" s="3" t="str">
        <f>IFERROR(__xludf.DUMMYFUNCTION("GoogleTranslate(C61, ""en"", ""iw"")"),"כיסוי עננים")</f>
        <v>כיסוי עננים</v>
      </c>
      <c r="AB61" s="3" t="str">
        <f>IFERROR(__xludf.DUMMYFUNCTION("GoogleTranslate(C61, ""en"", ""hi"")"),"बादल मूंदना")</f>
        <v>बादल मूंदना</v>
      </c>
      <c r="AC61" s="3" t="str">
        <f>IFERROR(__xludf.DUMMYFUNCTION("GoogleTranslate(C61, ""en"", ""hu"")"),"Felhőtakaró")</f>
        <v>Felhőtakaró</v>
      </c>
      <c r="AD61" s="3" t="str">
        <f>IFERROR(__xludf.DUMMYFUNCTION("GoogleTranslate(C61, ""en"", ""is"")"),"Skýjahula")</f>
        <v>Skýjahula</v>
      </c>
      <c r="AE61" s="3" t="str">
        <f>IFERROR(__xludf.DUMMYFUNCTION("GoogleTranslate(C61, ""en"", ""id"")"),"Tutupan awan")</f>
        <v>Tutupan awan</v>
      </c>
      <c r="AF61" s="3" t="str">
        <f>IFERROR(__xludf.DUMMYFUNCTION("GoogleTranslate(C61, ""en"", ""in"")"),"Tutupan awan")</f>
        <v>Tutupan awan</v>
      </c>
      <c r="AG61" s="3" t="str">
        <f>IFERROR(__xludf.DUMMYFUNCTION("GoogleTranslate(C61, ""en"", ""it"")"),"Copertura nuvolosa")</f>
        <v>Copertura nuvolosa</v>
      </c>
      <c r="AH61" s="3" t="str">
        <f>IFERROR(__xludf.DUMMYFUNCTION("GoogleTranslate(C61, ""en"", ""ja"")"),"雲量")</f>
        <v>雲量</v>
      </c>
      <c r="AI61" s="3" t="str">
        <f>IFERROR(__xludf.DUMMYFUNCTION("GoogleTranslate(C61, ""en"", ""kn"")"),"ಮೇಘ ಕವರ್")</f>
        <v>ಮೇಘ ಕವರ್</v>
      </c>
      <c r="AJ61" s="3" t="str">
        <f>IFERROR(__xludf.DUMMYFUNCTION("GoogleTranslate(C61, ""en"", ""km"")"),"គម្របពពក")</f>
        <v>គម្របពពក</v>
      </c>
      <c r="AK61" s="3" t="str">
        <f>IFERROR(__xludf.DUMMYFUNCTION("GoogleTranslate(C61, ""en"", ""ko"")"),"구름 덮개")</f>
        <v>구름 덮개</v>
      </c>
      <c r="AL61" s="3" t="str">
        <f>IFERROR(__xludf.DUMMYFUNCTION("GoogleTranslate(C61, ""en"", ""lo"")"),"ການປົກຫຸ້ມຂອງຟັງ")</f>
        <v>ການປົກຫຸ້ມຂອງຟັງ</v>
      </c>
      <c r="AM61" s="3" t="str">
        <f>IFERROR(__xludf.DUMMYFUNCTION("GoogleTranslate(C61, ""en"", ""lv"")"),"Mākoņu sega")</f>
        <v>Mākoņu sega</v>
      </c>
      <c r="AN61" s="3" t="str">
        <f>IFERROR(__xludf.DUMMYFUNCTION("GoogleTranslate(C61, ""en"", ""lt"")"),"Debesų danga")</f>
        <v>Debesų danga</v>
      </c>
      <c r="AO61" s="3" t="str">
        <f>IFERROR(__xludf.DUMMYFUNCTION("GoogleTranslate(C61, ""en"", ""mk"")"),"Облачна покривка")</f>
        <v>Облачна покривка</v>
      </c>
      <c r="AP61" s="3" t="str">
        <f>IFERROR(__xludf.DUMMYFUNCTION("GoogleTranslate(C61, ""en"", ""ms"")"),"Penutup awan")</f>
        <v>Penutup awan</v>
      </c>
      <c r="AQ61" s="3" t="str">
        <f>IFERROR(__xludf.DUMMYFUNCTION("GoogleTranslate(C61, ""en"", ""ml"")"),"മേഘ കവർ")</f>
        <v>മേഘ കവർ</v>
      </c>
      <c r="AR61" s="3" t="str">
        <f>IFERROR(__xludf.DUMMYFUNCTION("GoogleTranslate(C61, ""en"", ""mr"")"),"ढगांचे आच्छादन")</f>
        <v>ढगांचे आच्छादन</v>
      </c>
      <c r="AS61" s="3" t="str">
        <f>IFERROR(__xludf.DUMMYFUNCTION("GoogleTranslate(C61, ""en"", ""mn"")"),"Үүл бүрхэвч")</f>
        <v>Үүл бүрхэвч</v>
      </c>
      <c r="AT61" s="3" t="str">
        <f>IFERROR(__xludf.DUMMYFUNCTION("GoogleTranslate(C61, ""en"", ""ne"")"),"बादलको आवरण")</f>
        <v>बादलको आवरण</v>
      </c>
      <c r="AU61" s="3" t="str">
        <f>IFERROR(__xludf.DUMMYFUNCTION("GoogleTranslate(C61, ""en"", ""nb"")"),"Skydekke")</f>
        <v>Skydekke</v>
      </c>
      <c r="AV61" s="3" t="str">
        <f>IFERROR(__xludf.DUMMYFUNCTION("GoogleTranslate(C61, ""en"", ""fa"")"),"پوشش ابری")</f>
        <v>پوشش ابری</v>
      </c>
      <c r="AW61" s="3" t="str">
        <f>IFERROR(__xludf.DUMMYFUNCTION("GoogleTranslate(C61, ""en"", ""pl"")"),"Pokrycie chmur")</f>
        <v>Pokrycie chmur</v>
      </c>
      <c r="AX61" s="3" t="str">
        <f>IFERROR(__xludf.DUMMYFUNCTION("GoogleTranslate(C61, ""en"", ""pt"")"),"Cobertura de nuvens")</f>
        <v>Cobertura de nuvens</v>
      </c>
      <c r="AY61" s="3" t="str">
        <f>IFERROR(__xludf.DUMMYFUNCTION("GoogleTranslate(C61, ""en"", ""ro"")"),"Acoperire cu nori")</f>
        <v>Acoperire cu nori</v>
      </c>
      <c r="AZ61" s="3" t="str">
        <f>IFERROR(__xludf.DUMMYFUNCTION("GoogleTranslate(C61, ""en"", ""ru"")"),"Облачность")</f>
        <v>Облачность</v>
      </c>
      <c r="BA61" s="3" t="str">
        <f>IFERROR(__xludf.DUMMYFUNCTION("GoogleTranslate(C61, ""en"", ""sr"")"),"Облачност")</f>
        <v>Облачност</v>
      </c>
      <c r="BB61" s="3" t="str">
        <f>IFERROR(__xludf.DUMMYFUNCTION("GoogleTranslate(C61, ""en"", ""si"")"),"වලාකුළු ආවරණය")</f>
        <v>වලාකුළු ආවරණය</v>
      </c>
      <c r="BC61" s="3" t="str">
        <f>IFERROR(__xludf.DUMMYFUNCTION("GoogleTranslate(C61, ""en"", ""sk"")"),"Oblačnosť")</f>
        <v>Oblačnosť</v>
      </c>
      <c r="BD61" s="3" t="str">
        <f>IFERROR(__xludf.DUMMYFUNCTION("GoogleTranslate(C61, ""en"", ""sl"")"),"Oblačnost")</f>
        <v>Oblačnost</v>
      </c>
      <c r="BE61" s="3" t="str">
        <f>IFERROR(__xludf.DUMMYFUNCTION("GoogleTranslate(C61, ""en"", ""es"")"),"Cubierta de nubes")</f>
        <v>Cubierta de nubes</v>
      </c>
      <c r="BF61" s="3" t="str">
        <f>IFERROR(__xludf.DUMMYFUNCTION("GoogleTranslate(C61, ""en"", ""sw"")"),"Jalada la wingu")</f>
        <v>Jalada la wingu</v>
      </c>
      <c r="BG61" s="3" t="str">
        <f>IFERROR(__xludf.DUMMYFUNCTION("GoogleTranslate(C61, ""en"", ""sv"")"),"Molntäcke")</f>
        <v>Molntäcke</v>
      </c>
      <c r="BH61" s="3" t="str">
        <f>IFERROR(__xludf.DUMMYFUNCTION("GoogleTranslate(C61, ""en"", ""te"")"),"క్లౌడ్ కవర్")</f>
        <v>క్లౌడ్ కవర్</v>
      </c>
      <c r="BI61" s="3" t="str">
        <f>IFERROR(__xludf.DUMMYFUNCTION("GoogleTranslate(C61, ""en"", ""th"")"),"เมฆปกคลุม")</f>
        <v>เมฆปกคลุม</v>
      </c>
      <c r="BJ61" s="3" t="str">
        <f>IFERROR(__xludf.DUMMYFUNCTION("GoogleTranslate(C61, ""en"", ""tr"")"),"Bulut örtüsü")</f>
        <v>Bulut örtüsü</v>
      </c>
      <c r="BK61" s="3" t="str">
        <f>IFERROR(__xludf.DUMMYFUNCTION("GoogleTranslate(C61, ""en"", ""uk"")"),"Хмарність")</f>
        <v>Хмарність</v>
      </c>
      <c r="BL61" s="3" t="str">
        <f>IFERROR(__xludf.DUMMYFUNCTION("GoogleTranslate(C61, ""en"", ""zu"")"),"Ikhava yefu")</f>
        <v>Ikhava yefu</v>
      </c>
    </row>
    <row r="62">
      <c r="A62" s="1" t="str">
        <f t="shared" si="1"/>
        <v>Pressure</v>
      </c>
      <c r="B62" s="4" t="s">
        <v>109</v>
      </c>
      <c r="C62" s="1" t="str">
        <f t="shared" si="2"/>
        <v>Pressure</v>
      </c>
      <c r="D62" s="3" t="str">
        <f>IFERROR(__xludf.DUMMYFUNCTION("GoogleTranslate(C62, ""en"", ""es"")"),"Presión")</f>
        <v>Presión</v>
      </c>
      <c r="E62" s="3" t="str">
        <f>IFERROR(__xludf.DUMMYFUNCTION("GoogleTranslate(C62, ""en"", ""ar"")"),"ضغط")</f>
        <v>ضغط</v>
      </c>
      <c r="F62" s="3" t="str">
        <f>IFERROR(__xludf.DUMMYFUNCTION("GoogleTranslate(C62, ""en"", ""hy"")"),"Ճնշում")</f>
        <v>Ճնշում</v>
      </c>
      <c r="G62" s="3" t="str">
        <f>IFERROR(__xludf.DUMMYFUNCTION("GoogleTranslate(C62, ""en"", ""vi"")"),"Áp lực")</f>
        <v>Áp lực</v>
      </c>
      <c r="H62" s="3" t="str">
        <f>IFERROR(__xludf.DUMMYFUNCTION("GoogleTranslate(C62, ""en"", ""az"")"),"Təzyiq")</f>
        <v>Təzyiq</v>
      </c>
      <c r="I62" s="3" t="str">
        <f>IFERROR(__xludf.DUMMYFUNCTION("GoogleTranslate(C62, ""en"", ""eu"")"),"Presioa")</f>
        <v>Presioa</v>
      </c>
      <c r="J62" s="3" t="str">
        <f>IFERROR(__xludf.DUMMYFUNCTION("GoogleTranslate(C62, ""en"", ""be"")"),"Ціск")</f>
        <v>Ціск</v>
      </c>
      <c r="K62" s="3" t="str">
        <f>IFERROR(__xludf.DUMMYFUNCTION("GoogleTranslate(C62, ""en"", ""bn"")"),"চাপ")</f>
        <v>চাপ</v>
      </c>
      <c r="L62" s="3" t="str">
        <f>IFERROR(__xludf.DUMMYFUNCTION("GoogleTranslate(C62, ""en"", ""bg"")"),"налягане")</f>
        <v>налягане</v>
      </c>
      <c r="M62" s="3" t="str">
        <f>IFERROR(__xludf.DUMMYFUNCTION("GoogleTranslate(C62, ""en"", ""my"")"),"ဖိအား")</f>
        <v>ဖိအား</v>
      </c>
      <c r="N62" s="3" t="str">
        <f>IFERROR(__xludf.DUMMYFUNCTION("GoogleTranslate(C62, ""en"", ""ca"")"),"Pressió")</f>
        <v>Pressió</v>
      </c>
      <c r="O62" s="3" t="str">
        <f>IFERROR(__xludf.DUMMYFUNCTION("GoogleTranslate(C62, ""en"", ""zh-cn"")"),"压力")</f>
        <v>压力</v>
      </c>
      <c r="P62" s="3" t="str">
        <f>IFERROR(__xludf.DUMMYFUNCTION("GoogleTranslate(C62, ""en"", ""zh-TW"")"),"壓力")</f>
        <v>壓力</v>
      </c>
      <c r="Q62" s="3" t="str">
        <f>IFERROR(__xludf.DUMMYFUNCTION("GoogleTranslate(C62, ""en"", ""hr"")"),"Pritisak")</f>
        <v>Pritisak</v>
      </c>
      <c r="R62" s="3" t="str">
        <f>IFERROR(__xludf.DUMMYFUNCTION("GoogleTranslate(C62, ""en"", ""cs"")"),"Tlak")</f>
        <v>Tlak</v>
      </c>
      <c r="S62" s="3" t="str">
        <f>IFERROR(__xludf.DUMMYFUNCTION("GoogleTranslate(C62, ""en"", ""da"")"),"Tryk")</f>
        <v>Tryk</v>
      </c>
      <c r="T62" s="3" t="str">
        <f>IFERROR(__xludf.DUMMYFUNCTION("GoogleTranslate(C62, ""en"", ""nl"")"),"Druk")</f>
        <v>Druk</v>
      </c>
      <c r="U62" s="3" t="str">
        <f>IFERROR(__xludf.DUMMYFUNCTION("GoogleTranslate(C62, ""en"", ""et"")"),"Surve")</f>
        <v>Surve</v>
      </c>
      <c r="V62" s="1" t="str">
        <f t="shared" si="3"/>
        <v>Pressure</v>
      </c>
      <c r="W62" s="3" t="str">
        <f>IFERROR(__xludf.DUMMYFUNCTION("GoogleTranslate(C62, ""en"", ""fi"")"),"Paine")</f>
        <v>Paine</v>
      </c>
      <c r="X62" s="3" t="str">
        <f>IFERROR(__xludf.DUMMYFUNCTION("GoogleTranslate(C62, ""en"", ""fr"")"),"Pression")</f>
        <v>Pression</v>
      </c>
      <c r="Y62" s="3" t="str">
        <f>IFERROR(__xludf.DUMMYFUNCTION("GoogleTranslate(C62, ""en"", ""de"")"),"Druck")</f>
        <v>Druck</v>
      </c>
      <c r="Z62" s="3" t="str">
        <f>IFERROR(__xludf.DUMMYFUNCTION("GoogleTranslate(C62, ""en"", ""el"")"),"Πίεση")</f>
        <v>Πίεση</v>
      </c>
      <c r="AA62" s="3" t="str">
        <f>IFERROR(__xludf.DUMMYFUNCTION("GoogleTranslate(C62, ""en"", ""iw"")"),"לַחַץ")</f>
        <v>לַחַץ</v>
      </c>
      <c r="AB62" s="3" t="str">
        <f>IFERROR(__xludf.DUMMYFUNCTION("GoogleTranslate(C62, ""en"", ""hi"")"),"दबाव")</f>
        <v>दबाव</v>
      </c>
      <c r="AC62" s="3" t="str">
        <f>IFERROR(__xludf.DUMMYFUNCTION("GoogleTranslate(C62, ""en"", ""hu"")"),"Nyomás")</f>
        <v>Nyomás</v>
      </c>
      <c r="AD62" s="3" t="str">
        <f>IFERROR(__xludf.DUMMYFUNCTION("GoogleTranslate(C62, ""en"", ""is"")"),"Þrýstingur")</f>
        <v>Þrýstingur</v>
      </c>
      <c r="AE62" s="3" t="str">
        <f>IFERROR(__xludf.DUMMYFUNCTION("GoogleTranslate(C62, ""en"", ""id"")"),"Tekanan")</f>
        <v>Tekanan</v>
      </c>
      <c r="AF62" s="3" t="str">
        <f>IFERROR(__xludf.DUMMYFUNCTION("GoogleTranslate(C62, ""en"", ""in"")"),"Tekanan")</f>
        <v>Tekanan</v>
      </c>
      <c r="AG62" s="3" t="str">
        <f>IFERROR(__xludf.DUMMYFUNCTION("GoogleTranslate(C62, ""en"", ""it"")"),"Pressione")</f>
        <v>Pressione</v>
      </c>
      <c r="AH62" s="3" t="str">
        <f>IFERROR(__xludf.DUMMYFUNCTION("GoogleTranslate(C62, ""en"", ""ja"")"),"プレッシャー")</f>
        <v>プレッシャー</v>
      </c>
      <c r="AI62" s="3" t="str">
        <f>IFERROR(__xludf.DUMMYFUNCTION("GoogleTranslate(C62, ""en"", ""kn"")"),"ಒತ್ತಡ")</f>
        <v>ಒತ್ತಡ</v>
      </c>
      <c r="AJ62" s="3" t="str">
        <f>IFERROR(__xludf.DUMMYFUNCTION("GoogleTranslate(C62, ""en"", ""km"")"),"សម្ពាធ")</f>
        <v>សម្ពាធ</v>
      </c>
      <c r="AK62" s="3" t="str">
        <f>IFERROR(__xludf.DUMMYFUNCTION("GoogleTranslate(C62, ""en"", ""ko"")"),"압력")</f>
        <v>압력</v>
      </c>
      <c r="AL62" s="3" t="str">
        <f>IFERROR(__xludf.DUMMYFUNCTION("GoogleTranslate(C62, ""en"", ""lo"")"),"ຄວາມກົດດັນ")</f>
        <v>ຄວາມກົດດັນ</v>
      </c>
      <c r="AM62" s="3" t="str">
        <f>IFERROR(__xludf.DUMMYFUNCTION("GoogleTranslate(C62, ""en"", ""lv"")"),"Spiediens")</f>
        <v>Spiediens</v>
      </c>
      <c r="AN62" s="3" t="str">
        <f>IFERROR(__xludf.DUMMYFUNCTION("GoogleTranslate(C62, ""en"", ""lt"")"),"Slėgis")</f>
        <v>Slėgis</v>
      </c>
      <c r="AO62" s="3" t="str">
        <f>IFERROR(__xludf.DUMMYFUNCTION("GoogleTranslate(C62, ""en"", ""mk"")"),"Притисок")</f>
        <v>Притисок</v>
      </c>
      <c r="AP62" s="3" t="str">
        <f>IFERROR(__xludf.DUMMYFUNCTION("GoogleTranslate(C62, ""en"", ""ms"")"),"Tekanan")</f>
        <v>Tekanan</v>
      </c>
      <c r="AQ62" s="3" t="str">
        <f>IFERROR(__xludf.DUMMYFUNCTION("GoogleTranslate(C62, ""en"", ""ml"")"),"സമ്മർദ്ദം")</f>
        <v>സമ്മർദ്ദം</v>
      </c>
      <c r="AR62" s="3" t="str">
        <f>IFERROR(__xludf.DUMMYFUNCTION("GoogleTranslate(C62, ""en"", ""mr"")"),"दाब")</f>
        <v>दाब</v>
      </c>
      <c r="AS62" s="3" t="str">
        <f>IFERROR(__xludf.DUMMYFUNCTION("GoogleTranslate(C62, ""en"", ""mn"")"),"Даралт")</f>
        <v>Даралт</v>
      </c>
      <c r="AT62" s="3" t="str">
        <f>IFERROR(__xludf.DUMMYFUNCTION("GoogleTranslate(C62, ""en"", ""ne"")"),"दबाब")</f>
        <v>दबाब</v>
      </c>
      <c r="AU62" s="3" t="str">
        <f>IFERROR(__xludf.DUMMYFUNCTION("GoogleTranslate(C62, ""en"", ""nb"")"),"Trykk")</f>
        <v>Trykk</v>
      </c>
      <c r="AV62" s="3" t="str">
        <f>IFERROR(__xludf.DUMMYFUNCTION("GoogleTranslate(C62, ""en"", ""fa"")"),"فشار")</f>
        <v>فشار</v>
      </c>
      <c r="AW62" s="3" t="str">
        <f>IFERROR(__xludf.DUMMYFUNCTION("GoogleTranslate(C62, ""en"", ""pl"")"),"Ciśnienie")</f>
        <v>Ciśnienie</v>
      </c>
      <c r="AX62" s="3" t="str">
        <f>IFERROR(__xludf.DUMMYFUNCTION("GoogleTranslate(C62, ""en"", ""pt"")"),"Pressão")</f>
        <v>Pressão</v>
      </c>
      <c r="AY62" s="3" t="str">
        <f>IFERROR(__xludf.DUMMYFUNCTION("GoogleTranslate(C62, ""en"", ""ro"")"),"Presiune")</f>
        <v>Presiune</v>
      </c>
      <c r="AZ62" s="3" t="str">
        <f>IFERROR(__xludf.DUMMYFUNCTION("GoogleTranslate(C62, ""en"", ""ru"")"),"Давление")</f>
        <v>Давление</v>
      </c>
      <c r="BA62" s="3" t="str">
        <f>IFERROR(__xludf.DUMMYFUNCTION("GoogleTranslate(C62, ""en"", ""sr"")"),"Притисак")</f>
        <v>Притисак</v>
      </c>
      <c r="BB62" s="3" t="str">
        <f>IFERROR(__xludf.DUMMYFUNCTION("GoogleTranslate(C62, ""en"", ""si"")"),"පීඩනය")</f>
        <v>පීඩනය</v>
      </c>
      <c r="BC62" s="3" t="str">
        <f>IFERROR(__xludf.DUMMYFUNCTION("GoogleTranslate(C62, ""en"", ""sk"")"),"Tlak")</f>
        <v>Tlak</v>
      </c>
      <c r="BD62" s="3" t="str">
        <f>IFERROR(__xludf.DUMMYFUNCTION("GoogleTranslate(C62, ""en"", ""sl"")"),"Pritisk")</f>
        <v>Pritisk</v>
      </c>
      <c r="BE62" s="3" t="str">
        <f>IFERROR(__xludf.DUMMYFUNCTION("GoogleTranslate(C62, ""en"", ""es"")"),"Presión")</f>
        <v>Presión</v>
      </c>
      <c r="BF62" s="3" t="str">
        <f>IFERROR(__xludf.DUMMYFUNCTION("GoogleTranslate(C62, ""en"", ""sw"")"),"Shinikizo")</f>
        <v>Shinikizo</v>
      </c>
      <c r="BG62" s="3" t="str">
        <f>IFERROR(__xludf.DUMMYFUNCTION("GoogleTranslate(C62, ""en"", ""sv"")"),"Tryck")</f>
        <v>Tryck</v>
      </c>
      <c r="BH62" s="3" t="str">
        <f>IFERROR(__xludf.DUMMYFUNCTION("GoogleTranslate(C62, ""en"", ""te"")"),"ఒత్తిడి")</f>
        <v>ఒత్తిడి</v>
      </c>
      <c r="BI62" s="3" t="str">
        <f>IFERROR(__xludf.DUMMYFUNCTION("GoogleTranslate(C62, ""en"", ""th"")"),"ความดัน")</f>
        <v>ความดัน</v>
      </c>
      <c r="BJ62" s="3" t="str">
        <f>IFERROR(__xludf.DUMMYFUNCTION("GoogleTranslate(C62, ""en"", ""tr"")"),"Basınç")</f>
        <v>Basınç</v>
      </c>
      <c r="BK62" s="3" t="str">
        <f>IFERROR(__xludf.DUMMYFUNCTION("GoogleTranslate(C62, ""en"", ""uk"")"),"Тиск")</f>
        <v>Тиск</v>
      </c>
      <c r="BL62" s="3" t="str">
        <f>IFERROR(__xludf.DUMMYFUNCTION("GoogleTranslate(C62, ""en"", ""zu"")"),"Ingcindezi")</f>
        <v>Ingcindezi</v>
      </c>
    </row>
    <row r="63">
      <c r="A63" s="1" t="str">
        <f t="shared" si="1"/>
        <v>Moonphase</v>
      </c>
      <c r="B63" s="4" t="s">
        <v>123</v>
      </c>
      <c r="C63" s="1" t="str">
        <f t="shared" si="2"/>
        <v>Moonphase</v>
      </c>
      <c r="D63" s="3" t="str">
        <f>IFERROR(__xludf.DUMMYFUNCTION("GoogleTranslate(C63, ""en"", ""es"")"),"fase lunar")</f>
        <v>fase lunar</v>
      </c>
      <c r="E63" s="3" t="str">
        <f>IFERROR(__xludf.DUMMYFUNCTION("GoogleTranslate(C63, ""en"", ""ar"")"),"طور القمر")</f>
        <v>طور القمر</v>
      </c>
      <c r="F63" s="3" t="str">
        <f>IFERROR(__xludf.DUMMYFUNCTION("GoogleTranslate(C63, ""en"", ""hy"")"),"Լուսնի փուլ")</f>
        <v>Լուսնի փուլ</v>
      </c>
      <c r="G63" s="3" t="str">
        <f>IFERROR(__xludf.DUMMYFUNCTION("GoogleTranslate(C63, ""en"", ""vi"")"),"Tuần trăng")</f>
        <v>Tuần trăng</v>
      </c>
      <c r="H63" s="3" t="str">
        <f>IFERROR(__xludf.DUMMYFUNCTION("GoogleTranslate(C63, ""en"", ""az"")"),"Ay fazası")</f>
        <v>Ay fazası</v>
      </c>
      <c r="I63" s="3" t="str">
        <f>IFERROR(__xludf.DUMMYFUNCTION("GoogleTranslate(C63, ""en"", ""eu"")"),"Ilargi-fasea")</f>
        <v>Ilargi-fasea</v>
      </c>
      <c r="J63" s="3" t="str">
        <f>IFERROR(__xludf.DUMMYFUNCTION("GoogleTranslate(C63, ""en"", ""be"")"),"Фаза месяца")</f>
        <v>Фаза месяца</v>
      </c>
      <c r="K63" s="3" t="str">
        <f>IFERROR(__xludf.DUMMYFUNCTION("GoogleTranslate(C63, ""en"", ""bn"")"),"মুনফেজ")</f>
        <v>মুনফেজ</v>
      </c>
      <c r="L63" s="3" t="str">
        <f>IFERROR(__xludf.DUMMYFUNCTION("GoogleTranslate(C63, ""en"", ""bg"")"),"Лунна фаза")</f>
        <v>Лунна фаза</v>
      </c>
      <c r="M63" s="3" t="str">
        <f>IFERROR(__xludf.DUMMYFUNCTION("GoogleTranslate(C63, ""en"", ""my"")"),"Moonphase")</f>
        <v>Moonphase</v>
      </c>
      <c r="N63" s="3" t="str">
        <f>IFERROR(__xludf.DUMMYFUNCTION("GoogleTranslate(C63, ""en"", ""ca"")"),"Fase de lluna")</f>
        <v>Fase de lluna</v>
      </c>
      <c r="O63" s="3" t="str">
        <f>IFERROR(__xludf.DUMMYFUNCTION("GoogleTranslate(C63, ""en"", ""zh-cn"")"),"月相")</f>
        <v>月相</v>
      </c>
      <c r="P63" s="3" t="str">
        <f>IFERROR(__xludf.DUMMYFUNCTION("GoogleTranslate(C63, ""en"", ""zh-TW"")"),"月相")</f>
        <v>月相</v>
      </c>
      <c r="Q63" s="3" t="str">
        <f>IFERROR(__xludf.DUMMYFUNCTION("GoogleTranslate(C63, ""en"", ""hr"")"),"Mjesečeva faza")</f>
        <v>Mjesečeva faza</v>
      </c>
      <c r="R63" s="3" t="str">
        <f>IFERROR(__xludf.DUMMYFUNCTION("GoogleTranslate(C63, ""en"", ""cs"")"),"Měsíční fáze")</f>
        <v>Měsíční fáze</v>
      </c>
      <c r="S63" s="3" t="str">
        <f>IFERROR(__xludf.DUMMYFUNCTION("GoogleTranslate(C63, ""en"", ""da"")"),"Månefase")</f>
        <v>Månefase</v>
      </c>
      <c r="T63" s="3" t="str">
        <f>IFERROR(__xludf.DUMMYFUNCTION("GoogleTranslate(C63, ""en"", ""nl"")"),"Maanfase")</f>
        <v>Maanfase</v>
      </c>
      <c r="U63" s="3" t="str">
        <f>IFERROR(__xludf.DUMMYFUNCTION("GoogleTranslate(C63, ""en"", ""et"")"),"Kuufaas")</f>
        <v>Kuufaas</v>
      </c>
      <c r="V63" s="1" t="str">
        <f t="shared" si="3"/>
        <v>Moonphase</v>
      </c>
      <c r="W63" s="3" t="str">
        <f>IFERROR(__xludf.DUMMYFUNCTION("GoogleTranslate(C63, ""en"", ""fi"")"),"Kuun vaihe")</f>
        <v>Kuun vaihe</v>
      </c>
      <c r="X63" s="3" t="str">
        <f>IFERROR(__xludf.DUMMYFUNCTION("GoogleTranslate(C63, ""en"", ""fr"")"),"Phase de lune")</f>
        <v>Phase de lune</v>
      </c>
      <c r="Y63" s="3" t="str">
        <f>IFERROR(__xludf.DUMMYFUNCTION("GoogleTranslate(C63, ""en"", ""de"")"),"Mondphase")</f>
        <v>Mondphase</v>
      </c>
      <c r="Z63" s="3" t="str">
        <f>IFERROR(__xludf.DUMMYFUNCTION("GoogleTranslate(C63, ""en"", ""el"")"),"Φάση Σελήνης")</f>
        <v>Φάση Σελήνης</v>
      </c>
      <c r="AA63" s="3" t="str">
        <f>IFERROR(__xludf.DUMMYFUNCTION("GoogleTranslate(C63, ""en"", ""iw"")"),"שלב הירח")</f>
        <v>שלב הירח</v>
      </c>
      <c r="AB63" s="3" t="str">
        <f>IFERROR(__xludf.DUMMYFUNCTION("GoogleTranslate(C63, ""en"", ""hi"")"),"चंद्र कला")</f>
        <v>चंद्र कला</v>
      </c>
      <c r="AC63" s="3" t="str">
        <f>IFERROR(__xludf.DUMMYFUNCTION("GoogleTranslate(C63, ""en"", ""hu"")"),"Holdfázis")</f>
        <v>Holdfázis</v>
      </c>
      <c r="AD63" s="3" t="str">
        <f>IFERROR(__xludf.DUMMYFUNCTION("GoogleTranslate(C63, ""en"", ""is"")"),"Tunglfasi")</f>
        <v>Tunglfasi</v>
      </c>
      <c r="AE63" s="3" t="str">
        <f>IFERROR(__xludf.DUMMYFUNCTION("GoogleTranslate(C63, ""en"", ""id"")"),"Fase bulan")</f>
        <v>Fase bulan</v>
      </c>
      <c r="AF63" s="3" t="str">
        <f>IFERROR(__xludf.DUMMYFUNCTION("GoogleTranslate(C63, ""en"", ""in"")"),"Fase bulan")</f>
        <v>Fase bulan</v>
      </c>
      <c r="AG63" s="3" t="str">
        <f>IFERROR(__xludf.DUMMYFUNCTION("GoogleTranslate(C63, ""en"", ""it"")"),"Fase lunare")</f>
        <v>Fase lunare</v>
      </c>
      <c r="AH63" s="3" t="str">
        <f>IFERROR(__xludf.DUMMYFUNCTION("GoogleTranslate(C63, ""en"", ""ja"")"),"ムーンフェイズ")</f>
        <v>ムーンフェイズ</v>
      </c>
      <c r="AI63" s="3" t="str">
        <f>IFERROR(__xludf.DUMMYFUNCTION("GoogleTranslate(C63, ""en"", ""kn"")"),"ಮೂನ್ಫೇಸ್")</f>
        <v>ಮೂನ್ಫೇಸ್</v>
      </c>
      <c r="AJ63" s="3" t="str">
        <f>IFERROR(__xludf.DUMMYFUNCTION("GoogleTranslate(C63, ""en"", ""km"")"),"ដំណាក់កាលព្រះច័ន្ទ")</f>
        <v>ដំណាក់កាលព្រះច័ន្ទ</v>
      </c>
      <c r="AK63" s="3" t="str">
        <f>IFERROR(__xludf.DUMMYFUNCTION("GoogleTranslate(C63, ""en"", ""ko"")"),"문페이즈")</f>
        <v>문페이즈</v>
      </c>
      <c r="AL63" s="3" t="str">
        <f>IFERROR(__xludf.DUMMYFUNCTION("GoogleTranslate(C63, ""en"", ""lo"")"),"ໄລຍະເດືອນ")</f>
        <v>ໄລຍະເດືອນ</v>
      </c>
      <c r="AM63" s="3" t="str">
        <f>IFERROR(__xludf.DUMMYFUNCTION("GoogleTranslate(C63, ""en"", ""lv"")"),"Mēness fāze")</f>
        <v>Mēness fāze</v>
      </c>
      <c r="AN63" s="3" t="str">
        <f>IFERROR(__xludf.DUMMYFUNCTION("GoogleTranslate(C63, ""en"", ""lt"")"),"Mėnulio fazė")</f>
        <v>Mėnulio fazė</v>
      </c>
      <c r="AO63" s="3" t="str">
        <f>IFERROR(__xludf.DUMMYFUNCTION("GoogleTranslate(C63, ""en"", ""mk"")"),"Месечева фаза")</f>
        <v>Месечева фаза</v>
      </c>
      <c r="AP63" s="3" t="str">
        <f>IFERROR(__xludf.DUMMYFUNCTION("GoogleTranslate(C63, ""en"", ""ms"")"),"Fasa bulan")</f>
        <v>Fasa bulan</v>
      </c>
      <c r="AQ63" s="3" t="str">
        <f>IFERROR(__xludf.DUMMYFUNCTION("GoogleTranslate(C63, ""en"", ""ml"")"),"ചന്ദ്രഘട്ടം")</f>
        <v>ചന്ദ്രഘട്ടം</v>
      </c>
      <c r="AR63" s="3" t="str">
        <f>IFERROR(__xludf.DUMMYFUNCTION("GoogleTranslate(C63, ""en"", ""mr"")"),"मूनफेस")</f>
        <v>मूनफेस</v>
      </c>
      <c r="AS63" s="3" t="str">
        <f>IFERROR(__xludf.DUMMYFUNCTION("GoogleTranslate(C63, ""en"", ""mn"")"),"Сарны үе шат")</f>
        <v>Сарны үе шат</v>
      </c>
      <c r="AT63" s="3" t="str">
        <f>IFERROR(__xludf.DUMMYFUNCTION("GoogleTranslate(C63, ""en"", ""ne"")"),"मूनफेज")</f>
        <v>मूनफेज</v>
      </c>
      <c r="AU63" s="3" t="str">
        <f>IFERROR(__xludf.DUMMYFUNCTION("GoogleTranslate(C63, ""en"", ""nb"")"),"Månefase")</f>
        <v>Månefase</v>
      </c>
      <c r="AV63" s="3" t="str">
        <f>IFERROR(__xludf.DUMMYFUNCTION("GoogleTranslate(C63, ""en"", ""fa"")"),"فاز ماه")</f>
        <v>فاز ماه</v>
      </c>
      <c r="AW63" s="3" t="str">
        <f>IFERROR(__xludf.DUMMYFUNCTION("GoogleTranslate(C63, ""en"", ""pl"")"),"Faza księżyca")</f>
        <v>Faza księżyca</v>
      </c>
      <c r="AX63" s="3" t="str">
        <f>IFERROR(__xludf.DUMMYFUNCTION("GoogleTranslate(C63, ""en"", ""pt"")"),"Fase da lua")</f>
        <v>Fase da lua</v>
      </c>
      <c r="AY63" s="3" t="str">
        <f>IFERROR(__xludf.DUMMYFUNCTION("GoogleTranslate(C63, ""en"", ""ro"")"),"Faza lunii")</f>
        <v>Faza lunii</v>
      </c>
      <c r="AZ63" s="3" t="str">
        <f>IFERROR(__xludf.DUMMYFUNCTION("GoogleTranslate(C63, ""en"", ""ru"")"),"Фаза Луны")</f>
        <v>Фаза Луны</v>
      </c>
      <c r="BA63" s="3" t="str">
        <f>IFERROR(__xludf.DUMMYFUNCTION("GoogleTranslate(C63, ""en"", ""sr"")"),"Моонпхасе")</f>
        <v>Моонпхасе</v>
      </c>
      <c r="BB63" s="3" t="str">
        <f>IFERROR(__xludf.DUMMYFUNCTION("GoogleTranslate(C63, ""en"", ""si"")"),"සඳකඩපහණ")</f>
        <v>සඳකඩපහණ</v>
      </c>
      <c r="BC63" s="3" t="str">
        <f>IFERROR(__xludf.DUMMYFUNCTION("GoogleTranslate(C63, ""en"", ""sk"")"),"Mesačná fáza")</f>
        <v>Mesačná fáza</v>
      </c>
      <c r="BD63" s="3" t="str">
        <f>IFERROR(__xludf.DUMMYFUNCTION("GoogleTranslate(C63, ""en"", ""sl"")"),"Lunina faza")</f>
        <v>Lunina faza</v>
      </c>
      <c r="BE63" s="3" t="str">
        <f>IFERROR(__xludf.DUMMYFUNCTION("GoogleTranslate(C63, ""en"", ""es"")"),"fase lunar")</f>
        <v>fase lunar</v>
      </c>
      <c r="BF63" s="3" t="str">
        <f>IFERROR(__xludf.DUMMYFUNCTION("GoogleTranslate(C63, ""en"", ""sw"")"),"Moonphase")</f>
        <v>Moonphase</v>
      </c>
      <c r="BG63" s="3" t="str">
        <f>IFERROR(__xludf.DUMMYFUNCTION("GoogleTranslate(C63, ""en"", ""sv"")"),"Månfas")</f>
        <v>Månfas</v>
      </c>
      <c r="BH63" s="3" t="str">
        <f>IFERROR(__xludf.DUMMYFUNCTION("GoogleTranslate(C63, ""en"", ""te"")"),"చంద్రదశ")</f>
        <v>చంద్రదశ</v>
      </c>
      <c r="BI63" s="3" t="str">
        <f>IFERROR(__xludf.DUMMYFUNCTION("GoogleTranslate(C63, ""en"", ""th"")"),"ข้างขึ้นข้างแรม")</f>
        <v>ข้างขึ้นข้างแรม</v>
      </c>
      <c r="BJ63" s="3" t="str">
        <f>IFERROR(__xludf.DUMMYFUNCTION("GoogleTranslate(C63, ""en"", ""tr"")"),"Ay evresi")</f>
        <v>Ay evresi</v>
      </c>
      <c r="BK63" s="3" t="str">
        <f>IFERROR(__xludf.DUMMYFUNCTION("GoogleTranslate(C63, ""en"", ""uk"")"),"фаза місяця")</f>
        <v>фаза місяця</v>
      </c>
      <c r="BL63" s="3" t="str">
        <f>IFERROR(__xludf.DUMMYFUNCTION("GoogleTranslate(C63, ""en"", ""zu"")"),"I-Moonphase")</f>
        <v>I-Moonphase</v>
      </c>
    </row>
    <row r="64">
      <c r="A64" s="1" t="str">
        <f t="shared" si="1"/>
        <v>Temperature_and_chance_of_rain_in_{name}_in_the_next_30_days</v>
      </c>
      <c r="B64" s="4" t="s">
        <v>124</v>
      </c>
      <c r="C64" s="1" t="str">
        <f t="shared" si="2"/>
        <v>Temperature and chance of rain in {name} in the next 30 days</v>
      </c>
      <c r="D64" s="3" t="str">
        <f>IFERROR(__xludf.DUMMYFUNCTION("GoogleTranslate(C64, ""en"", ""es"")"),"Temperatura y probabilidad de lluvia en {nombre} en los próximos 30 días")</f>
        <v>Temperatura y probabilidad de lluvia en {nombre} en los próximos 30 días</v>
      </c>
      <c r="E64" s="3" t="str">
        <f>IFERROR(__xludf.DUMMYFUNCTION("GoogleTranslate(C64, ""en"", ""ar"")"),"درجة الحرارة وفرص هطول الأمطار في {الاسم} خلال الثلاثين يومًا القادمة")</f>
        <v>درجة الحرارة وفرص هطول الأمطار في {الاسم} خلال الثلاثين يومًا القادمة</v>
      </c>
      <c r="F64" s="3" t="str">
        <f>IFERROR(__xludf.DUMMYFUNCTION("GoogleTranslate(C64, ""en"", ""hy"")"),"Ջերմաստիճանը և անձրևի հավանականությունը {name}-ում առաջիկա 30 օրվա ընթացքում")</f>
        <v>Ջերմաստիճանը և անձրևի հավանականությունը {name}-ում առաջիկա 30 օրվա ընթացքում</v>
      </c>
      <c r="G64" s="3" t="str">
        <f>IFERROR(__xludf.DUMMYFUNCTION("GoogleTranslate(C64, ""en"", ""vi"")"),"Nhiệt độ và khả năng có mưa ở {name} trong 30 ngày tới")</f>
        <v>Nhiệt độ và khả năng có mưa ở {name} trong 30 ngày tới</v>
      </c>
      <c r="H64" s="3" t="str">
        <f>IFERROR(__xludf.DUMMYFUNCTION("GoogleTranslate(C64, ""en"", ""az"")"),"Növbəti 30 gündə {name} ərazisində temperatur və yağış ehtimalı")</f>
        <v>Növbəti 30 gündə {name} ərazisində temperatur və yağış ehtimalı</v>
      </c>
      <c r="I64" s="3" t="str">
        <f>IFERROR(__xludf.DUMMYFUNCTION("GoogleTranslate(C64, ""en"", ""eu"")"),"Tenperatura eta euria egiteko aukera {name}n hurrengo 30 egunetan")</f>
        <v>Tenperatura eta euria egiteko aukera {name}n hurrengo 30 egunetan</v>
      </c>
      <c r="J64" s="3" t="str">
        <f>IFERROR(__xludf.DUMMYFUNCTION("GoogleTranslate(C64, ""en"", ""be"")"),"Тэмпература і верагоднасць дажджу ў {name} у наступныя 30 дзён")</f>
        <v>Тэмпература і верагоднасць дажджу ў {name} у наступныя 30 дзён</v>
      </c>
      <c r="K64" s="3" t="str">
        <f>IFERROR(__xludf.DUMMYFUNCTION("GoogleTranslate(C64, ""en"", ""bn"")"),"আগামী ৩০ দিনের মধ্যে {name}-এ তাপমাত্রা এবং বৃষ্টির সম্ভাবনা")</f>
        <v>আগামী ৩০ দিনের মধ্যে {name}-এ তাপমাত্রা এবং বৃষ্টির সম্ভাবনা</v>
      </c>
      <c r="L64" s="3" t="str">
        <f>IFERROR(__xludf.DUMMYFUNCTION("GoogleTranslate(C64, ""en"", ""bg"")"),"Температура и вероятност за дъжд в {name} през следващите 30 дни")</f>
        <v>Температура и вероятност за дъжд в {name} през следващите 30 дни</v>
      </c>
      <c r="M64" s="3" t="str">
        <f>IFERROR(__xludf.DUMMYFUNCTION("GoogleTranslate(C64, ""en"", ""my"")"),"လာမည့် ရက် 30 အတွင်း {name} တွင် အပူချိန်နှင့် မိုးရွာနိုင်ခြေ")</f>
        <v>လာမည့် ရက် 30 အတွင်း {name} တွင် အပူချိန်နှင့် မိုးရွာနိုင်ခြေ</v>
      </c>
      <c r="N64" s="3" t="str">
        <f>IFERROR(__xludf.DUMMYFUNCTION("GoogleTranslate(C64, ""en"", ""ca"")"),"Temperatura i probabilitat de pluja a {name} durant els propers 30 dies")</f>
        <v>Temperatura i probabilitat de pluja a {name} durant els propers 30 dies</v>
      </c>
      <c r="O64" s="3" t="str">
        <f>IFERROR(__xludf.DUMMYFUNCTION("GoogleTranslate(C64, ""en"", ""zh-cn"")"),"未来 30 天内{name} 的气温和降雨概率")</f>
        <v>未来 30 天内{name} 的气温和降雨概率</v>
      </c>
      <c r="P64" s="3" t="str">
        <f>IFERROR(__xludf.DUMMYFUNCTION("GoogleTranslate(C64, ""en"", ""zh-TW"")"),"未來 30 天內{name} 的氣溫和降雨機率")</f>
        <v>未來 30 天內{name} 的氣溫和降雨機率</v>
      </c>
      <c r="Q64" s="3" t="str">
        <f>IFERROR(__xludf.DUMMYFUNCTION("GoogleTranslate(C64, ""en"", ""hr"")"),"Temperatura i mogućnost kiše u {name} u sljedećih 30 dana")</f>
        <v>Temperatura i mogućnost kiše u {name} u sljedećih 30 dana</v>
      </c>
      <c r="R64" s="3" t="str">
        <f>IFERROR(__xludf.DUMMYFUNCTION("GoogleTranslate(C64, ""en"", ""cs"")"),"Teplota a možnost deště v {name} v příštích 30 dnech")</f>
        <v>Teplota a možnost deště v {name} v příštích 30 dnech</v>
      </c>
      <c r="S64" s="3" t="str">
        <f>IFERROR(__xludf.DUMMYFUNCTION("GoogleTranslate(C64, ""en"", ""da"")"),"Temperatur og chance for regn i {name} i de næste 30 dage")</f>
        <v>Temperatur og chance for regn i {name} i de næste 30 dage</v>
      </c>
      <c r="T64" s="3" t="str">
        <f>IFERROR(__xludf.DUMMYFUNCTION("GoogleTranslate(C64, ""en"", ""nl"")"),"Temperatuur en kans op regen in {name} de komende 30 dagen")</f>
        <v>Temperatuur en kans op regen in {name} de komende 30 dagen</v>
      </c>
      <c r="U64" s="3" t="str">
        <f>IFERROR(__xludf.DUMMYFUNCTION("GoogleTranslate(C64, ""en"", ""et"")"),"Temperatuur ja vihma võimalus asukohas {name} järgmise 30 päeva jooksul")</f>
        <v>Temperatuur ja vihma võimalus asukohas {name} järgmise 30 päeva jooksul</v>
      </c>
      <c r="V64" s="1" t="str">
        <f t="shared" si="3"/>
        <v>Temperature and chance of rain in {name} in the next 30 days</v>
      </c>
      <c r="W64" s="3" t="str">
        <f>IFERROR(__xludf.DUMMYFUNCTION("GoogleTranslate(C64, ""en"", ""fi"")"),"Lämpötila ja sateen mahdollisuus paikassa {name} seuraavien 30 päivän aikana")</f>
        <v>Lämpötila ja sateen mahdollisuus paikassa {name} seuraavien 30 päivän aikana</v>
      </c>
      <c r="X64" s="3" t="str">
        <f>IFERROR(__xludf.DUMMYFUNCTION("GoogleTranslate(C64, ""en"", ""fr"")"),"Température et risque de pluie à {name} dans les 30 prochains jours")</f>
        <v>Température et risque de pluie à {name} dans les 30 prochains jours</v>
      </c>
      <c r="Y64" s="3" t="str">
        <f>IFERROR(__xludf.DUMMYFUNCTION("GoogleTranslate(C64, ""en"", ""de"")"),"Temperatur und Regenwahrscheinlichkeit in {name} in den nächsten 30 Tagen")</f>
        <v>Temperatur und Regenwahrscheinlichkeit in {name} in den nächsten 30 Tagen</v>
      </c>
      <c r="Z64" s="3" t="str">
        <f>IFERROR(__xludf.DUMMYFUNCTION("GoogleTranslate(C64, ""en"", ""el"")"),"Θερμοκρασία και πιθανότητα βροχής στο {name} τις επόμενες 30 ημέρες")</f>
        <v>Θερμοκρασία και πιθανότητα βροχής στο {name} τις επόμενες 30 ημέρες</v>
      </c>
      <c r="AA64" s="3" t="str">
        <f>IFERROR(__xludf.DUMMYFUNCTION("GoogleTranslate(C64, ""en"", ""iw"")"),"טמפרטורה וסיכוי לגשם ב-{name} ב-30 הימים הקרובים")</f>
        <v>טמפרטורה וסיכוי לגשם ב-{name} ב-30 הימים הקרובים</v>
      </c>
      <c r="AB64" s="3" t="str">
        <f>IFERROR(__xludf.DUMMYFUNCTION("GoogleTranslate(C64, ""en"", ""hi"")"),"अगले 30 दिनों में {नाम} में तापमान और बारिश की संभावना")</f>
        <v>अगले 30 दिनों में {नाम} में तापमान और बारिश की संभावना</v>
      </c>
      <c r="AC64" s="3" t="str">
        <f>IFERROR(__xludf.DUMMYFUNCTION("GoogleTranslate(C64, ""en"", ""hu"")"),"Hőmérséklet és eső valószínűsége itt: {name} a következő 30 napban")</f>
        <v>Hőmérséklet és eső valószínűsége itt: {name} a következő 30 napban</v>
      </c>
      <c r="AD64" s="3" t="str">
        <f>IFERROR(__xludf.DUMMYFUNCTION("GoogleTranslate(C64, ""en"", ""is"")"),"Hiti og líkur á rigningu í {name} næstu 30 daga")</f>
        <v>Hiti og líkur á rigningu í {name} næstu 30 daga</v>
      </c>
      <c r="AE64" s="3" t="str">
        <f>IFERROR(__xludf.DUMMYFUNCTION("GoogleTranslate(C64, ""en"", ""id"")"),"Suhu dan kemungkinan hujan di {name} dalam 30 hari ke depan")</f>
        <v>Suhu dan kemungkinan hujan di {name} dalam 30 hari ke depan</v>
      </c>
      <c r="AF64" s="3" t="str">
        <f>IFERROR(__xludf.DUMMYFUNCTION("GoogleTranslate(C64, ""en"", ""in"")"),"Suhu dan kemungkinan hujan di {name} dalam 30 hari ke depan")</f>
        <v>Suhu dan kemungkinan hujan di {name} dalam 30 hari ke depan</v>
      </c>
      <c r="AG64" s="3" t="str">
        <f>IFERROR(__xludf.DUMMYFUNCTION("GoogleTranslate(C64, ""en"", ""it"")"),"Temperatura e possibilità di pioggia a {name} nei prossimi 30 giorni")</f>
        <v>Temperatura e possibilità di pioggia a {name} nei prossimi 30 giorni</v>
      </c>
      <c r="AH64" s="3" t="str">
        <f>IFERROR(__xludf.DUMMYFUNCTION("GoogleTranslate(C64, ""en"", ""ja"")"),"今後 30 日間の {name} の気温と降水確率")</f>
        <v>今後 30 日間の {name} の気温と降水確率</v>
      </c>
      <c r="AI64" s="3" t="str">
        <f>IFERROR(__xludf.DUMMYFUNCTION("GoogleTranslate(C64, ""en"", ""kn"")"),"ಮುಂದಿನ 30 ದಿನಗಳಲ್ಲಿ {name} ನಲ್ಲಿ ತಾಪಮಾನ ಮತ್ತು ಮಳೆಯ ಸಾಧ್ಯತೆ")</f>
        <v>ಮುಂದಿನ 30 ದಿನಗಳಲ್ಲಿ {name} ನಲ್ಲಿ ತಾಪಮಾನ ಮತ್ತು ಮಳೆಯ ಸಾಧ್ಯತೆ</v>
      </c>
      <c r="AJ64" s="3" t="str">
        <f>IFERROR(__xludf.DUMMYFUNCTION("GoogleTranslate(C64, ""en"", ""km"")"),"សីតុណ្ហភាព និងឱកាសនៃភ្លៀងនៅក្នុង {name} ក្នុងរយៈពេល 30 ថ្ងៃបន្ទាប់")</f>
        <v>សីតុណ្ហភាព និងឱកាសនៃភ្លៀងនៅក្នុង {name} ក្នុងរយៈពេល 30 ថ្ងៃបន្ទាប់</v>
      </c>
      <c r="AK64" s="3" t="str">
        <f>IFERROR(__xludf.DUMMYFUNCTION("GoogleTranslate(C64, ""en"", ""ko"")"),"향후 30일 동안 {name}의 기온과 비가 올 확률")</f>
        <v>향후 30일 동안 {name}의 기온과 비가 올 확률</v>
      </c>
      <c r="AL64" s="3" t="str">
        <f>IFERROR(__xludf.DUMMYFUNCTION("GoogleTranslate(C64, ""en"", ""lo"")"),"ອຸນຫະພູມ ແລະໂອກາດທີ່ຈະມີຝົນຕົກໃນ {name} ໃນ 30 ມື້ຂ້າງໜ້າ")</f>
        <v>ອຸນຫະພູມ ແລະໂອກາດທີ່ຈະມີຝົນຕົກໃນ {name} ໃນ 30 ມື້ຂ້າງໜ້າ</v>
      </c>
      <c r="AM64" s="3" t="str">
        <f>IFERROR(__xludf.DUMMYFUNCTION("GoogleTranslate(C64, ""en"", ""lv"")"),"Temperatūra un lietus iespējamība šajā vietā: {name} nākamajās 30 dienās")</f>
        <v>Temperatūra un lietus iespējamība šajā vietā: {name} nākamajās 30 dienās</v>
      </c>
      <c r="AN64" s="3" t="str">
        <f>IFERROR(__xludf.DUMMYFUNCTION("GoogleTranslate(C64, ""en"", ""lt"")"),"Temperatūra ir lietaus tikimybė {name} per ateinančias 30 dienų")</f>
        <v>Temperatūra ir lietaus tikimybė {name} per ateinančias 30 dienų</v>
      </c>
      <c r="AO64" s="3" t="str">
        <f>IFERROR(__xludf.DUMMYFUNCTION("GoogleTranslate(C64, ""en"", ""mk"")"),"Температура и можност за дожд во {name} во следните 30 дена")</f>
        <v>Температура и можност за дожд во {name} во следните 30 дена</v>
      </c>
      <c r="AP64" s="3" t="str">
        <f>IFERROR(__xludf.DUMMYFUNCTION("GoogleTranslate(C64, ""en"", ""ms"")"),"Suhu dan kemungkinan hujan di {name} dalam masa 30 hari akan datang")</f>
        <v>Suhu dan kemungkinan hujan di {name} dalam masa 30 hari akan datang</v>
      </c>
      <c r="AQ64" s="3" t="str">
        <f>IFERROR(__xludf.DUMMYFUNCTION("GoogleTranslate(C64, ""en"", ""ml"")"),"അടുത്ത 30 ദിവസങ്ങളിൽ {name} എന്ന സ്ഥലത്ത് താപനിലയും മഴയ്ക്കുള്ള സാധ്യതയും")</f>
        <v>അടുത്ത 30 ദിവസങ്ങളിൽ {name} എന്ന സ്ഥലത്ത് താപനിലയും മഴയ്ക്കുള്ള സാധ്യതയും</v>
      </c>
      <c r="AR64" s="3" t="str">
        <f>IFERROR(__xludf.DUMMYFUNCTION("GoogleTranslate(C64, ""en"", ""mr"")"),"पुढील 30 दिवसांमध्ये तापमान आणि {name} मध्ये पावसाची शक्यता")</f>
        <v>पुढील 30 दिवसांमध्ये तापमान आणि {name} मध्ये पावसाची शक्यता</v>
      </c>
      <c r="AS64" s="3" t="str">
        <f>IFERROR(__xludf.DUMMYFUNCTION("GoogleTranslate(C64, ""en"", ""mn"")"),"Дараагийн 30 хоногт {name}-д температур ба бороо орох магадлал")</f>
        <v>Дараагийн 30 хоногт {name}-д температур ба бороо орох магадлал</v>
      </c>
      <c r="AT64" s="3" t="str">
        <f>IFERROR(__xludf.DUMMYFUNCTION("GoogleTranslate(C64, ""en"", ""ne"")"),"आगामी ३० दिनमा {name} मा तापक्रम र वर्षाको सम्भावना")</f>
        <v>आगामी ३० दिनमा {name} मा तापक्रम र वर्षाको सम्भावना</v>
      </c>
      <c r="AU64" s="3" t="str">
        <f>IFERROR(__xludf.DUMMYFUNCTION("GoogleTranslate(C64, ""en"", ""nb"")"),"Temperatur og sjanse for regn i {name} i løpet av de neste 30 dagene")</f>
        <v>Temperatur og sjanse for regn i {name} i løpet av de neste 30 dagene</v>
      </c>
      <c r="AV64" s="3" t="str">
        <f>IFERROR(__xludf.DUMMYFUNCTION("GoogleTranslate(C64, ""en"", ""fa"")"),"دما و احتمال بارندگی در {name} در 30 روز آینده")</f>
        <v>دما و احتمال بارندگی در {name} در 30 روز آینده</v>
      </c>
      <c r="AW64" s="3" t="str">
        <f>IFERROR(__xludf.DUMMYFUNCTION("GoogleTranslate(C64, ""en"", ""pl"")"),"Temperatura i prawdopodobieństwo opadów deszczu w {name} w ciągu najbliższych 30 dni")</f>
        <v>Temperatura i prawdopodobieństwo opadów deszczu w {name} w ciągu najbliższych 30 dni</v>
      </c>
      <c r="AX64" s="3" t="str">
        <f>IFERROR(__xludf.DUMMYFUNCTION("GoogleTranslate(C64, ""en"", ""pt"")"),"Temperatura e probabilidade de chuva em {name} nos próximos 30 dias")</f>
        <v>Temperatura e probabilidade de chuva em {name} nos próximos 30 dias</v>
      </c>
      <c r="AY64" s="3" t="str">
        <f>IFERROR(__xludf.DUMMYFUNCTION("GoogleTranslate(C64, ""en"", ""ro"")"),"Temperatura și șansa de ploaie în {name} în următoarele 30 de zile")</f>
        <v>Temperatura și șansa de ploaie în {name} în următoarele 30 de zile</v>
      </c>
      <c r="AZ64" s="3" t="str">
        <f>IFERROR(__xludf.DUMMYFUNCTION("GoogleTranslate(C64, ""en"", ""ru"")"),"Температура и вероятность дождя в {name} в ближайшие 30 дней")</f>
        <v>Температура и вероятность дождя в {name} в ближайшие 30 дней</v>
      </c>
      <c r="BA64" s="3" t="str">
        <f>IFERROR(__xludf.DUMMYFUNCTION("GoogleTranslate(C64, ""en"", ""sr"")"),"Температура и могућност кише у {наме} у наредних 30 дана")</f>
        <v>Температура и могућност кише у {наме} у наредних 30 дана</v>
      </c>
      <c r="BB64" s="3" t="str">
        <f>IFERROR(__xludf.DUMMYFUNCTION("GoogleTranslate(C64, ""en"", ""si"")"),"ඉදිරි දින 30 තුළ {name} හි උෂ්ණත්වය සහ වර්ෂාව ඇතිවීමේ සම්භාවිතාව")</f>
        <v>ඉදිරි දින 30 තුළ {name} හි උෂ්ණත්වය සහ වර්ෂාව ඇතිවීමේ සම්භාවිතාව</v>
      </c>
      <c r="BC64" s="3" t="str">
        <f>IFERROR(__xludf.DUMMYFUNCTION("GoogleTranslate(C64, ""en"", ""sk"")"),"Teplota a možnosť dažďa v mieste {name} v nasledujúcich 30 dňoch")</f>
        <v>Teplota a možnosť dažďa v mieste {name} v nasledujúcich 30 dňoch</v>
      </c>
      <c r="BD64" s="3" t="str">
        <f>IFERROR(__xludf.DUMMYFUNCTION("GoogleTranslate(C64, ""en"", ""sl"")"),"Temperatura in možnost dežja v {name} v naslednjih 30 dneh")</f>
        <v>Temperatura in možnost dežja v {name} v naslednjih 30 dneh</v>
      </c>
      <c r="BE64" s="3" t="str">
        <f>IFERROR(__xludf.DUMMYFUNCTION("GoogleTranslate(C64, ""en"", ""es"")"),"Temperatura y probabilidad de lluvia en {nombre} en los próximos 30 días")</f>
        <v>Temperatura y probabilidad de lluvia en {nombre} en los próximos 30 días</v>
      </c>
      <c r="BF64" s="3" t="str">
        <f>IFERROR(__xludf.DUMMYFUNCTION("GoogleTranslate(C64, ""en"", ""sw"")"),"Halijoto na uwezekano wa kunyesha katika {name} katika siku 30 zijazo")</f>
        <v>Halijoto na uwezekano wa kunyesha katika {name} katika siku 30 zijazo</v>
      </c>
      <c r="BG64" s="3" t="str">
        <f>IFERROR(__xludf.DUMMYFUNCTION("GoogleTranslate(C64, ""en"", ""sv"")"),"Temperatur och risk för regn i {name} under de kommande 30 dagarna")</f>
        <v>Temperatur och risk för regn i {name} under de kommande 30 dagarna</v>
      </c>
      <c r="BH64" s="3" t="str">
        <f>IFERROR(__xludf.DUMMYFUNCTION("GoogleTranslate(C64, ""en"", ""te"")"),"రాబోయే 30 రోజుల్లో {name}లో ఉష్ణోగ్రత మరియు వర్షం పడే అవకాశం")</f>
        <v>రాబోయే 30 రోజుల్లో {name}లో ఉష్ణోగ్రత మరియు వర్షం పడే అవకాశం</v>
      </c>
      <c r="BI64" s="3" t="str">
        <f>IFERROR(__xludf.DUMMYFUNCTION("GoogleTranslate(C64, ""en"", ""th"")"),"อุณหภูมิและโอกาสเกิดฝนตกใน {name} ในอีก 30 วันข้างหน้า")</f>
        <v>อุณหภูมิและโอกาสเกิดฝนตกใน {name} ในอีก 30 วันข้างหน้า</v>
      </c>
      <c r="BJ64" s="3" t="str">
        <f>IFERROR(__xludf.DUMMYFUNCTION("GoogleTranslate(C64, ""en"", ""tr"")"),"Önümüzdeki 30 gün içinde {name} için sıcaklık ve yağmur ihtimali")</f>
        <v>Önümüzdeki 30 gün içinde {name} için sıcaklık ve yağmur ihtimali</v>
      </c>
      <c r="BK64" s="3" t="str">
        <f>IFERROR(__xludf.DUMMYFUNCTION("GoogleTranslate(C64, ""en"", ""uk"")"),"Температура та ймовірність дощу в {name} протягом наступних 30 днів")</f>
        <v>Температура та ймовірність дощу в {name} протягом наступних 30 днів</v>
      </c>
      <c r="BL64" s="3" t="str">
        <f>IFERROR(__xludf.DUMMYFUNCTION("GoogleTranslate(C64, ""en"", ""zu"")"),"Izinga lokushisa nethuba lemvula e-{name} ezinsukwini ezingu-30 ezizayo")</f>
        <v>Izinga lokushisa nethuba lemvula e-{name} ezinsukwini ezingu-30 ezizayo</v>
      </c>
    </row>
    <row r="65">
      <c r="A65" s="1" t="str">
        <f t="shared" si="1"/>
        <v>Temperature_&amp;_chance_of_rain_in_{name}_in_the_coming_hours</v>
      </c>
      <c r="B65" s="4" t="s">
        <v>116</v>
      </c>
      <c r="C65" s="1" t="str">
        <f t="shared" si="2"/>
        <v>Temperature &amp; chance of rain in {name} in the coming hours</v>
      </c>
      <c r="D65" s="3" t="str">
        <f>IFERROR(__xludf.DUMMYFUNCTION("GoogleTranslate(C65, ""en"", ""es"")"),"Temperatura y probabilidad de lluvia en {nombre} en las próximas horas")</f>
        <v>Temperatura y probabilidad de lluvia en {nombre} en las próximas horas</v>
      </c>
      <c r="E65" s="3" t="str">
        <f>IFERROR(__xludf.DUMMYFUNCTION("GoogleTranslate(C65, ""en"", ""ar"")"),"درجات الحرارة واحتمال هطول الأمطار في {الاسم} خلال الساعات القادمة")</f>
        <v>درجات الحرارة واحتمال هطول الأمطار في {الاسم} خلال الساعات القادمة</v>
      </c>
      <c r="F65" s="3" t="str">
        <f>IFERROR(__xludf.DUMMYFUNCTION("GoogleTranslate(C65, ""en"", ""hy"")"),"Առաջիկա ժամերին {name}-ում ջերմաստիճան և անձրևի հավանականություն")</f>
        <v>Առաջիկա ժամերին {name}-ում ջերմաստիճան և անձրևի հավանականություն</v>
      </c>
      <c r="G65" s="3" t="str">
        <f>IFERROR(__xludf.DUMMYFUNCTION("GoogleTranslate(C65, ""en"", ""vi"")"),"Nhiệt độ và khả năng có mưa ở {name} trong những giờ tới")</f>
        <v>Nhiệt độ và khả năng có mưa ở {name} trong những giờ tới</v>
      </c>
      <c r="H65" s="3" t="str">
        <f>IFERROR(__xludf.DUMMYFUNCTION("GoogleTranslate(C65, ""en"", ""az"")"),"Yaxın saatlarda {name} ərazisində temperatur və yağış ehtimalı")</f>
        <v>Yaxın saatlarda {name} ərazisində temperatur və yağış ehtimalı</v>
      </c>
      <c r="I65" s="3" t="str">
        <f>IFERROR(__xludf.DUMMYFUNCTION("GoogleTranslate(C65, ""en"", ""eu"")"),"Tenperatura eta euria egiteko aukera {name}n datozen orduetan")</f>
        <v>Tenperatura eta euria egiteko aukera {name}n datozen orduetan</v>
      </c>
      <c r="J65" s="3" t="str">
        <f>IFERROR(__xludf.DUMMYFUNCTION("GoogleTranslate(C65, ""en"", ""be"")"),"Тэмпература і верагоднасць дажджу ў {name} у бліжэйшыя гадзіны")</f>
        <v>Тэмпература і верагоднасць дажджу ў {name} у бліжэйшыя гадзіны</v>
      </c>
      <c r="K65" s="3" t="str">
        <f>IFERROR(__xludf.DUMMYFUNCTION("GoogleTranslate(C65, ""en"", ""bn"")"),"আগামী ঘণ্টায় {name}-এ তাপমাত্রা ও বৃষ্টির সম্ভাবনা")</f>
        <v>আগামী ঘণ্টায় {name}-এ তাপমাত্রা ও বৃষ্টির সম্ভাবনা</v>
      </c>
      <c r="L65" s="3" t="str">
        <f>IFERROR(__xludf.DUMMYFUNCTION("GoogleTranslate(C65, ""en"", ""bg"")"),"Температура и вероятност за дъжд в {name} през следващите часове")</f>
        <v>Температура и вероятност за дъжд в {name} през следващите часове</v>
      </c>
      <c r="M65" s="3" t="str">
        <f>IFERROR(__xludf.DUMMYFUNCTION("GoogleTranslate(C65, ""en"", ""my"")"),"လာမည့်နာရီများတွင် {name} တွင် အပူချိန်နှင့် မိုးရွာနိုင်ခြေ")</f>
        <v>လာမည့်နာရီများတွင် {name} တွင် အပူချိန်နှင့် မိုးရွာနိုင်ခြေ</v>
      </c>
      <c r="N65" s="3" t="str">
        <f>IFERROR(__xludf.DUMMYFUNCTION("GoogleTranslate(C65, ""en"", ""ca"")"),"Temperatura i probabilitat de pluja a {name} en les properes hores")</f>
        <v>Temperatura i probabilitat de pluja a {name} en les properes hores</v>
      </c>
      <c r="O65" s="3" t="str">
        <f>IFERROR(__xludf.DUMMYFUNCTION("GoogleTranslate(C65, ""en"", ""zh-cn"")"),"未来几小时内{name}的气温和降雨概率")</f>
        <v>未来几小时内{name}的气温和降雨概率</v>
      </c>
      <c r="P65" s="3" t="str">
        <f>IFERROR(__xludf.DUMMYFUNCTION("GoogleTranslate(C65, ""en"", ""zh-TW"")"),"未來幾小時內{name}的氣溫和降雨機率")</f>
        <v>未來幾小時內{name}的氣溫和降雨機率</v>
      </c>
      <c r="Q65" s="3" t="str">
        <f>IFERROR(__xludf.DUMMYFUNCTION("GoogleTranslate(C65, ""en"", ""hr"")"),"Temperatura i mogućnost kiše u {name} u nadolazećim satima")</f>
        <v>Temperatura i mogućnost kiše u {name} u nadolazećim satima</v>
      </c>
      <c r="R65" s="3" t="str">
        <f>IFERROR(__xludf.DUMMYFUNCTION("GoogleTranslate(C65, ""en"", ""cs"")"),"Teplota a možnost deště v {name} v nadcházejících hodinách")</f>
        <v>Teplota a možnost deště v {name} v nadcházejících hodinách</v>
      </c>
      <c r="S65" s="3" t="str">
        <f>IFERROR(__xludf.DUMMYFUNCTION("GoogleTranslate(C65, ""en"", ""da"")"),"Temperatur og chance for regn i {name} i de kommende timer")</f>
        <v>Temperatur og chance for regn i {name} i de kommende timer</v>
      </c>
      <c r="T65" s="3" t="str">
        <f>IFERROR(__xludf.DUMMYFUNCTION("GoogleTranslate(C65, ""en"", ""nl"")"),"Temperatuur en kans op regen in {name} de komende uren")</f>
        <v>Temperatuur en kans op regen in {name} de komende uren</v>
      </c>
      <c r="U65" s="3" t="str">
        <f>IFERROR(__xludf.DUMMYFUNCTION("GoogleTranslate(C65, ""en"", ""et"")"),"Temperatuur ja vihma võimalus asukohas {name} lähitundidel")</f>
        <v>Temperatuur ja vihma võimalus asukohas {name} lähitundidel</v>
      </c>
      <c r="V65" s="1" t="str">
        <f t="shared" si="3"/>
        <v>Temperature &amp; chance of rain in {name} in the coming hours</v>
      </c>
      <c r="W65" s="3" t="str">
        <f>IFERROR(__xludf.DUMMYFUNCTION("GoogleTranslate(C65, ""en"", ""fi"")"),"Lämpötila ja sateen mahdollisuus paikassa {name} tulevina tunteina")</f>
        <v>Lämpötila ja sateen mahdollisuus paikassa {name} tulevina tunteina</v>
      </c>
      <c r="X65" s="3" t="str">
        <f>IFERROR(__xludf.DUMMYFUNCTION("GoogleTranslate(C65, ""en"", ""fr"")"),"Température et risque de pluie à {name} dans les heures à venir")</f>
        <v>Température et risque de pluie à {name} dans les heures à venir</v>
      </c>
      <c r="Y65" s="3" t="str">
        <f>IFERROR(__xludf.DUMMYFUNCTION("GoogleTranslate(C65, ""en"", ""de"")"),"Temperatur und Regenwahrscheinlichkeit in {name} in den kommenden Stunden")</f>
        <v>Temperatur und Regenwahrscheinlichkeit in {name} in den kommenden Stunden</v>
      </c>
      <c r="Z65" s="3" t="str">
        <f>IFERROR(__xludf.DUMMYFUNCTION("GoogleTranslate(C65, ""en"", ""el"")"),"Θερμοκρασία &amp; πιθανότητα βροχής στο {name} τις επόμενες ώρες")</f>
        <v>Θερμοκρασία &amp; πιθανότητα βροχής στο {name} τις επόμενες ώρες</v>
      </c>
      <c r="AA65" s="3" t="str">
        <f>IFERROR(__xludf.DUMMYFUNCTION("GoogleTranslate(C65, ""en"", ""iw"")"),"טמפרטורה וסיכוי לגשם ב{name} בשעות הקרובות")</f>
        <v>טמפרטורה וסיכוי לגשם ב{name} בשעות הקרובות</v>
      </c>
      <c r="AB65" s="3" t="str">
        <f>IFERROR(__xludf.DUMMYFUNCTION("GoogleTranslate(C65, ""en"", ""hi"")"),"आने वाले घंटों में {नाम} में तापमान और बारिश की संभावना")</f>
        <v>आने वाले घंटों में {नाम} में तापमान और बारिश की संभावना</v>
      </c>
      <c r="AC65" s="3" t="str">
        <f>IFERROR(__xludf.DUMMYFUNCTION("GoogleTranslate(C65, ""en"", ""hu"")"),"Hőmérséklet és eső valószínűsége itt: {name} a következő órákban")</f>
        <v>Hőmérséklet és eső valószínűsége itt: {name} a következő órákban</v>
      </c>
      <c r="AD65" s="3" t="str">
        <f>IFERROR(__xludf.DUMMYFUNCTION("GoogleTranslate(C65, ""en"", ""is"")"),"Hiti og líkur á rigningu í {name} á næstu klukkustundum")</f>
        <v>Hiti og líkur á rigningu í {name} á næstu klukkustundum</v>
      </c>
      <c r="AE65" s="3" t="str">
        <f>IFERROR(__xludf.DUMMYFUNCTION("GoogleTranslate(C65, ""en"", ""id"")"),"Suhu &amp; kemungkinan hujan di {name} dalam beberapa jam mendatang")</f>
        <v>Suhu &amp; kemungkinan hujan di {name} dalam beberapa jam mendatang</v>
      </c>
      <c r="AF65" s="3" t="str">
        <f>IFERROR(__xludf.DUMMYFUNCTION("GoogleTranslate(C65, ""en"", ""in"")"),"Suhu &amp; kemungkinan hujan di {name} dalam beberapa jam mendatang")</f>
        <v>Suhu &amp; kemungkinan hujan di {name} dalam beberapa jam mendatang</v>
      </c>
      <c r="AG65" s="3" t="str">
        <f>IFERROR(__xludf.DUMMYFUNCTION("GoogleTranslate(C65, ""en"", ""it"")"),"Temperatura e possibilità di pioggia a {name} nelle prossime ore")</f>
        <v>Temperatura e possibilità di pioggia a {name} nelle prossime ore</v>
      </c>
      <c r="AH65" s="3" t="str">
        <f>IFERROR(__xludf.DUMMYFUNCTION("GoogleTranslate(C65, ""en"", ""ja"")"),"{name}の今後数時間の気温と降水確率")</f>
        <v>{name}の今後数時間の気温と降水確率</v>
      </c>
      <c r="AI65" s="3" t="str">
        <f>IFERROR(__xludf.DUMMYFUNCTION("GoogleTranslate(C65, ""en"", ""kn"")"),"ಮುಂಬರುವ ಗಂಟೆಗಳಲ್ಲಿ {name} ನಲ್ಲಿ ತಾಪಮಾನ ಮತ್ತು ಮಳೆಯ ಸಾಧ್ಯತೆ")</f>
        <v>ಮುಂಬರುವ ಗಂಟೆಗಳಲ್ಲಿ {name} ನಲ್ಲಿ ತಾಪಮಾನ ಮತ್ತು ಮಳೆಯ ಸಾಧ್ಯತೆ</v>
      </c>
      <c r="AJ65" s="3" t="str">
        <f>IFERROR(__xludf.DUMMYFUNCTION("GoogleTranslate(C65, ""en"", ""km"")"),"សីតុណ្ហភាព និងឱកាសនៃភ្លៀងនៅក្នុង {name} ក្នុងរយៈពេលប៉ុន្មានម៉ោងខាងមុខនេះ")</f>
        <v>សីតុណ្ហភាព និងឱកាសនៃភ្លៀងនៅក្នុង {name} ក្នុងរយៈពេលប៉ុន្មានម៉ោងខាងមុខនេះ</v>
      </c>
      <c r="AK65" s="3" t="str">
        <f>IFERROR(__xludf.DUMMYFUNCTION("GoogleTranslate(C65, ""en"", ""ko"")"),"앞으로 몇 시간 동안 {name}의 기온 및 비 올 확률")</f>
        <v>앞으로 몇 시간 동안 {name}의 기온 및 비 올 확률</v>
      </c>
      <c r="AL65" s="3" t="str">
        <f>IFERROR(__xludf.DUMMYFUNCTION("GoogleTranslate(C65, ""en"", ""lo"")"),"ອຸນຫະພູມ ແລະ ໂອກາດທີ່ຈະມີຝົນຕົກໃນ {name} ໃນຊົ່ວໂມງຂ້າງໜ້າ")</f>
        <v>ອຸນຫະພູມ ແລະ ໂອກາດທີ່ຈະມີຝົນຕົກໃນ {name} ໃນຊົ່ວໂມງຂ້າງໜ້າ</v>
      </c>
      <c r="AM65" s="3" t="str">
        <f>IFERROR(__xludf.DUMMYFUNCTION("GoogleTranslate(C65, ""en"", ""lv"")"),"Temperatūra un lietus iespējamība šajā vietā: {name} tuvākajās stundās")</f>
        <v>Temperatūra un lietus iespējamība šajā vietā: {name} tuvākajās stundās</v>
      </c>
      <c r="AN65" s="3" t="str">
        <f>IFERROR(__xludf.DUMMYFUNCTION("GoogleTranslate(C65, ""en"", ""lt"")"),"Temperatūra ir lietaus tikimybė {name} artimiausiomis valandomis")</f>
        <v>Temperatūra ir lietaus tikimybė {name} artimiausiomis valandomis</v>
      </c>
      <c r="AO65" s="3" t="str">
        <f>IFERROR(__xludf.DUMMYFUNCTION("GoogleTranslate(C65, ""en"", ""mk"")"),"Температура и можност за дожд во {name} во наредните часови")</f>
        <v>Температура и можност за дожд во {name} во наредните часови</v>
      </c>
      <c r="AP65" s="3" t="str">
        <f>IFERROR(__xludf.DUMMYFUNCTION("GoogleTranslate(C65, ""en"", ""ms"")"),"Suhu &amp; kemungkinan hujan di {name} dalam beberapa jam akan datang")</f>
        <v>Suhu &amp; kemungkinan hujan di {name} dalam beberapa jam akan datang</v>
      </c>
      <c r="AQ65" s="3" t="str">
        <f>IFERROR(__xludf.DUMMYFUNCTION("GoogleTranslate(C65, ""en"", ""ml"")"),"വരും മണിക്കൂറുകളിൽ {name} എന്ന സ്ഥലത്ത് താപനിലയും മഴയ്ക്കുള്ള സാധ്യതയും")</f>
        <v>വരും മണിക്കൂറുകളിൽ {name} എന്ന സ്ഥലത്ത് താപനിലയും മഴയ്ക്കുള്ള സാധ്യതയും</v>
      </c>
      <c r="AR65" s="3" t="str">
        <f>IFERROR(__xludf.DUMMYFUNCTION("GoogleTranslate(C65, ""en"", ""mr"")"),"येत्या काही तासांमध्ये तापमान आणि {name} मध्ये पावसाची शक्यता")</f>
        <v>येत्या काही तासांमध्ये तापमान आणि {name} मध्ये पावसाची शक्यता</v>
      </c>
      <c r="AS65" s="3" t="str">
        <f>IFERROR(__xludf.DUMMYFUNCTION("GoogleTranslate(C65, ""en"", ""mn"")"),"Ойрын цагуудад {name}-д температур ба бороо орох магадлалтай")</f>
        <v>Ойрын цагуудад {name}-д температур ба бороо орох магадлалтай</v>
      </c>
      <c r="AT65" s="3" t="str">
        <f>IFERROR(__xludf.DUMMYFUNCTION("GoogleTranslate(C65, ""en"", ""ne"")"),"आगामी घण्टामा {name} मा तापक्रम र वर्षाको सम्भावना")</f>
        <v>आगामी घण्टामा {name} मा तापक्रम र वर्षाको सम्भावना</v>
      </c>
      <c r="AU65" s="3" t="str">
        <f>IFERROR(__xludf.DUMMYFUNCTION("GoogleTranslate(C65, ""en"", ""nb"")"),"Temperatur og sjanse for regn i {name} de kommende timene")</f>
        <v>Temperatur og sjanse for regn i {name} de kommende timene</v>
      </c>
      <c r="AV65" s="3" t="str">
        <f>IFERROR(__xludf.DUMMYFUNCTION("GoogleTranslate(C65, ""en"", ""fa"")"),"دما و احتمال بارندگی در {name} در ساعات آینده")</f>
        <v>دما و احتمال بارندگی در {name} در ساعات آینده</v>
      </c>
      <c r="AW65" s="3" t="str">
        <f>IFERROR(__xludf.DUMMYFUNCTION("GoogleTranslate(C65, ""en"", ""pl"")"),"Temperatura i prawdopodobieństwo opadów deszczu w {name} w nadchodzących godzinach")</f>
        <v>Temperatura i prawdopodobieństwo opadów deszczu w {name} w nadchodzących godzinach</v>
      </c>
      <c r="AX65" s="3" t="str">
        <f>IFERROR(__xludf.DUMMYFUNCTION("GoogleTranslate(C65, ""en"", ""pt"")"),"Temperatura e possibilidade de chuva em {name} nas próximas horas")</f>
        <v>Temperatura e possibilidade de chuva em {name} nas próximas horas</v>
      </c>
      <c r="AY65" s="3" t="str">
        <f>IFERROR(__xludf.DUMMYFUNCTION("GoogleTranslate(C65, ""en"", ""ro"")"),"Temperatura și șansa de ploaie în {name} în următoarele ore")</f>
        <v>Temperatura și șansa de ploaie în {name} în următoarele ore</v>
      </c>
      <c r="AZ65" s="3" t="str">
        <f>IFERROR(__xludf.DUMMYFUNCTION("GoogleTranslate(C65, ""en"", ""ru"")"),"Температура и вероятность дождя в {name} в ближайшие часы")</f>
        <v>Температура и вероятность дождя в {name} в ближайшие часы</v>
      </c>
      <c r="BA65" s="3" t="str">
        <f>IFERROR(__xludf.DUMMYFUNCTION("GoogleTranslate(C65, ""en"", ""sr"")"),"Температура и могућност кише у {наме} у наредним сатима")</f>
        <v>Температура и могућност кише у {наме} у наредним сатима</v>
      </c>
      <c r="BB65" s="3" t="str">
        <f>IFERROR(__xludf.DUMMYFUNCTION("GoogleTranslate(C65, ""en"", ""si"")"),"ඉදිරි පැය වලදී {name} හි උෂ්ණත්වය සහ වර්ෂාපතන අවස්ථාව")</f>
        <v>ඉදිරි පැය වලදී {name} හි උෂ්ණත්වය සහ වර්ෂාපතන අවස්ථාව</v>
      </c>
      <c r="BC65" s="3" t="str">
        <f>IFERROR(__xludf.DUMMYFUNCTION("GoogleTranslate(C65, ""en"", ""sk"")"),"Teplota a možnosť dažďa v meste {name} v najbližších hodinách")</f>
        <v>Teplota a možnosť dažďa v meste {name} v najbližších hodinách</v>
      </c>
      <c r="BD65" s="3" t="str">
        <f>IFERROR(__xludf.DUMMYFUNCTION("GoogleTranslate(C65, ""en"", ""sl"")"),"Temperatura in možnost dežja v {name} v prihodnjih urah")</f>
        <v>Temperatura in možnost dežja v {name} v prihodnjih urah</v>
      </c>
      <c r="BE65" s="3" t="str">
        <f>IFERROR(__xludf.DUMMYFUNCTION("GoogleTranslate(C65, ""en"", ""es"")"),"Temperatura y probabilidad de lluvia en {nombre} en las próximas horas")</f>
        <v>Temperatura y probabilidad de lluvia en {nombre} en las próximas horas</v>
      </c>
      <c r="BF65" s="3" t="str">
        <f>IFERROR(__xludf.DUMMYFUNCTION("GoogleTranslate(C65, ""en"", ""sw"")"),"Halijoto na uwezekano wa mvua katika {name} saa zijazo")</f>
        <v>Halijoto na uwezekano wa mvua katika {name} saa zijazo</v>
      </c>
      <c r="BG65" s="3" t="str">
        <f>IFERROR(__xludf.DUMMYFUNCTION("GoogleTranslate(C65, ""en"", ""sv"")"),"Temperatur och risk för regn i {name} under de kommande timmarna")</f>
        <v>Temperatur och risk för regn i {name} under de kommande timmarna</v>
      </c>
      <c r="BH65" s="3" t="str">
        <f>IFERROR(__xludf.DUMMYFUNCTION("GoogleTranslate(C65, ""en"", ""te"")"),"రానున్న గంటల్లో {name}లో ఉష్ణోగ్రత &amp; వర్షం పడే అవకాశం")</f>
        <v>రానున్న గంటల్లో {name}లో ఉష్ణోగ్రత &amp; వర్షం పడే అవకాశం</v>
      </c>
      <c r="BI65" s="3" t="str">
        <f>IFERROR(__xludf.DUMMYFUNCTION("GoogleTranslate(C65, ""en"", ""th"")"),"อุณหภูมิและโอกาสที่ฝนจะตกใน {name} ในอีกไม่กี่ชั่วโมงข้างหน้า")</f>
        <v>อุณหภูมิและโอกาสที่ฝนจะตกใน {name} ในอีกไม่กี่ชั่วโมงข้างหน้า</v>
      </c>
      <c r="BJ65" s="3" t="str">
        <f>IFERROR(__xludf.DUMMYFUNCTION("GoogleTranslate(C65, ""en"", ""tr"")"),"{name} için önümüzdeki saatlerde sıcaklık ve yağmur ihtimali")</f>
        <v>{name} için önümüzdeki saatlerde sıcaklık ve yağmur ihtimali</v>
      </c>
      <c r="BK65" s="3" t="str">
        <f>IFERROR(__xludf.DUMMYFUNCTION("GoogleTranslate(C65, ""en"", ""uk"")"),"Температура та ймовірність дощу в {name} найближчими годинами")</f>
        <v>Температура та ймовірність дощу в {name} найближчими годинами</v>
      </c>
      <c r="BL65" s="3" t="str">
        <f>IFERROR(__xludf.DUMMYFUNCTION("GoogleTranslate(C65, ""en"", ""zu"")"),"Izinga lokushisa nethuba lemvula e-{name} emahoreni azayo")</f>
        <v>Izinga lokushisa nethuba lemvula e-{name} emahoreni azayo</v>
      </c>
    </row>
    <row r="66">
      <c r="A66" s="1" t="str">
        <f t="shared" si="1"/>
        <v>Hourly_weather_forecast_{name}</v>
      </c>
      <c r="B66" s="4" t="s">
        <v>125</v>
      </c>
      <c r="C66" s="1" t="str">
        <f t="shared" si="2"/>
        <v>Hourly weather forecast {name}</v>
      </c>
      <c r="D66" s="3" t="str">
        <f>IFERROR(__xludf.DUMMYFUNCTION("GoogleTranslate(C66, ""en"", ""es"")"),"Pronóstico del tiempo por hora {nombre}")</f>
        <v>Pronóstico del tiempo por hora {nombre}</v>
      </c>
      <c r="E66" s="3" t="str">
        <f>IFERROR(__xludf.DUMMYFUNCTION("GoogleTranslate(C66, ""en"", ""ar"")"),"توقعات الطقس كل ساعة {الاسم}")</f>
        <v>توقعات الطقس كل ساعة {الاسم}</v>
      </c>
      <c r="F66" s="3" t="str">
        <f>IFERROR(__xludf.DUMMYFUNCTION("GoogleTranslate(C66, ""en"", ""hy"")"),"Եղանակի ամենժամյա կանխատեսում {name}")</f>
        <v>Եղանակի ամենժամյա կանխատեսում {name}</v>
      </c>
      <c r="G66" s="3" t="str">
        <f>IFERROR(__xludf.DUMMYFUNCTION("GoogleTranslate(C66, ""en"", ""vi"")"),"Dự báo thời tiết hàng giờ {name}")</f>
        <v>Dự báo thời tiết hàng giờ {name}</v>
      </c>
      <c r="H66" s="3" t="str">
        <f>IFERROR(__xludf.DUMMYFUNCTION("GoogleTranslate(C66, ""en"", ""az"")"),"Saatlıq hava proqnozu {name}")</f>
        <v>Saatlıq hava proqnozu {name}</v>
      </c>
      <c r="I66" s="3" t="str">
        <f>IFERROR(__xludf.DUMMYFUNCTION("GoogleTranslate(C66, ""en"", ""eu"")"),"Orduko eguraldiaren iragarpena {name}")</f>
        <v>Orduko eguraldiaren iragarpena {name}</v>
      </c>
      <c r="J66" s="3" t="str">
        <f>IFERROR(__xludf.DUMMYFUNCTION("GoogleTranslate(C66, ""en"", ""be"")"),"Пагадзінны прагноз надвор'я {name}")</f>
        <v>Пагадзінны прагноз надвор'я {name}</v>
      </c>
      <c r="K66" s="3" t="str">
        <f>IFERROR(__xludf.DUMMYFUNCTION("GoogleTranslate(C66, ""en"", ""bn"")"),"প্রতি ঘণ্টায় আবহাওয়ার পূর্বাভাস {name}")</f>
        <v>প্রতি ঘণ্টায় আবহাওয়ার পূর্বাভাস {name}</v>
      </c>
      <c r="L66" s="3" t="str">
        <f>IFERROR(__xludf.DUMMYFUNCTION("GoogleTranslate(C66, ""en"", ""bg"")"),"Почасова прогноза за времето {name}")</f>
        <v>Почасова прогноза за времето {name}</v>
      </c>
      <c r="M66" s="3" t="str">
        <f>IFERROR(__xludf.DUMMYFUNCTION("GoogleTranslate(C66, ""en"", ""my"")"),"နာရီအလိုက် မိုးလေဝသ ခန့်မှန်းချက် {name}")</f>
        <v>နာရီအလိုက် မိုးလေဝသ ခန့်မှန်းချက် {name}</v>
      </c>
      <c r="N66" s="3" t="str">
        <f>IFERROR(__xludf.DUMMYFUNCTION("GoogleTranslate(C66, ""en"", ""ca"")"),"Previsió meteorològica per hora {name}")</f>
        <v>Previsió meteorològica per hora {name}</v>
      </c>
      <c r="O66" s="3" t="str">
        <f>IFERROR(__xludf.DUMMYFUNCTION("GoogleTranslate(C66, ""en"", ""zh-cn"")"),"每小时天气预报{名称}")</f>
        <v>每小时天气预报{名称}</v>
      </c>
      <c r="P66" s="3" t="str">
        <f>IFERROR(__xludf.DUMMYFUNCTION("GoogleTranslate(C66, ""en"", ""zh-TW"")"),"每小時天氣預報{名稱}")</f>
        <v>每小時天氣預報{名稱}</v>
      </c>
      <c r="Q66" s="3" t="str">
        <f>IFERROR(__xludf.DUMMYFUNCTION("GoogleTranslate(C66, ""en"", ""hr"")"),"Vremenska prognoza po satu {name}")</f>
        <v>Vremenska prognoza po satu {name}</v>
      </c>
      <c r="R66" s="3" t="str">
        <f>IFERROR(__xludf.DUMMYFUNCTION("GoogleTranslate(C66, ""en"", ""cs"")"),"Hodinová předpověď počasí {name}")</f>
        <v>Hodinová předpověď počasí {name}</v>
      </c>
      <c r="S66" s="3" t="str">
        <f>IFERROR(__xludf.DUMMYFUNCTION("GoogleTranslate(C66, ""en"", ""da"")"),"Vejrudsigt hver time {name}")</f>
        <v>Vejrudsigt hver time {name}</v>
      </c>
      <c r="T66" s="3" t="str">
        <f>IFERROR(__xludf.DUMMYFUNCTION("GoogleTranslate(C66, ""en"", ""nl"")"),"Weersverwachting per uur {naam}")</f>
        <v>Weersverwachting per uur {naam}</v>
      </c>
      <c r="U66" s="3" t="str">
        <f>IFERROR(__xludf.DUMMYFUNCTION("GoogleTranslate(C66, ""en"", ""et"")"),"Tunnipõhine ilmateade {name}")</f>
        <v>Tunnipõhine ilmateade {name}</v>
      </c>
      <c r="V66" s="1" t="str">
        <f t="shared" si="3"/>
        <v>Hourly weather forecast {name}</v>
      </c>
      <c r="W66" s="3" t="str">
        <f>IFERROR(__xludf.DUMMYFUNCTION("GoogleTranslate(C66, ""en"", ""fi"")"),"Tunneittainen sääennuste {name}")</f>
        <v>Tunneittainen sääennuste {name}</v>
      </c>
      <c r="X66" s="3" t="str">
        <f>IFERROR(__xludf.DUMMYFUNCTION("GoogleTranslate(C66, ""en"", ""fr"")"),"Prévisions météorologiques horaires {nom}")</f>
        <v>Prévisions météorologiques horaires {nom}</v>
      </c>
      <c r="Y66" s="3" t="str">
        <f>IFERROR(__xludf.DUMMYFUNCTION("GoogleTranslate(C66, ""en"", ""de"")"),"Stündliche Wettervorhersage {Name}")</f>
        <v>Stündliche Wettervorhersage {Name}</v>
      </c>
      <c r="Z66" s="3" t="str">
        <f>IFERROR(__xludf.DUMMYFUNCTION("GoogleTranslate(C66, ""en"", ""el"")"),"Ωριαία πρόγνωση καιρού {name}")</f>
        <v>Ωριαία πρόγνωση καιρού {name}</v>
      </c>
      <c r="AA66" s="3" t="str">
        <f>IFERROR(__xludf.DUMMYFUNCTION("GoogleTranslate(C66, ""en"", ""iw"")"),"תחזית מזג אוויר לפי שעה {name}")</f>
        <v>תחזית מזג אוויר לפי שעה {name}</v>
      </c>
      <c r="AB66" s="3" t="str">
        <f>IFERROR(__xludf.DUMMYFUNCTION("GoogleTranslate(C66, ""en"", ""hi"")"),"प्रति घंटा मौसम पूर्वानुमान {नाम}")</f>
        <v>प्रति घंटा मौसम पूर्वानुमान {नाम}</v>
      </c>
      <c r="AC66" s="3" t="str">
        <f>IFERROR(__xludf.DUMMYFUNCTION("GoogleTranslate(C66, ""en"", ""hu"")"),"Óránkénti időjárás-előrejelzés {name}")</f>
        <v>Óránkénti időjárás-előrejelzés {name}</v>
      </c>
      <c r="AD66" s="3" t="str">
        <f>IFERROR(__xludf.DUMMYFUNCTION("GoogleTranslate(C66, ""en"", ""is"")"),"Veðurspá á klukkustund {name}")</f>
        <v>Veðurspá á klukkustund {name}</v>
      </c>
      <c r="AE66" s="3" t="str">
        <f>IFERROR(__xludf.DUMMYFUNCTION("GoogleTranslate(C66, ""en"", ""id"")"),"Prakiraan cuaca setiap jam {name}")</f>
        <v>Prakiraan cuaca setiap jam {name}</v>
      </c>
      <c r="AF66" s="3" t="str">
        <f>IFERROR(__xludf.DUMMYFUNCTION("GoogleTranslate(C66, ""en"", ""in"")"),"Prakiraan cuaca setiap jam {name}")</f>
        <v>Prakiraan cuaca setiap jam {name}</v>
      </c>
      <c r="AG66" s="3" t="str">
        <f>IFERROR(__xludf.DUMMYFUNCTION("GoogleTranslate(C66, ""en"", ""it"")"),"Previsioni meteo orarie {name}")</f>
        <v>Previsioni meteo orarie {name}</v>
      </c>
      <c r="AH66" s="3" t="str">
        <f>IFERROR(__xludf.DUMMYFUNCTION("GoogleTranslate(C66, ""en"", ""ja"")"),"時間ごとの天気予報 {名前}")</f>
        <v>時間ごとの天気予報 {名前}</v>
      </c>
      <c r="AI66" s="3" t="str">
        <f>IFERROR(__xludf.DUMMYFUNCTION("GoogleTranslate(C66, ""en"", ""kn"")"),"ಗಂಟೆಯ ಹವಾಮಾನ ಮುನ್ಸೂಚನೆ {name}")</f>
        <v>ಗಂಟೆಯ ಹವಾಮಾನ ಮುನ್ಸೂಚನೆ {name}</v>
      </c>
      <c r="AJ66" s="3" t="str">
        <f>IFERROR(__xludf.DUMMYFUNCTION("GoogleTranslate(C66, ""en"", ""km"")"),"ការព្យាករណ៍អាកាសធាតុប្រចាំម៉ោង {name}")</f>
        <v>ការព្យាករណ៍អាកាសធាតុប្រចាំម៉ោង {name}</v>
      </c>
      <c r="AK66" s="3" t="str">
        <f>IFERROR(__xludf.DUMMYFUNCTION("GoogleTranslate(C66, ""en"", ""ko"")"),"시간별 일기 예보 {name}")</f>
        <v>시간별 일기 예보 {name}</v>
      </c>
      <c r="AL66" s="3" t="str">
        <f>IFERROR(__xludf.DUMMYFUNCTION("GoogleTranslate(C66, ""en"", ""lo"")"),"ພະຍາກອນອາກາດປະຈຳຊົ່ວໂມງ {name}")</f>
        <v>ພະຍາກອນອາກາດປະຈຳຊົ່ວໂມງ {name}</v>
      </c>
      <c r="AM66" s="3" t="str">
        <f>IFERROR(__xludf.DUMMYFUNCTION("GoogleTranslate(C66, ""en"", ""lv"")"),"Laika prognoze stundā {name}")</f>
        <v>Laika prognoze stundā {name}</v>
      </c>
      <c r="AN66" s="3" t="str">
        <f>IFERROR(__xludf.DUMMYFUNCTION("GoogleTranslate(C66, ""en"", ""lt"")"),"Valandinė orų prognozė {name}")</f>
        <v>Valandinė orų prognozė {name}</v>
      </c>
      <c r="AO66" s="3" t="str">
        <f>IFERROR(__xludf.DUMMYFUNCTION("GoogleTranslate(C66, ""en"", ""mk"")"),"Часовна временска прогноза {name}")</f>
        <v>Часовна временска прогноза {name}</v>
      </c>
      <c r="AP66" s="3" t="str">
        <f>IFERROR(__xludf.DUMMYFUNCTION("GoogleTranslate(C66, ""en"", ""ms"")"),"Ramalan cuaca setiap jam {name}")</f>
        <v>Ramalan cuaca setiap jam {name}</v>
      </c>
      <c r="AQ66" s="3" t="str">
        <f>IFERROR(__xludf.DUMMYFUNCTION("GoogleTranslate(C66, ""en"", ""ml"")"),"മണിക്കൂർ തോറും കാലാവസ്ഥാ പ്രവചനം {name}")</f>
        <v>മണിക്കൂർ തോറും കാലാവസ്ഥാ പ്രവചനം {name}</v>
      </c>
      <c r="AR66" s="3" t="str">
        <f>IFERROR(__xludf.DUMMYFUNCTION("GoogleTranslate(C66, ""en"", ""mr"")"),"प्रति तास हवामान अंदाज {name}")</f>
        <v>प्रति तास हवामान अंदाज {name}</v>
      </c>
      <c r="AS66" s="3" t="str">
        <f>IFERROR(__xludf.DUMMYFUNCTION("GoogleTranslate(C66, ""en"", ""mn"")"),"Цагийн цаг агаарын мэдээ {name}")</f>
        <v>Цагийн цаг агаарын мэдээ {name}</v>
      </c>
      <c r="AT66" s="3" t="str">
        <f>IFERROR(__xludf.DUMMYFUNCTION("GoogleTranslate(C66, ""en"", ""ne"")"),"प्रति घण्टा मौसम पूर्वानुमान {name}")</f>
        <v>प्रति घण्टा मौसम पूर्वानुमान {name}</v>
      </c>
      <c r="AU66" s="3" t="str">
        <f>IFERROR(__xludf.DUMMYFUNCTION("GoogleTranslate(C66, ""en"", ""nb"")"),"Værmelding per time {name}")</f>
        <v>Værmelding per time {name}</v>
      </c>
      <c r="AV66" s="3" t="str">
        <f>IFERROR(__xludf.DUMMYFUNCTION("GoogleTranslate(C66, ""en"", ""fa"")"),"پیش‌بینی هوای ساعتی {name}")</f>
        <v>پیش‌بینی هوای ساعتی {name}</v>
      </c>
      <c r="AW66" s="3" t="str">
        <f>IFERROR(__xludf.DUMMYFUNCTION("GoogleTranslate(C66, ""en"", ""pl"")"),"Godzinowa prognoza pogody {name}")</f>
        <v>Godzinowa prognoza pogody {name}</v>
      </c>
      <c r="AX66" s="3" t="str">
        <f>IFERROR(__xludf.DUMMYFUNCTION("GoogleTranslate(C66, ""en"", ""pt"")"),"Previsão meteorológica por hora {nome}")</f>
        <v>Previsão meteorológica por hora {nome}</v>
      </c>
      <c r="AY66" s="3" t="str">
        <f>IFERROR(__xludf.DUMMYFUNCTION("GoogleTranslate(C66, ""en"", ""ro"")"),"Prognoza meteo pe oră {name}")</f>
        <v>Prognoza meteo pe oră {name}</v>
      </c>
      <c r="AZ66" s="3" t="str">
        <f>IFERROR(__xludf.DUMMYFUNCTION("GoogleTranslate(C66, ""en"", ""ru"")"),"Почасовой прогноз погоды {имя}")</f>
        <v>Почасовой прогноз погоды {имя}</v>
      </c>
      <c r="BA66" s="3" t="str">
        <f>IFERROR(__xludf.DUMMYFUNCTION("GoogleTranslate(C66, ""en"", ""sr"")"),"Временска прогноза по сату {наме}")</f>
        <v>Временска прогноза по сату {наме}</v>
      </c>
      <c r="BB66" s="3" t="str">
        <f>IFERROR(__xludf.DUMMYFUNCTION("GoogleTranslate(C66, ""en"", ""si"")"),"පැයක කාලගුණ අනාවැකිය {name}")</f>
        <v>පැයක කාලගුණ අනාවැකිය {name}</v>
      </c>
      <c r="BC66" s="3" t="str">
        <f>IFERROR(__xludf.DUMMYFUNCTION("GoogleTranslate(C66, ""en"", ""sk"")"),"Hodinová predpoveď počasia {name}")</f>
        <v>Hodinová predpoveď počasia {name}</v>
      </c>
      <c r="BD66" s="3" t="str">
        <f>IFERROR(__xludf.DUMMYFUNCTION("GoogleTranslate(C66, ""en"", ""sl"")"),"Urna vremenska napoved {name}")</f>
        <v>Urna vremenska napoved {name}</v>
      </c>
      <c r="BE66" s="3" t="str">
        <f>IFERROR(__xludf.DUMMYFUNCTION("GoogleTranslate(C66, ""en"", ""es"")"),"Pronóstico del tiempo por hora {nombre}")</f>
        <v>Pronóstico del tiempo por hora {nombre}</v>
      </c>
      <c r="BF66" s="3" t="str">
        <f>IFERROR(__xludf.DUMMYFUNCTION("GoogleTranslate(C66, ""en"", ""sw"")"),"Utabiri wa hali ya hewa wa kila saa {name}")</f>
        <v>Utabiri wa hali ya hewa wa kila saa {name}</v>
      </c>
      <c r="BG66" s="3" t="str">
        <f>IFERROR(__xludf.DUMMYFUNCTION("GoogleTranslate(C66, ""en"", ""sv"")"),"Väderprognos varje timme {name}")</f>
        <v>Väderprognos varje timme {name}</v>
      </c>
      <c r="BH66" s="3" t="str">
        <f>IFERROR(__xludf.DUMMYFUNCTION("GoogleTranslate(C66, ""en"", ""te"")"),"గంట వారీ వాతావరణ సూచన {name}")</f>
        <v>గంట వారీ వాతావరణ సూచన {name}</v>
      </c>
      <c r="BI66" s="3" t="str">
        <f>IFERROR(__xludf.DUMMYFUNCTION("GoogleTranslate(C66, ""en"", ""th"")"),"พยากรณ์อากาศรายชั่วโมง {name}")</f>
        <v>พยากรณ์อากาศรายชั่วโมง {name}</v>
      </c>
      <c r="BJ66" s="3" t="str">
        <f>IFERROR(__xludf.DUMMYFUNCTION("GoogleTranslate(C66, ""en"", ""tr"")"),"Saatlik hava durumu tahmini {name}")</f>
        <v>Saatlik hava durumu tahmini {name}</v>
      </c>
      <c r="BK66" s="3" t="str">
        <f>IFERROR(__xludf.DUMMYFUNCTION("GoogleTranslate(C66, ""en"", ""uk"")"),"Погодинний прогноз погоди {name}")</f>
        <v>Погодинний прогноз погоди {name}</v>
      </c>
      <c r="BL66" s="3" t="str">
        <f>IFERROR(__xludf.DUMMYFUNCTION("GoogleTranslate(C66, ""en"", ""zu"")"),"Isibikezelo sezulu sangehora {name}")</f>
        <v>Isibikezelo sezulu sangehora {name}</v>
      </c>
    </row>
    <row r="67">
      <c r="A67" s="1" t="str">
        <f t="shared" si="1"/>
        <v>Weather_{name}</v>
      </c>
      <c r="B67" s="4" t="s">
        <v>126</v>
      </c>
      <c r="C67" s="1" t="str">
        <f t="shared" si="2"/>
        <v>Weather {name}</v>
      </c>
      <c r="D67" s="3" t="str">
        <f>IFERROR(__xludf.DUMMYFUNCTION("GoogleTranslate(C67, ""en"", ""es"")"),"Tiempo {nombre}")</f>
        <v>Tiempo {nombre}</v>
      </c>
      <c r="E67" s="3" t="str">
        <f>IFERROR(__xludf.DUMMYFUNCTION("GoogleTranslate(C67, ""en"", ""ar"")"),"الطقس {الاسم}")</f>
        <v>الطقس {الاسم}</v>
      </c>
      <c r="F67" s="3" t="str">
        <f>IFERROR(__xludf.DUMMYFUNCTION("GoogleTranslate(C67, ""en"", ""hy"")"),"Եղանակ {name}")</f>
        <v>Եղանակ {name}</v>
      </c>
      <c r="G67" s="3" t="str">
        <f>IFERROR(__xludf.DUMMYFUNCTION("GoogleTranslate(C67, ""en"", ""vi"")"),"Thời tiết {tên}")</f>
        <v>Thời tiết {tên}</v>
      </c>
      <c r="H67" s="3" t="str">
        <f>IFERROR(__xludf.DUMMYFUNCTION("GoogleTranslate(C67, ""en"", ""az"")"),"Hava {name}")</f>
        <v>Hava {name}</v>
      </c>
      <c r="I67" s="3" t="str">
        <f>IFERROR(__xludf.DUMMYFUNCTION("GoogleTranslate(C67, ""en"", ""eu"")"),"Eguraldia {name}")</f>
        <v>Eguraldia {name}</v>
      </c>
      <c r="J67" s="3" t="str">
        <f>IFERROR(__xludf.DUMMYFUNCTION("GoogleTranslate(C67, ""en"", ""be"")"),"Надвор'е {name}")</f>
        <v>Надвор'е {name}</v>
      </c>
      <c r="K67" s="3" t="str">
        <f>IFERROR(__xludf.DUMMYFUNCTION("GoogleTranslate(C67, ""en"", ""bn"")"),"আবহাওয়া {নাম}")</f>
        <v>আবহাওয়া {নাম}</v>
      </c>
      <c r="L67" s="3" t="str">
        <f>IFERROR(__xludf.DUMMYFUNCTION("GoogleTranslate(C67, ""en"", ""bg"")"),"Времето {name}")</f>
        <v>Времето {name}</v>
      </c>
      <c r="M67" s="3" t="str">
        <f>IFERROR(__xludf.DUMMYFUNCTION("GoogleTranslate(C67, ""en"", ""my"")"),"မိုးလေဝသ {အမည်}")</f>
        <v>မိုးလေဝသ {အမည်}</v>
      </c>
      <c r="N67" s="3" t="str">
        <f>IFERROR(__xludf.DUMMYFUNCTION("GoogleTranslate(C67, ""en"", ""ca"")"),"El temps {name}")</f>
        <v>El temps {name}</v>
      </c>
      <c r="O67" s="3" t="str">
        <f>IFERROR(__xludf.DUMMYFUNCTION("GoogleTranslate(C67, ""en"", ""zh-cn"")"),"天气{名称}")</f>
        <v>天气{名称}</v>
      </c>
      <c r="P67" s="3" t="str">
        <f>IFERROR(__xludf.DUMMYFUNCTION("GoogleTranslate(C67, ""en"", ""zh-TW"")"),"天氣{名稱}")</f>
        <v>天氣{名稱}</v>
      </c>
      <c r="Q67" s="3" t="str">
        <f>IFERROR(__xludf.DUMMYFUNCTION("GoogleTranslate(C67, ""en"", ""hr"")"),"Vrijeme {name}")</f>
        <v>Vrijeme {name}</v>
      </c>
      <c r="R67" s="3" t="str">
        <f>IFERROR(__xludf.DUMMYFUNCTION("GoogleTranslate(C67, ""en"", ""cs"")"),"Počasí {name}")</f>
        <v>Počasí {name}</v>
      </c>
      <c r="S67" s="3" t="str">
        <f>IFERROR(__xludf.DUMMYFUNCTION("GoogleTranslate(C67, ""en"", ""da"")"),"Vejret {name}")</f>
        <v>Vejret {name}</v>
      </c>
      <c r="T67" s="3" t="str">
        <f>IFERROR(__xludf.DUMMYFUNCTION("GoogleTranslate(C67, ""en"", ""nl"")"),"Weer {naam}")</f>
        <v>Weer {naam}</v>
      </c>
      <c r="U67" s="3" t="str">
        <f>IFERROR(__xludf.DUMMYFUNCTION("GoogleTranslate(C67, ""en"", ""et"")"),"Ilm {name}")</f>
        <v>Ilm {name}</v>
      </c>
      <c r="V67" s="1" t="str">
        <f t="shared" si="3"/>
        <v>Weather {name}</v>
      </c>
      <c r="W67" s="3" t="str">
        <f>IFERROR(__xludf.DUMMYFUNCTION("GoogleTranslate(C67, ""en"", ""fi"")"),"Sää {name}")</f>
        <v>Sää {name}</v>
      </c>
      <c r="X67" s="3" t="str">
        <f>IFERROR(__xludf.DUMMYFUNCTION("GoogleTranslate(C67, ""en"", ""fr"")"),"Météo {nom}")</f>
        <v>Météo {nom}</v>
      </c>
      <c r="Y67" s="3" t="str">
        <f>IFERROR(__xludf.DUMMYFUNCTION("GoogleTranslate(C67, ""en"", ""de"")"),"Wetter {Name}")</f>
        <v>Wetter {Name}</v>
      </c>
      <c r="Z67" s="3" t="str">
        <f>IFERROR(__xludf.DUMMYFUNCTION("GoogleTranslate(C67, ""en"", ""el"")"),"Καιρός {name}")</f>
        <v>Καιρός {name}</v>
      </c>
      <c r="AA67" s="3" t="str">
        <f>IFERROR(__xludf.DUMMYFUNCTION("GoogleTranslate(C67, ""en"", ""iw"")"),"מזג אוויר {name}")</f>
        <v>מזג אוויר {name}</v>
      </c>
      <c r="AB67" s="3" t="str">
        <f>IFERROR(__xludf.DUMMYFUNCTION("GoogleTranslate(C67, ""en"", ""hi"")"),"मौसम {नाम}")</f>
        <v>मौसम {नाम}</v>
      </c>
      <c r="AC67" s="3" t="str">
        <f>IFERROR(__xludf.DUMMYFUNCTION("GoogleTranslate(C67, ""en"", ""hu"")"),"Időjárás {name}")</f>
        <v>Időjárás {name}</v>
      </c>
      <c r="AD67" s="3" t="str">
        <f>IFERROR(__xludf.DUMMYFUNCTION("GoogleTranslate(C67, ""en"", ""is"")"),"Veður {name}")</f>
        <v>Veður {name}</v>
      </c>
      <c r="AE67" s="3" t="str">
        <f>IFERROR(__xludf.DUMMYFUNCTION("GoogleTranslate(C67, ""en"", ""id"")"),"Cuaca {nama}")</f>
        <v>Cuaca {nama}</v>
      </c>
      <c r="AF67" s="3" t="str">
        <f>IFERROR(__xludf.DUMMYFUNCTION("GoogleTranslate(C67, ""en"", ""in"")"),"Cuaca {nama}")</f>
        <v>Cuaca {nama}</v>
      </c>
      <c r="AG67" s="3" t="str">
        <f>IFERROR(__xludf.DUMMYFUNCTION("GoogleTranslate(C67, ""en"", ""it"")"),"Meteo {nome}")</f>
        <v>Meteo {nome}</v>
      </c>
      <c r="AH67" s="3" t="str">
        <f>IFERROR(__xludf.DUMMYFUNCTION("GoogleTranslate(C67, ""en"", ""ja"")"),"天気 {名前}")</f>
        <v>天気 {名前}</v>
      </c>
      <c r="AI67" s="3" t="str">
        <f>IFERROR(__xludf.DUMMYFUNCTION("GoogleTranslate(C67, ""en"", ""kn"")"),"ಹವಾಮಾನ {name}")</f>
        <v>ಹವಾಮಾನ {name}</v>
      </c>
      <c r="AJ67" s="3" t="str">
        <f>IFERROR(__xludf.DUMMYFUNCTION("GoogleTranslate(C67, ""en"", ""km"")"),"អាកាសធាតុ {ឈ្មោះ}")</f>
        <v>អាកាសធាតុ {ឈ្មោះ}</v>
      </c>
      <c r="AK67" s="3" t="str">
        <f>IFERROR(__xludf.DUMMYFUNCTION("GoogleTranslate(C67, ""en"", ""ko"")"),"날씨 {이름}")</f>
        <v>날씨 {이름}</v>
      </c>
      <c r="AL67" s="3" t="str">
        <f>IFERROR(__xludf.DUMMYFUNCTION("GoogleTranslate(C67, ""en"", ""lo"")"),"ສະພາບອາກາດ {name}")</f>
        <v>ສະພາບອາກາດ {name}</v>
      </c>
      <c r="AM67" s="3" t="str">
        <f>IFERROR(__xludf.DUMMYFUNCTION("GoogleTranslate(C67, ""en"", ""lv"")"),"Laikapstākļi {name}")</f>
        <v>Laikapstākļi {name}</v>
      </c>
      <c r="AN67" s="3" t="str">
        <f>IFERROR(__xludf.DUMMYFUNCTION("GoogleTranslate(C67, ""en"", ""lt"")"),"Oras {name}")</f>
        <v>Oras {name}</v>
      </c>
      <c r="AO67" s="3" t="str">
        <f>IFERROR(__xludf.DUMMYFUNCTION("GoogleTranslate(C67, ""en"", ""mk"")"),"Времето {име}")</f>
        <v>Времето {име}</v>
      </c>
      <c r="AP67" s="3" t="str">
        <f>IFERROR(__xludf.DUMMYFUNCTION("GoogleTranslate(C67, ""en"", ""ms"")"),"Cuaca {nama}")</f>
        <v>Cuaca {nama}</v>
      </c>
      <c r="AQ67" s="3" t="str">
        <f>IFERROR(__xludf.DUMMYFUNCTION("GoogleTranslate(C67, ""en"", ""ml"")"),"കാലാവസ്ഥ {name}")</f>
        <v>കാലാവസ്ഥ {name}</v>
      </c>
      <c r="AR67" s="3" t="str">
        <f>IFERROR(__xludf.DUMMYFUNCTION("GoogleTranslate(C67, ""en"", ""mr"")"),"हवामान {नाम}")</f>
        <v>हवामान {नाम}</v>
      </c>
      <c r="AS67" s="3" t="str">
        <f>IFERROR(__xludf.DUMMYFUNCTION("GoogleTranslate(C67, ""en"", ""mn"")"),"Цаг агаар {нэр}")</f>
        <v>Цаг агаар {нэр}</v>
      </c>
      <c r="AT67" s="3" t="str">
        <f>IFERROR(__xludf.DUMMYFUNCTION("GoogleTranslate(C67, ""en"", ""ne"")"),"मौसम {नाम}")</f>
        <v>मौसम {नाम}</v>
      </c>
      <c r="AU67" s="3" t="str">
        <f>IFERROR(__xludf.DUMMYFUNCTION("GoogleTranslate(C67, ""en"", ""nb"")"),"Været {name}")</f>
        <v>Været {name}</v>
      </c>
      <c r="AV67" s="3" t="str">
        <f>IFERROR(__xludf.DUMMYFUNCTION("GoogleTranslate(C67, ""en"", ""fa"")"),"آب و هوا {name}")</f>
        <v>آب و هوا {name}</v>
      </c>
      <c r="AW67" s="3" t="str">
        <f>IFERROR(__xludf.DUMMYFUNCTION("GoogleTranslate(C67, ""en"", ""pl"")"),"Pogoda {nazwa}")</f>
        <v>Pogoda {nazwa}</v>
      </c>
      <c r="AX67" s="3" t="str">
        <f>IFERROR(__xludf.DUMMYFUNCTION("GoogleTranslate(C67, ""en"", ""pt"")"),"Tempo {nome}")</f>
        <v>Tempo {nome}</v>
      </c>
      <c r="AY67" s="3" t="str">
        <f>IFERROR(__xludf.DUMMYFUNCTION("GoogleTranslate(C67, ""en"", ""ro"")"),"Vremea {name}")</f>
        <v>Vremea {name}</v>
      </c>
      <c r="AZ67" s="3" t="str">
        <f>IFERROR(__xludf.DUMMYFUNCTION("GoogleTranslate(C67, ""en"", ""ru"")"),"Погода {имя}")</f>
        <v>Погода {имя}</v>
      </c>
      <c r="BA67" s="3" t="str">
        <f>IFERROR(__xludf.DUMMYFUNCTION("GoogleTranslate(C67, ""en"", ""sr"")"),"Време {наме}")</f>
        <v>Време {наме}</v>
      </c>
      <c r="BB67" s="3" t="str">
        <f>IFERROR(__xludf.DUMMYFUNCTION("GoogleTranslate(C67, ""en"", ""si"")"),"කාලගුණය {name}")</f>
        <v>කාලගුණය {name}</v>
      </c>
      <c r="BC67" s="3" t="str">
        <f>IFERROR(__xludf.DUMMYFUNCTION("GoogleTranslate(C67, ""en"", ""sk"")"),"Počasie {name}")</f>
        <v>Počasie {name}</v>
      </c>
      <c r="BD67" s="3" t="str">
        <f>IFERROR(__xludf.DUMMYFUNCTION("GoogleTranslate(C67, ""en"", ""sl"")"),"Vreme {name}")</f>
        <v>Vreme {name}</v>
      </c>
      <c r="BE67" s="3" t="str">
        <f>IFERROR(__xludf.DUMMYFUNCTION("GoogleTranslate(C67, ""en"", ""es"")"),"Tiempo {nombre}")</f>
        <v>Tiempo {nombre}</v>
      </c>
      <c r="BF67" s="3" t="str">
        <f>IFERROR(__xludf.DUMMYFUNCTION("GoogleTranslate(C67, ""en"", ""sw"")"),"Hali ya hewa {name}")</f>
        <v>Hali ya hewa {name}</v>
      </c>
      <c r="BG67" s="3" t="str">
        <f>IFERROR(__xludf.DUMMYFUNCTION("GoogleTranslate(C67, ""en"", ""sv"")"),"Väder {name}")</f>
        <v>Väder {name}</v>
      </c>
      <c r="BH67" s="3" t="str">
        <f>IFERROR(__xludf.DUMMYFUNCTION("GoogleTranslate(C67, ""en"", ""te"")"),"వాతావరణం {name}")</f>
        <v>వాతావరణం {name}</v>
      </c>
      <c r="BI67" s="3" t="str">
        <f>IFERROR(__xludf.DUMMYFUNCTION("GoogleTranslate(C67, ""en"", ""th"")"),"สภาพอากาศ {ชื่อ}")</f>
        <v>สภาพอากาศ {ชื่อ}</v>
      </c>
      <c r="BJ67" s="3" t="str">
        <f>IFERROR(__xludf.DUMMYFUNCTION("GoogleTranslate(C67, ""en"", ""tr"")"),"Hava durumu {isim}")</f>
        <v>Hava durumu {isim}</v>
      </c>
      <c r="BK67" s="3" t="str">
        <f>IFERROR(__xludf.DUMMYFUNCTION("GoogleTranslate(C67, ""en"", ""uk"")"),"Погода {name}")</f>
        <v>Погода {name}</v>
      </c>
      <c r="BL67" s="3" t="str">
        <f>IFERROR(__xludf.DUMMYFUNCTION("GoogleTranslate(C67, ""en"", ""zu"")"),"Isimo sezulu {name}")</f>
        <v>Isimo sezulu {name}</v>
      </c>
    </row>
    <row r="68">
      <c r="A68" s="1" t="str">
        <f t="shared" si="1"/>
        <v>Weather_information_for_{name}_in_the_coming_hours</v>
      </c>
      <c r="B68" s="4" t="s">
        <v>127</v>
      </c>
      <c r="C68" s="1" t="str">
        <f t="shared" si="2"/>
        <v>Weather information for {name} in the coming hours</v>
      </c>
      <c r="D68" s="3" t="str">
        <f>IFERROR(__xludf.DUMMYFUNCTION("GoogleTranslate(C68, ""en"", ""es"")"),"Información meteorológica para {nombre} en las próximas horas")</f>
        <v>Información meteorológica para {nombre} en las próximas horas</v>
      </c>
      <c r="E68" s="3" t="str">
        <f>IFERROR(__xludf.DUMMYFUNCTION("GoogleTranslate(C68, ""en"", ""ar"")"),"معلومات الطقس لـ {name} في الساعات القادمة")</f>
        <v>معلومات الطقس لـ {name} في الساعات القادمة</v>
      </c>
      <c r="F68" s="3" t="str">
        <f>IFERROR(__xludf.DUMMYFUNCTION("GoogleTranslate(C68, ""en"", ""hy"")"),"Եղանակի մասին տեղեկություններ {name}-ի համար առաջիկա ժամերին")</f>
        <v>Եղանակի մասին տեղեկություններ {name}-ի համար առաջիկա ժամերին</v>
      </c>
      <c r="G68" s="3" t="str">
        <f>IFERROR(__xludf.DUMMYFUNCTION("GoogleTranslate(C68, ""en"", ""vi"")"),"Thông tin thời tiết cho {name} trong những giờ tới")</f>
        <v>Thông tin thời tiết cho {name} trong những giờ tới</v>
      </c>
      <c r="H68" s="3" t="str">
        <f>IFERROR(__xludf.DUMMYFUNCTION("GoogleTranslate(C68, ""en"", ""az"")"),"Yaxın saatlarda {name} üçün hava məlumatı")</f>
        <v>Yaxın saatlarda {name} üçün hava məlumatı</v>
      </c>
      <c r="I68" s="3" t="str">
        <f>IFERROR(__xludf.DUMMYFUNCTION("GoogleTranslate(C68, ""en"", ""eu"")"),"{name}rako eguraldiaren informazioa datozen orduetan")</f>
        <v>{name}rako eguraldiaren informazioa datozen orduetan</v>
      </c>
      <c r="J68" s="3" t="str">
        <f>IFERROR(__xludf.DUMMYFUNCTION("GoogleTranslate(C68, ""en"", ""be"")"),"Інфармацыя пра надвор'е ў {name} на бліжэйшыя гадзіны")</f>
        <v>Інфармацыя пра надвор'е ў {name} на бліжэйшыя гадзіны</v>
      </c>
      <c r="K68" s="3" t="str">
        <f>IFERROR(__xludf.DUMMYFUNCTION("GoogleTranslate(C68, ""en"", ""bn"")"),"আগামী ঘণ্টায় {name}-এর আবহাওয়ার তথ্য")</f>
        <v>আগামী ঘণ্টায় {name}-এর আবহাওয়ার তথ্য</v>
      </c>
      <c r="L68" s="3" t="str">
        <f>IFERROR(__xludf.DUMMYFUNCTION("GoogleTranslate(C68, ""en"", ""bg"")"),"Информация за времето за {name} в следващите часове")</f>
        <v>Информация за времето за {name} в следващите часове</v>
      </c>
      <c r="M68" s="3" t="str">
        <f>IFERROR(__xludf.DUMMYFUNCTION("GoogleTranslate(C68, ""en"", ""my"")"),"လာမည့် နာရီများတွင် {name} အတွက် မိုးလေဝသ အချက်အလက်")</f>
        <v>လာမည့် နာရီများတွင် {name} အတွက် မိုးလေဝသ အချက်အလက်</v>
      </c>
      <c r="N68" s="3" t="str">
        <f>IFERROR(__xludf.DUMMYFUNCTION("GoogleTranslate(C68, ""en"", ""ca"")"),"Informació meteorològica per a {name} en les properes hores")</f>
        <v>Informació meteorològica per a {name} en les properes hores</v>
      </c>
      <c r="O68" s="3" t="str">
        <f>IFERROR(__xludf.DUMMYFUNCTION("GoogleTranslate(C68, ""en"", ""zh-cn"")"),"{name} 未来几小时内的天气信息")</f>
        <v>{name} 未来几小时内的天气信息</v>
      </c>
      <c r="P68" s="3" t="str">
        <f>IFERROR(__xludf.DUMMYFUNCTION("GoogleTranslate(C68, ""en"", ""zh-TW"")"),"{name} 未來幾小時內的天氣資訊")</f>
        <v>{name} 未來幾小時內的天氣資訊</v>
      </c>
      <c r="Q68" s="3" t="str">
        <f>IFERROR(__xludf.DUMMYFUNCTION("GoogleTranslate(C68, ""en"", ""hr"")"),"Informacije o vremenu za {name} u nadolazećim satima")</f>
        <v>Informacije o vremenu za {name} u nadolazećim satima</v>
      </c>
      <c r="R68" s="3" t="str">
        <f>IFERROR(__xludf.DUMMYFUNCTION("GoogleTranslate(C68, ""en"", ""cs"")"),"Informace o počasí pro {name} v nadcházejících hodinách")</f>
        <v>Informace o počasí pro {name} v nadcházejících hodinách</v>
      </c>
      <c r="S68" s="3" t="str">
        <f>IFERROR(__xludf.DUMMYFUNCTION("GoogleTranslate(C68, ""en"", ""da"")"),"Vejroplysninger for {name} i de kommende timer")</f>
        <v>Vejroplysninger for {name} i de kommende timer</v>
      </c>
      <c r="T68" s="3" t="str">
        <f>IFERROR(__xludf.DUMMYFUNCTION("GoogleTranslate(C68, ""en"", ""nl"")"),"Weersinformatie voor {name} de komende uren")</f>
        <v>Weersinformatie voor {name} de komende uren</v>
      </c>
      <c r="U68" s="3" t="str">
        <f>IFERROR(__xludf.DUMMYFUNCTION("GoogleTranslate(C68, ""en"", ""et"")"),"Ilmateave asukohale {name} lähitundidel")</f>
        <v>Ilmateave asukohale {name} lähitundidel</v>
      </c>
      <c r="V68" s="1" t="str">
        <f t="shared" si="3"/>
        <v>Weather information for {name} in the coming hours</v>
      </c>
      <c r="W68" s="3" t="str">
        <f>IFERROR(__xludf.DUMMYFUNCTION("GoogleTranslate(C68, ""en"", ""fi"")"),"Säätiedot kohteelle {name} tulevina tunteina")</f>
        <v>Säätiedot kohteelle {name} tulevina tunteina</v>
      </c>
      <c r="X68" s="3" t="str">
        <f>IFERROR(__xludf.DUMMYFUNCTION("GoogleTranslate(C68, ""en"", ""fr"")"),"Informations météorologiques pour {name} dans les heures à venir")</f>
        <v>Informations météorologiques pour {name} dans les heures à venir</v>
      </c>
      <c r="Y68" s="3" t="str">
        <f>IFERROR(__xludf.DUMMYFUNCTION("GoogleTranslate(C68, ""en"", ""de"")"),"Wetterinformationen für {name} in den kommenden Stunden")</f>
        <v>Wetterinformationen für {name} in den kommenden Stunden</v>
      </c>
      <c r="Z68" s="3" t="str">
        <f>IFERROR(__xludf.DUMMYFUNCTION("GoogleTranslate(C68, ""en"", ""el"")"),"Πληροφορίες καιρού για το {name} τις επόμενες ώρες")</f>
        <v>Πληροφορίες καιρού για το {name} τις επόμενες ώρες</v>
      </c>
      <c r="AA68" s="3" t="str">
        <f>IFERROR(__xludf.DUMMYFUNCTION("GoogleTranslate(C68, ""en"", ""iw"")"),"מידע על מזג האוויר עבור {name} בשעות הקרובות")</f>
        <v>מידע על מזג האוויר עבור {name} בשעות הקרובות</v>
      </c>
      <c r="AB68" s="3" t="str">
        <f>IFERROR(__xludf.DUMMYFUNCTION("GoogleTranslate(C68, ""en"", ""hi"")"),"आने वाले घंटों में {नाम} के लिए मौसम की जानकारी")</f>
        <v>आने वाले घंटों में {नाम} के लिए मौसम की जानकारी</v>
      </c>
      <c r="AC68" s="3" t="str">
        <f>IFERROR(__xludf.DUMMYFUNCTION("GoogleTranslate(C68, ""en"", ""hu"")"),"Időjárási információk {name} számára az elkövetkező órákban")</f>
        <v>Időjárási információk {name} számára az elkövetkező órákban</v>
      </c>
      <c r="AD68" s="3" t="str">
        <f>IFERROR(__xludf.DUMMYFUNCTION("GoogleTranslate(C68, ""en"", ""is"")"),"Veðurupplýsingar fyrir {name} á næstu klukkustundum")</f>
        <v>Veðurupplýsingar fyrir {name} á næstu klukkustundum</v>
      </c>
      <c r="AE68" s="3" t="str">
        <f>IFERROR(__xludf.DUMMYFUNCTION("GoogleTranslate(C68, ""en"", ""id"")"),"Informasi cuaca untuk {name} dalam beberapa jam mendatang")</f>
        <v>Informasi cuaca untuk {name} dalam beberapa jam mendatang</v>
      </c>
      <c r="AF68" s="3" t="str">
        <f>IFERROR(__xludf.DUMMYFUNCTION("GoogleTranslate(C68, ""en"", ""in"")"),"Informasi cuaca untuk {name} dalam beberapa jam mendatang")</f>
        <v>Informasi cuaca untuk {name} dalam beberapa jam mendatang</v>
      </c>
      <c r="AG68" s="3" t="str">
        <f>IFERROR(__xludf.DUMMYFUNCTION("GoogleTranslate(C68, ""en"", ""it"")"),"Informazioni meteorologiche per {name} nelle prossime ore")</f>
        <v>Informazioni meteorologiche per {name} nelle prossime ore</v>
      </c>
      <c r="AH68" s="3" t="str">
        <f>IFERROR(__xludf.DUMMYFUNCTION("GoogleTranslate(C68, ""en"", ""ja"")"),"今後数時間の {name} の天気情報")</f>
        <v>今後数時間の {name} の天気情報</v>
      </c>
      <c r="AI68" s="3" t="str">
        <f>IFERROR(__xludf.DUMMYFUNCTION("GoogleTranslate(C68, ""en"", ""kn"")"),"ಮುಂಬರುವ ಗಂಟೆಗಳಲ್ಲಿ {name} ಗಾಗಿ ಹವಾಮಾನ ಮಾಹಿತಿ")</f>
        <v>ಮುಂಬರುವ ಗಂಟೆಗಳಲ್ಲಿ {name} ಗಾಗಿ ಹವಾಮಾನ ಮಾಹಿತಿ</v>
      </c>
      <c r="AJ68" s="3" t="str">
        <f>IFERROR(__xludf.DUMMYFUNCTION("GoogleTranslate(C68, ""en"", ""km"")"),"ព័ត៌មានអាកាសធាតុសម្រាប់ {name} នៅប៉ុន្មានម៉ោងខាងមុខនេះ")</f>
        <v>ព័ត៌មានអាកាសធាតុសម្រាប់ {name} នៅប៉ុន្មានម៉ោងខាងមុខនេះ</v>
      </c>
      <c r="AK68" s="3" t="str">
        <f>IFERROR(__xludf.DUMMYFUNCTION("GoogleTranslate(C68, ""en"", ""ko"")"),"앞으로 몇 시간 동안 {name}의 날씨 정보")</f>
        <v>앞으로 몇 시간 동안 {name}의 날씨 정보</v>
      </c>
      <c r="AL68" s="3" t="str">
        <f>IFERROR(__xludf.DUMMYFUNCTION("GoogleTranslate(C68, ""en"", ""lo"")"),"ຂໍ້ມູນສະພາບອາກາດສໍາລັບ {name} ໃນຊົ່ວໂມງຂ້າງຫນ້າ")</f>
        <v>ຂໍ້ມູນສະພາບອາກາດສໍາລັບ {name} ໃນຊົ່ວໂມງຂ້າງຫນ້າ</v>
      </c>
      <c r="AM68" s="3" t="str">
        <f>IFERROR(__xludf.DUMMYFUNCTION("GoogleTranslate(C68, ""en"", ""lv"")"),"Laika informācija par {name} tuvākajās stundās")</f>
        <v>Laika informācija par {name} tuvākajās stundās</v>
      </c>
      <c r="AN68" s="3" t="str">
        <f>IFERROR(__xludf.DUMMYFUNCTION("GoogleTranslate(C68, ""en"", ""lt"")"),"Orų informacija {name} artimiausiomis valandomis")</f>
        <v>Orų informacija {name} artimiausiomis valandomis</v>
      </c>
      <c r="AO68" s="3" t="str">
        <f>IFERROR(__xludf.DUMMYFUNCTION("GoogleTranslate(C68, ""en"", ""mk"")"),"Информации за времето за {name} во наредните часови")</f>
        <v>Информации за времето за {name} во наредните часови</v>
      </c>
      <c r="AP68" s="3" t="str">
        <f>IFERROR(__xludf.DUMMYFUNCTION("GoogleTranslate(C68, ""en"", ""ms"")"),"Maklumat cuaca untuk {name} dalam beberapa jam akan datang")</f>
        <v>Maklumat cuaca untuk {name} dalam beberapa jam akan datang</v>
      </c>
      <c r="AQ68" s="3" t="str">
        <f>IFERROR(__xludf.DUMMYFUNCTION("GoogleTranslate(C68, ""en"", ""ml"")"),"വരും മണിക്കൂറുകളിൽ {name} എന്നതിനായുള്ള കാലാവസ്ഥാ വിവരങ്ങൾ")</f>
        <v>വരും മണിക്കൂറുകളിൽ {name} എന്നതിനായുള്ള കാലാവസ്ഥാ വിവരങ്ങൾ</v>
      </c>
      <c r="AR68" s="3" t="str">
        <f>IFERROR(__xludf.DUMMYFUNCTION("GoogleTranslate(C68, ""en"", ""mr"")"),"येत्या काही तासांमध्ये {name} साठी हवामान माहिती")</f>
        <v>येत्या काही तासांमध्ये {name} साठी हवामान माहिती</v>
      </c>
      <c r="AS68" s="3" t="str">
        <f>IFERROR(__xludf.DUMMYFUNCTION("GoogleTranslate(C68, ""en"", ""mn"")"),"{name}-н ойрын цагийн цаг агаарын мэдээлэл")</f>
        <v>{name}-н ойрын цагийн цаг агаарын мэдээлэл</v>
      </c>
      <c r="AT68" s="3" t="str">
        <f>IFERROR(__xludf.DUMMYFUNCTION("GoogleTranslate(C68, ""en"", ""ne"")"),"आगामी घण्टामा {name} को मौसम जानकारी")</f>
        <v>आगामी घण्टामा {name} को मौसम जानकारी</v>
      </c>
      <c r="AU68" s="3" t="str">
        <f>IFERROR(__xludf.DUMMYFUNCTION("GoogleTranslate(C68, ""en"", ""nb"")"),"Værinformasjon for {name} i de kommende timene")</f>
        <v>Værinformasjon for {name} i de kommende timene</v>
      </c>
      <c r="AV68" s="3" t="str">
        <f>IFERROR(__xludf.DUMMYFUNCTION("GoogleTranslate(C68, ""en"", ""fa"")"),"اطلاعات آب و هوای {name} در ساعات آینده")</f>
        <v>اطلاعات آب و هوای {name} در ساعات آینده</v>
      </c>
      <c r="AW68" s="3" t="str">
        <f>IFERROR(__xludf.DUMMYFUNCTION("GoogleTranslate(C68, ""en"", ""pl"")"),"Informacje o pogodzie dla {name} w nadchodzących godzinach")</f>
        <v>Informacje o pogodzie dla {name} w nadchodzących godzinach</v>
      </c>
      <c r="AX68" s="3" t="str">
        <f>IFERROR(__xludf.DUMMYFUNCTION("GoogleTranslate(C68, ""en"", ""pt"")"),"Informações meteorológicas para {name} nas próximas horas")</f>
        <v>Informações meteorológicas para {name} nas próximas horas</v>
      </c>
      <c r="AY68" s="3" t="str">
        <f>IFERROR(__xludf.DUMMYFUNCTION("GoogleTranslate(C68, ""en"", ""ro"")"),"Informații meteo pentru {name} în următoarele ore")</f>
        <v>Informații meteo pentru {name} în următoarele ore</v>
      </c>
      <c r="AZ68" s="3" t="str">
        <f>IFERROR(__xludf.DUMMYFUNCTION("GoogleTranslate(C68, ""en"", ""ru"")"),"Информация о погоде для {name} в ближайшие часы")</f>
        <v>Информация о погоде для {name} в ближайшие часы</v>
      </c>
      <c r="BA68" s="3" t="str">
        <f>IFERROR(__xludf.DUMMYFUNCTION("GoogleTranslate(C68, ""en"", ""sr"")"),"Информације о времену за {наме} у наредним сатима")</f>
        <v>Информације о времену за {наме} у наредним сатима</v>
      </c>
      <c r="BB68" s="3" t="str">
        <f>IFERROR(__xludf.DUMMYFUNCTION("GoogleTranslate(C68, ""en"", ""si"")"),"ඉදිරි පැය තුළ {name} සඳහා කාලගුණ තොරතුරු")</f>
        <v>ඉදිරි පැය තුළ {name} සඳහා කාලගුණ තොරතුරු</v>
      </c>
      <c r="BC68" s="3" t="str">
        <f>IFERROR(__xludf.DUMMYFUNCTION("GoogleTranslate(C68, ""en"", ""sk"")"),"Informácie o počasí pre {name} v najbližších hodinách")</f>
        <v>Informácie o počasí pre {name} v najbližších hodinách</v>
      </c>
      <c r="BD68" s="3" t="str">
        <f>IFERROR(__xludf.DUMMYFUNCTION("GoogleTranslate(C68, ""en"", ""sl"")"),"Informacije o vremenu za {name} v prihodnjih urah")</f>
        <v>Informacije o vremenu za {name} v prihodnjih urah</v>
      </c>
      <c r="BE68" s="3" t="str">
        <f>IFERROR(__xludf.DUMMYFUNCTION("GoogleTranslate(C68, ""en"", ""es"")"),"Información meteorológica para {nombre} en las próximas horas")</f>
        <v>Información meteorológica para {nombre} en las próximas horas</v>
      </c>
      <c r="BF68" s="3" t="str">
        <f>IFERROR(__xludf.DUMMYFUNCTION("GoogleTranslate(C68, ""en"", ""sw"")"),"Taarifa ya hali ya hewa ya {name} katika saa zijazo")</f>
        <v>Taarifa ya hali ya hewa ya {name} katika saa zijazo</v>
      </c>
      <c r="BG68" s="3" t="str">
        <f>IFERROR(__xludf.DUMMYFUNCTION("GoogleTranslate(C68, ""en"", ""sv"")"),"Väderinformation för {name} under de kommande timmarna")</f>
        <v>Väderinformation för {name} under de kommande timmarna</v>
      </c>
      <c r="BH68" s="3" t="str">
        <f>IFERROR(__xludf.DUMMYFUNCTION("GoogleTranslate(C68, ""en"", ""te"")"),"రాబోయే గంటలలో {name} కోసం వాతావరణ సమాచారం")</f>
        <v>రాబోయే గంటలలో {name} కోసం వాతావరణ సమాచారం</v>
      </c>
      <c r="BI68" s="3" t="str">
        <f>IFERROR(__xludf.DUMMYFUNCTION("GoogleTranslate(C68, ""en"", ""th"")"),"ข้อมูลสภาพอากาศสำหรับ {name} ในอีกไม่กี่ชั่วโมงข้างหน้า")</f>
        <v>ข้อมูลสภาพอากาศสำหรับ {name} ในอีกไม่กี่ชั่วโมงข้างหน้า</v>
      </c>
      <c r="BJ68" s="3" t="str">
        <f>IFERROR(__xludf.DUMMYFUNCTION("GoogleTranslate(C68, ""en"", ""tr"")"),"{name} için önümüzdeki saatlerde hava durumu bilgileri")</f>
        <v>{name} için önümüzdeki saatlerde hava durumu bilgileri</v>
      </c>
      <c r="BK68" s="3" t="str">
        <f>IFERROR(__xludf.DUMMYFUNCTION("GoogleTranslate(C68, ""en"", ""uk"")"),"Інформація про погоду для {name} на найближчі години")</f>
        <v>Інформація про погоду для {name} на найближчі години</v>
      </c>
      <c r="BL68" s="3" t="str">
        <f>IFERROR(__xludf.DUMMYFUNCTION("GoogleTranslate(C68, ""en"", ""zu"")"),"Ulwazi lwesimo sezulu lwe-{name} emahoreni azayo")</f>
        <v>Ulwazi lwesimo sezulu lwe-{name} emahoreni azayo</v>
      </c>
    </row>
    <row r="69">
      <c r="A69" s="1" t="str">
        <f t="shared" si="1"/>
        <v>Dew_point</v>
      </c>
      <c r="B69" s="4" t="s">
        <v>128</v>
      </c>
      <c r="C69" s="1" t="str">
        <f t="shared" si="2"/>
        <v>Dew point</v>
      </c>
      <c r="D69" s="3" t="str">
        <f>IFERROR(__xludf.DUMMYFUNCTION("GoogleTranslate(C69, ""en"", ""es"")"),"Punto de rocío")</f>
        <v>Punto de rocío</v>
      </c>
      <c r="E69" s="3" t="str">
        <f>IFERROR(__xludf.DUMMYFUNCTION("GoogleTranslate(C69, ""en"", ""ar"")"),"نقطة الندى")</f>
        <v>نقطة الندى</v>
      </c>
      <c r="F69" s="3" t="str">
        <f>IFERROR(__xludf.DUMMYFUNCTION("GoogleTranslate(C69, ""en"", ""hy"")"),"Ցողի կետ")</f>
        <v>Ցողի կետ</v>
      </c>
      <c r="G69" s="3" t="str">
        <f>IFERROR(__xludf.DUMMYFUNCTION("GoogleTranslate(C69, ""en"", ""vi"")"),"điểm sương")</f>
        <v>điểm sương</v>
      </c>
      <c r="H69" s="3" t="str">
        <f>IFERROR(__xludf.DUMMYFUNCTION("GoogleTranslate(C69, ""en"", ""az"")"),"Çiy nöqtəsi")</f>
        <v>Çiy nöqtəsi</v>
      </c>
      <c r="I69" s="3" t="str">
        <f>IFERROR(__xludf.DUMMYFUNCTION("GoogleTranslate(C69, ""en"", ""eu"")"),"Ihintza puntua")</f>
        <v>Ihintza puntua</v>
      </c>
      <c r="J69" s="3" t="str">
        <f>IFERROR(__xludf.DUMMYFUNCTION("GoogleTranslate(C69, ""en"", ""be"")"),"Кропка расы")</f>
        <v>Кропка расы</v>
      </c>
      <c r="K69" s="3" t="str">
        <f>IFERROR(__xludf.DUMMYFUNCTION("GoogleTranslate(C69, ""en"", ""bn"")"),"শিশির বিন্দু")</f>
        <v>শিশির বিন্দু</v>
      </c>
      <c r="L69" s="3" t="str">
        <f>IFERROR(__xludf.DUMMYFUNCTION("GoogleTranslate(C69, ""en"", ""bg"")"),"Точка на оросяване")</f>
        <v>Точка на оросяване</v>
      </c>
      <c r="M69" s="3" t="str">
        <f>IFERROR(__xludf.DUMMYFUNCTION("GoogleTranslate(C69, ""en"", ""my"")"),"နှင်းရည်ကျို")</f>
        <v>နှင်းရည်ကျို</v>
      </c>
      <c r="N69" s="3" t="str">
        <f>IFERROR(__xludf.DUMMYFUNCTION("GoogleTranslate(C69, ""en"", ""ca"")"),"Punt de rosada")</f>
        <v>Punt de rosada</v>
      </c>
      <c r="O69" s="3" t="str">
        <f>IFERROR(__xludf.DUMMYFUNCTION("GoogleTranslate(C69, ""en"", ""zh-cn"")"),"露点")</f>
        <v>露点</v>
      </c>
      <c r="P69" s="3" t="str">
        <f>IFERROR(__xludf.DUMMYFUNCTION("GoogleTranslate(C69, ""en"", ""zh-TW"")"),"露點")</f>
        <v>露點</v>
      </c>
      <c r="Q69" s="3" t="str">
        <f>IFERROR(__xludf.DUMMYFUNCTION("GoogleTranslate(C69, ""en"", ""hr"")"),"Rosište")</f>
        <v>Rosište</v>
      </c>
      <c r="R69" s="3" t="str">
        <f>IFERROR(__xludf.DUMMYFUNCTION("GoogleTranslate(C69, ""en"", ""cs"")"),"Rosný bod")</f>
        <v>Rosný bod</v>
      </c>
      <c r="S69" s="3" t="str">
        <f>IFERROR(__xludf.DUMMYFUNCTION("GoogleTranslate(C69, ""en"", ""da"")"),"Dugpunkt")</f>
        <v>Dugpunkt</v>
      </c>
      <c r="T69" s="3" t="str">
        <f>IFERROR(__xludf.DUMMYFUNCTION("GoogleTranslate(C69, ""en"", ""nl"")"),"Dauw punt")</f>
        <v>Dauw punt</v>
      </c>
      <c r="U69" s="3" t="str">
        <f>IFERROR(__xludf.DUMMYFUNCTION("GoogleTranslate(C69, ""en"", ""et"")"),"Kastepunkt")</f>
        <v>Kastepunkt</v>
      </c>
      <c r="V69" s="1" t="str">
        <f t="shared" si="3"/>
        <v>Dew point</v>
      </c>
      <c r="W69" s="3" t="str">
        <f>IFERROR(__xludf.DUMMYFUNCTION("GoogleTranslate(C69, ""en"", ""fi"")"),"Kastepiste")</f>
        <v>Kastepiste</v>
      </c>
      <c r="X69" s="3" t="str">
        <f>IFERROR(__xludf.DUMMYFUNCTION("GoogleTranslate(C69, ""en"", ""fr"")"),"Point de rosée")</f>
        <v>Point de rosée</v>
      </c>
      <c r="Y69" s="3" t="str">
        <f>IFERROR(__xludf.DUMMYFUNCTION("GoogleTranslate(C69, ""en"", ""de"")"),"Taupunkt")</f>
        <v>Taupunkt</v>
      </c>
      <c r="Z69" s="3" t="str">
        <f>IFERROR(__xludf.DUMMYFUNCTION("GoogleTranslate(C69, ""en"", ""el"")"),"Σημείο δρόσου")</f>
        <v>Σημείο δρόσου</v>
      </c>
      <c r="AA69" s="3" t="str">
        <f>IFERROR(__xludf.DUMMYFUNCTION("GoogleTranslate(C69, ""en"", ""iw"")"),"נקודת טל")</f>
        <v>נקודת טל</v>
      </c>
      <c r="AB69" s="3" t="str">
        <f>IFERROR(__xludf.DUMMYFUNCTION("GoogleTranslate(C69, ""en"", ""hi"")"),"ओसांक")</f>
        <v>ओसांक</v>
      </c>
      <c r="AC69" s="3" t="str">
        <f>IFERROR(__xludf.DUMMYFUNCTION("GoogleTranslate(C69, ""en"", ""hu"")"),"Harmatpont")</f>
        <v>Harmatpont</v>
      </c>
      <c r="AD69" s="3" t="str">
        <f>IFERROR(__xludf.DUMMYFUNCTION("GoogleTranslate(C69, ""en"", ""is"")"),"Daggarmark")</f>
        <v>Daggarmark</v>
      </c>
      <c r="AE69" s="3" t="str">
        <f>IFERROR(__xludf.DUMMYFUNCTION("GoogleTranslate(C69, ""en"", ""id"")"),"Titik embun")</f>
        <v>Titik embun</v>
      </c>
      <c r="AF69" s="3" t="str">
        <f>IFERROR(__xludf.DUMMYFUNCTION("GoogleTranslate(C69, ""en"", ""in"")"),"Titik embun")</f>
        <v>Titik embun</v>
      </c>
      <c r="AG69" s="3" t="str">
        <f>IFERROR(__xludf.DUMMYFUNCTION("GoogleTranslate(C69, ""en"", ""it"")"),"Punto di rugiada")</f>
        <v>Punto di rugiada</v>
      </c>
      <c r="AH69" s="3" t="str">
        <f>IFERROR(__xludf.DUMMYFUNCTION("GoogleTranslate(C69, ""en"", ""ja"")"),"露点")</f>
        <v>露点</v>
      </c>
      <c r="AI69" s="3" t="str">
        <f>IFERROR(__xludf.DUMMYFUNCTION("GoogleTranslate(C69, ""en"", ""kn"")"),"ಇಬ್ಬನಿ ಬಿಂದು")</f>
        <v>ಇಬ್ಬನಿ ಬಿಂದು</v>
      </c>
      <c r="AJ69" s="3" t="str">
        <f>IFERROR(__xludf.DUMMYFUNCTION("GoogleTranslate(C69, ""en"", ""km"")"),"ចំណុចទឹកសន្សើម")</f>
        <v>ចំណុចទឹកសន្សើម</v>
      </c>
      <c r="AK69" s="3" t="str">
        <f>IFERROR(__xludf.DUMMYFUNCTION("GoogleTranslate(C69, ""en"", ""ko"")"),"이슬점")</f>
        <v>이슬점</v>
      </c>
      <c r="AL69" s="3" t="str">
        <f>IFERROR(__xludf.DUMMYFUNCTION("GoogleTranslate(C69, ""en"", ""lo"")"),"ຈຸດນ້ໍາຕົກ")</f>
        <v>ຈຸດນ້ໍາຕົກ</v>
      </c>
      <c r="AM69" s="3" t="str">
        <f>IFERROR(__xludf.DUMMYFUNCTION("GoogleTranslate(C69, ""en"", ""lv"")"),"Rasas punkts")</f>
        <v>Rasas punkts</v>
      </c>
      <c r="AN69" s="3" t="str">
        <f>IFERROR(__xludf.DUMMYFUNCTION("GoogleTranslate(C69, ""en"", ""lt"")"),"Rasos taškas")</f>
        <v>Rasos taškas</v>
      </c>
      <c r="AO69" s="3" t="str">
        <f>IFERROR(__xludf.DUMMYFUNCTION("GoogleTranslate(C69, ""en"", ""mk"")"),"Точка на роса")</f>
        <v>Точка на роса</v>
      </c>
      <c r="AP69" s="3" t="str">
        <f>IFERROR(__xludf.DUMMYFUNCTION("GoogleTranslate(C69, ""en"", ""ms"")"),"Titik embun")</f>
        <v>Titik embun</v>
      </c>
      <c r="AQ69" s="3" t="str">
        <f>IFERROR(__xludf.DUMMYFUNCTION("GoogleTranslate(C69, ""en"", ""ml"")"),"മഞ്ഞു പോയിൻ്റ്")</f>
        <v>മഞ്ഞു പോയിൻ്റ്</v>
      </c>
      <c r="AR69" s="3" t="str">
        <f>IFERROR(__xludf.DUMMYFUNCTION("GoogleTranslate(C69, ""en"", ""mr"")"),"दवबिंदू")</f>
        <v>दवबिंदू</v>
      </c>
      <c r="AS69" s="3" t="str">
        <f>IFERROR(__xludf.DUMMYFUNCTION("GoogleTranslate(C69, ""en"", ""mn"")"),"Шүүдэр цэг")</f>
        <v>Шүүдэр цэг</v>
      </c>
      <c r="AT69" s="3" t="str">
        <f>IFERROR(__xludf.DUMMYFUNCTION("GoogleTranslate(C69, ""en"", ""ne"")"),"ओस बिन्दु")</f>
        <v>ओस बिन्दु</v>
      </c>
      <c r="AU69" s="3" t="str">
        <f>IFERROR(__xludf.DUMMYFUNCTION("GoogleTranslate(C69, ""en"", ""nb"")"),"Duggpunkt")</f>
        <v>Duggpunkt</v>
      </c>
      <c r="AV69" s="3" t="str">
        <f>IFERROR(__xludf.DUMMYFUNCTION("GoogleTranslate(C69, ""en"", ""fa"")"),"نقطه شبنم")</f>
        <v>نقطه شبنم</v>
      </c>
      <c r="AW69" s="3" t="str">
        <f>IFERROR(__xludf.DUMMYFUNCTION("GoogleTranslate(C69, ""en"", ""pl"")"),"Punkt rosy")</f>
        <v>Punkt rosy</v>
      </c>
      <c r="AX69" s="3" t="str">
        <f>IFERROR(__xludf.DUMMYFUNCTION("GoogleTranslate(C69, ""en"", ""pt"")"),"Ponto de orvalho")</f>
        <v>Ponto de orvalho</v>
      </c>
      <c r="AY69" s="3" t="str">
        <f>IFERROR(__xludf.DUMMYFUNCTION("GoogleTranslate(C69, ""en"", ""ro"")"),"Punct de rouă")</f>
        <v>Punct de rouă</v>
      </c>
      <c r="AZ69" s="3" t="str">
        <f>IFERROR(__xludf.DUMMYFUNCTION("GoogleTranslate(C69, ""en"", ""ru"")"),"Точка росы")</f>
        <v>Точка росы</v>
      </c>
      <c r="BA69" s="3" t="str">
        <f>IFERROR(__xludf.DUMMYFUNCTION("GoogleTranslate(C69, ""en"", ""sr"")"),"Тачка росе")</f>
        <v>Тачка росе</v>
      </c>
      <c r="BB69" s="3" t="str">
        <f>IFERROR(__xludf.DUMMYFUNCTION("GoogleTranslate(C69, ""en"", ""si"")"),"පිනි පොයින්ට්")</f>
        <v>පිනි පොයින්ට්</v>
      </c>
      <c r="BC69" s="3" t="str">
        <f>IFERROR(__xludf.DUMMYFUNCTION("GoogleTranslate(C69, ""en"", ""sk"")"),"Rosný bod")</f>
        <v>Rosný bod</v>
      </c>
      <c r="BD69" s="3" t="str">
        <f>IFERROR(__xludf.DUMMYFUNCTION("GoogleTranslate(C69, ""en"", ""sl"")"),"Točka rosišča")</f>
        <v>Točka rosišča</v>
      </c>
      <c r="BE69" s="3" t="str">
        <f>IFERROR(__xludf.DUMMYFUNCTION("GoogleTranslate(C69, ""en"", ""es"")"),"Punto de rocío")</f>
        <v>Punto de rocío</v>
      </c>
      <c r="BF69" s="3" t="str">
        <f>IFERROR(__xludf.DUMMYFUNCTION("GoogleTranslate(C69, ""en"", ""sw"")"),"Kiwango cha umande")</f>
        <v>Kiwango cha umande</v>
      </c>
      <c r="BG69" s="3" t="str">
        <f>IFERROR(__xludf.DUMMYFUNCTION("GoogleTranslate(C69, ""en"", ""sv"")"),"Daggpunkt")</f>
        <v>Daggpunkt</v>
      </c>
      <c r="BH69" s="3" t="str">
        <f>IFERROR(__xludf.DUMMYFUNCTION("GoogleTranslate(C69, ""en"", ""te"")"),"మంచు బిందువు")</f>
        <v>మంచు బిందువు</v>
      </c>
      <c r="BI69" s="3" t="str">
        <f>IFERROR(__xludf.DUMMYFUNCTION("GoogleTranslate(C69, ""en"", ""th"")"),"จุดน้ำค้าง")</f>
        <v>จุดน้ำค้าง</v>
      </c>
      <c r="BJ69" s="3" t="str">
        <f>IFERROR(__xludf.DUMMYFUNCTION("GoogleTranslate(C69, ""en"", ""tr"")"),"Çiy noktası")</f>
        <v>Çiy noktası</v>
      </c>
      <c r="BK69" s="3" t="str">
        <f>IFERROR(__xludf.DUMMYFUNCTION("GoogleTranslate(C69, ""en"", ""uk"")"),"Точка роси")</f>
        <v>Точка роси</v>
      </c>
      <c r="BL69" s="3" t="str">
        <f>IFERROR(__xludf.DUMMYFUNCTION("GoogleTranslate(C69, ""en"", ""zu"")"),"Iphuzu lamazolo")</f>
        <v>Iphuzu lamazolo</v>
      </c>
    </row>
    <row r="70">
      <c r="A70" s="1" t="str">
        <f t="shared" si="1"/>
        <v>Pressure</v>
      </c>
      <c r="B70" s="4" t="s">
        <v>109</v>
      </c>
      <c r="C70" s="1" t="str">
        <f t="shared" si="2"/>
        <v>Pressure</v>
      </c>
      <c r="D70" s="3" t="str">
        <f>IFERROR(__xludf.DUMMYFUNCTION("GoogleTranslate(C70, ""en"", ""es"")"),"Presión")</f>
        <v>Presión</v>
      </c>
      <c r="E70" s="3" t="str">
        <f>IFERROR(__xludf.DUMMYFUNCTION("GoogleTranslate(C70, ""en"", ""ar"")"),"ضغط")</f>
        <v>ضغط</v>
      </c>
      <c r="F70" s="3" t="str">
        <f>IFERROR(__xludf.DUMMYFUNCTION("GoogleTranslate(C70, ""en"", ""hy"")"),"Ճնշում")</f>
        <v>Ճնշում</v>
      </c>
      <c r="G70" s="3" t="str">
        <f>IFERROR(__xludf.DUMMYFUNCTION("GoogleTranslate(C70, ""en"", ""vi"")"),"Áp lực")</f>
        <v>Áp lực</v>
      </c>
      <c r="H70" s="3" t="str">
        <f>IFERROR(__xludf.DUMMYFUNCTION("GoogleTranslate(C70, ""en"", ""az"")"),"Təzyiq")</f>
        <v>Təzyiq</v>
      </c>
      <c r="I70" s="3" t="str">
        <f>IFERROR(__xludf.DUMMYFUNCTION("GoogleTranslate(C70, ""en"", ""eu"")"),"Presioa")</f>
        <v>Presioa</v>
      </c>
      <c r="J70" s="3" t="str">
        <f>IFERROR(__xludf.DUMMYFUNCTION("GoogleTranslate(C70, ""en"", ""be"")"),"Ціск")</f>
        <v>Ціск</v>
      </c>
      <c r="K70" s="3" t="str">
        <f>IFERROR(__xludf.DUMMYFUNCTION("GoogleTranslate(C70, ""en"", ""bn"")"),"চাপ")</f>
        <v>চাপ</v>
      </c>
      <c r="L70" s="3" t="str">
        <f>IFERROR(__xludf.DUMMYFUNCTION("GoogleTranslate(C70, ""en"", ""bg"")"),"налягане")</f>
        <v>налягане</v>
      </c>
      <c r="M70" s="3" t="str">
        <f>IFERROR(__xludf.DUMMYFUNCTION("GoogleTranslate(C70, ""en"", ""my"")"),"ဖိအား")</f>
        <v>ဖိအား</v>
      </c>
      <c r="N70" s="3" t="str">
        <f>IFERROR(__xludf.DUMMYFUNCTION("GoogleTranslate(C70, ""en"", ""ca"")"),"Pressió")</f>
        <v>Pressió</v>
      </c>
      <c r="O70" s="3" t="str">
        <f>IFERROR(__xludf.DUMMYFUNCTION("GoogleTranslate(C70, ""en"", ""zh-cn"")"),"压力")</f>
        <v>压力</v>
      </c>
      <c r="P70" s="3" t="str">
        <f>IFERROR(__xludf.DUMMYFUNCTION("GoogleTranslate(C70, ""en"", ""zh-TW"")"),"壓力")</f>
        <v>壓力</v>
      </c>
      <c r="Q70" s="3" t="str">
        <f>IFERROR(__xludf.DUMMYFUNCTION("GoogleTranslate(C70, ""en"", ""hr"")"),"Pritisak")</f>
        <v>Pritisak</v>
      </c>
      <c r="R70" s="3" t="str">
        <f>IFERROR(__xludf.DUMMYFUNCTION("GoogleTranslate(C70, ""en"", ""cs"")"),"Tlak")</f>
        <v>Tlak</v>
      </c>
      <c r="S70" s="3" t="str">
        <f>IFERROR(__xludf.DUMMYFUNCTION("GoogleTranslate(C70, ""en"", ""da"")"),"Tryk")</f>
        <v>Tryk</v>
      </c>
      <c r="T70" s="3" t="str">
        <f>IFERROR(__xludf.DUMMYFUNCTION("GoogleTranslate(C70, ""en"", ""nl"")"),"Druk")</f>
        <v>Druk</v>
      </c>
      <c r="U70" s="3" t="str">
        <f>IFERROR(__xludf.DUMMYFUNCTION("GoogleTranslate(C70, ""en"", ""et"")"),"Surve")</f>
        <v>Surve</v>
      </c>
      <c r="V70" s="1" t="str">
        <f t="shared" si="3"/>
        <v>Pressure</v>
      </c>
      <c r="W70" s="3" t="str">
        <f>IFERROR(__xludf.DUMMYFUNCTION("GoogleTranslate(C70, ""en"", ""fi"")"),"Paine")</f>
        <v>Paine</v>
      </c>
      <c r="X70" s="3" t="str">
        <f>IFERROR(__xludf.DUMMYFUNCTION("GoogleTranslate(C70, ""en"", ""fr"")"),"Pression")</f>
        <v>Pression</v>
      </c>
      <c r="Y70" s="3" t="str">
        <f>IFERROR(__xludf.DUMMYFUNCTION("GoogleTranslate(C70, ""en"", ""de"")"),"Druck")</f>
        <v>Druck</v>
      </c>
      <c r="Z70" s="3" t="str">
        <f>IFERROR(__xludf.DUMMYFUNCTION("GoogleTranslate(C70, ""en"", ""el"")"),"Πίεση")</f>
        <v>Πίεση</v>
      </c>
      <c r="AA70" s="3" t="str">
        <f>IFERROR(__xludf.DUMMYFUNCTION("GoogleTranslate(C70, ""en"", ""iw"")"),"לַחַץ")</f>
        <v>לַחַץ</v>
      </c>
      <c r="AB70" s="3" t="str">
        <f>IFERROR(__xludf.DUMMYFUNCTION("GoogleTranslate(C70, ""en"", ""hi"")"),"दबाव")</f>
        <v>दबाव</v>
      </c>
      <c r="AC70" s="3" t="str">
        <f>IFERROR(__xludf.DUMMYFUNCTION("GoogleTranslate(C70, ""en"", ""hu"")"),"Nyomás")</f>
        <v>Nyomás</v>
      </c>
      <c r="AD70" s="3" t="str">
        <f>IFERROR(__xludf.DUMMYFUNCTION("GoogleTranslate(C70, ""en"", ""is"")"),"Þrýstingur")</f>
        <v>Þrýstingur</v>
      </c>
      <c r="AE70" s="3" t="str">
        <f>IFERROR(__xludf.DUMMYFUNCTION("GoogleTranslate(C70, ""en"", ""id"")"),"Tekanan")</f>
        <v>Tekanan</v>
      </c>
      <c r="AF70" s="3" t="str">
        <f>IFERROR(__xludf.DUMMYFUNCTION("GoogleTranslate(C70, ""en"", ""in"")"),"Tekanan")</f>
        <v>Tekanan</v>
      </c>
      <c r="AG70" s="3" t="str">
        <f>IFERROR(__xludf.DUMMYFUNCTION("GoogleTranslate(C70, ""en"", ""it"")"),"Pressione")</f>
        <v>Pressione</v>
      </c>
      <c r="AH70" s="3" t="str">
        <f>IFERROR(__xludf.DUMMYFUNCTION("GoogleTranslate(C70, ""en"", ""ja"")"),"プレッシャー")</f>
        <v>プレッシャー</v>
      </c>
      <c r="AI70" s="3" t="str">
        <f>IFERROR(__xludf.DUMMYFUNCTION("GoogleTranslate(C70, ""en"", ""kn"")"),"ಒತ್ತಡ")</f>
        <v>ಒತ್ತಡ</v>
      </c>
      <c r="AJ70" s="3" t="str">
        <f>IFERROR(__xludf.DUMMYFUNCTION("GoogleTranslate(C70, ""en"", ""km"")"),"សម្ពាធ")</f>
        <v>សម្ពាធ</v>
      </c>
      <c r="AK70" s="3" t="str">
        <f>IFERROR(__xludf.DUMMYFUNCTION("GoogleTranslate(C70, ""en"", ""ko"")"),"압력")</f>
        <v>압력</v>
      </c>
      <c r="AL70" s="3" t="str">
        <f>IFERROR(__xludf.DUMMYFUNCTION("GoogleTranslate(C70, ""en"", ""lo"")"),"ຄວາມກົດດັນ")</f>
        <v>ຄວາມກົດດັນ</v>
      </c>
      <c r="AM70" s="3" t="str">
        <f>IFERROR(__xludf.DUMMYFUNCTION("GoogleTranslate(C70, ""en"", ""lv"")"),"Spiediens")</f>
        <v>Spiediens</v>
      </c>
      <c r="AN70" s="3" t="str">
        <f>IFERROR(__xludf.DUMMYFUNCTION("GoogleTranslate(C70, ""en"", ""lt"")"),"Slėgis")</f>
        <v>Slėgis</v>
      </c>
      <c r="AO70" s="3" t="str">
        <f>IFERROR(__xludf.DUMMYFUNCTION("GoogleTranslate(C70, ""en"", ""mk"")"),"Притисок")</f>
        <v>Притисок</v>
      </c>
      <c r="AP70" s="3" t="str">
        <f>IFERROR(__xludf.DUMMYFUNCTION("GoogleTranslate(C70, ""en"", ""ms"")"),"Tekanan")</f>
        <v>Tekanan</v>
      </c>
      <c r="AQ70" s="3" t="str">
        <f>IFERROR(__xludf.DUMMYFUNCTION("GoogleTranslate(C70, ""en"", ""ml"")"),"സമ്മർദ്ദം")</f>
        <v>സമ്മർദ്ദം</v>
      </c>
      <c r="AR70" s="3" t="str">
        <f>IFERROR(__xludf.DUMMYFUNCTION("GoogleTranslate(C70, ""en"", ""mr"")"),"दाब")</f>
        <v>दाब</v>
      </c>
      <c r="AS70" s="3" t="str">
        <f>IFERROR(__xludf.DUMMYFUNCTION("GoogleTranslate(C70, ""en"", ""mn"")"),"Даралт")</f>
        <v>Даралт</v>
      </c>
      <c r="AT70" s="3" t="str">
        <f>IFERROR(__xludf.DUMMYFUNCTION("GoogleTranslate(C70, ""en"", ""ne"")"),"दबाब")</f>
        <v>दबाब</v>
      </c>
      <c r="AU70" s="3" t="str">
        <f>IFERROR(__xludf.DUMMYFUNCTION("GoogleTranslate(C70, ""en"", ""nb"")"),"Trykk")</f>
        <v>Trykk</v>
      </c>
      <c r="AV70" s="3" t="str">
        <f>IFERROR(__xludf.DUMMYFUNCTION("GoogleTranslate(C70, ""en"", ""fa"")"),"فشار")</f>
        <v>فشار</v>
      </c>
      <c r="AW70" s="3" t="str">
        <f>IFERROR(__xludf.DUMMYFUNCTION("GoogleTranslate(C70, ""en"", ""pl"")"),"Ciśnienie")</f>
        <v>Ciśnienie</v>
      </c>
      <c r="AX70" s="3" t="str">
        <f>IFERROR(__xludf.DUMMYFUNCTION("GoogleTranslate(C70, ""en"", ""pt"")"),"Pressão")</f>
        <v>Pressão</v>
      </c>
      <c r="AY70" s="3" t="str">
        <f>IFERROR(__xludf.DUMMYFUNCTION("GoogleTranslate(C70, ""en"", ""ro"")"),"Presiune")</f>
        <v>Presiune</v>
      </c>
      <c r="AZ70" s="3" t="str">
        <f>IFERROR(__xludf.DUMMYFUNCTION("GoogleTranslate(C70, ""en"", ""ru"")"),"Давление")</f>
        <v>Давление</v>
      </c>
      <c r="BA70" s="3" t="str">
        <f>IFERROR(__xludf.DUMMYFUNCTION("GoogleTranslate(C70, ""en"", ""sr"")"),"Притисак")</f>
        <v>Притисак</v>
      </c>
      <c r="BB70" s="3" t="str">
        <f>IFERROR(__xludf.DUMMYFUNCTION("GoogleTranslate(C70, ""en"", ""si"")"),"පීඩනය")</f>
        <v>පීඩනය</v>
      </c>
      <c r="BC70" s="3" t="str">
        <f>IFERROR(__xludf.DUMMYFUNCTION("GoogleTranslate(C70, ""en"", ""sk"")"),"Tlak")</f>
        <v>Tlak</v>
      </c>
      <c r="BD70" s="3" t="str">
        <f>IFERROR(__xludf.DUMMYFUNCTION("GoogleTranslate(C70, ""en"", ""sl"")"),"Pritisk")</f>
        <v>Pritisk</v>
      </c>
      <c r="BE70" s="3" t="str">
        <f>IFERROR(__xludf.DUMMYFUNCTION("GoogleTranslate(C70, ""en"", ""es"")"),"Presión")</f>
        <v>Presión</v>
      </c>
      <c r="BF70" s="3" t="str">
        <f>IFERROR(__xludf.DUMMYFUNCTION("GoogleTranslate(C70, ""en"", ""sw"")"),"Shinikizo")</f>
        <v>Shinikizo</v>
      </c>
      <c r="BG70" s="3" t="str">
        <f>IFERROR(__xludf.DUMMYFUNCTION("GoogleTranslate(C70, ""en"", ""sv"")"),"Tryck")</f>
        <v>Tryck</v>
      </c>
      <c r="BH70" s="3" t="str">
        <f>IFERROR(__xludf.DUMMYFUNCTION("GoogleTranslate(C70, ""en"", ""te"")"),"ఒత్తిడి")</f>
        <v>ఒత్తిడి</v>
      </c>
      <c r="BI70" s="3" t="str">
        <f>IFERROR(__xludf.DUMMYFUNCTION("GoogleTranslate(C70, ""en"", ""th"")"),"ความดัน")</f>
        <v>ความดัน</v>
      </c>
      <c r="BJ70" s="3" t="str">
        <f>IFERROR(__xludf.DUMMYFUNCTION("GoogleTranslate(C70, ""en"", ""tr"")"),"Basınç")</f>
        <v>Basınç</v>
      </c>
      <c r="BK70" s="3" t="str">
        <f>IFERROR(__xludf.DUMMYFUNCTION("GoogleTranslate(C70, ""en"", ""uk"")"),"Тиск")</f>
        <v>Тиск</v>
      </c>
      <c r="BL70" s="3" t="str">
        <f>IFERROR(__xludf.DUMMYFUNCTION("GoogleTranslate(C70, ""en"", ""zu"")"),"Ingcindezi")</f>
        <v>Ingcindezi</v>
      </c>
    </row>
    <row r="71">
      <c r="A71" s="1" t="str">
        <f t="shared" si="1"/>
        <v>Wind_direction</v>
      </c>
      <c r="B71" s="4" t="s">
        <v>129</v>
      </c>
      <c r="C71" s="1" t="str">
        <f t="shared" si="2"/>
        <v>Wind direction</v>
      </c>
      <c r="D71" s="3" t="str">
        <f>IFERROR(__xludf.DUMMYFUNCTION("GoogleTranslate(C71, ""en"", ""es"")"),"Dirección del viento")</f>
        <v>Dirección del viento</v>
      </c>
      <c r="E71" s="3" t="str">
        <f>IFERROR(__xludf.DUMMYFUNCTION("GoogleTranslate(C71, ""en"", ""ar"")"),"اتجاه الرياح")</f>
        <v>اتجاه الرياح</v>
      </c>
      <c r="F71" s="3" t="str">
        <f>IFERROR(__xludf.DUMMYFUNCTION("GoogleTranslate(C71, ""en"", ""hy"")"),"Քամու ուղղությունը")</f>
        <v>Քամու ուղղությունը</v>
      </c>
      <c r="G71" s="3" t="str">
        <f>IFERROR(__xludf.DUMMYFUNCTION("GoogleTranslate(C71, ""en"", ""vi"")"),"Hướng gió")</f>
        <v>Hướng gió</v>
      </c>
      <c r="H71" s="3" t="str">
        <f>IFERROR(__xludf.DUMMYFUNCTION("GoogleTranslate(C71, ""en"", ""az"")"),"Küləyin istiqaməti")</f>
        <v>Küləyin istiqaməti</v>
      </c>
      <c r="I71" s="3" t="str">
        <f>IFERROR(__xludf.DUMMYFUNCTION("GoogleTranslate(C71, ""en"", ""eu"")"),"Haizearen norabidea")</f>
        <v>Haizearen norabidea</v>
      </c>
      <c r="J71" s="3" t="str">
        <f>IFERROR(__xludf.DUMMYFUNCTION("GoogleTranslate(C71, ""en"", ""be"")"),"Напрамак ветру")</f>
        <v>Напрамак ветру</v>
      </c>
      <c r="K71" s="3" t="str">
        <f>IFERROR(__xludf.DUMMYFUNCTION("GoogleTranslate(C71, ""en"", ""bn"")"),"বাতাসের দিক")</f>
        <v>বাতাসের দিক</v>
      </c>
      <c r="L71" s="3" t="str">
        <f>IFERROR(__xludf.DUMMYFUNCTION("GoogleTranslate(C71, ""en"", ""bg"")"),"Посока на вятъра")</f>
        <v>Посока на вятъра</v>
      </c>
      <c r="M71" s="3" t="str">
        <f>IFERROR(__xludf.DUMMYFUNCTION("GoogleTranslate(C71, ""en"", ""my"")"),"လေတိုက်နှုန်း")</f>
        <v>လေတိုက်နှုန်း</v>
      </c>
      <c r="N71" s="3" t="str">
        <f>IFERROR(__xludf.DUMMYFUNCTION("GoogleTranslate(C71, ""en"", ""ca"")"),"Direcció del vent")</f>
        <v>Direcció del vent</v>
      </c>
      <c r="O71" s="3" t="str">
        <f>IFERROR(__xludf.DUMMYFUNCTION("GoogleTranslate(C71, ""en"", ""zh-cn"")"),"风向")</f>
        <v>风向</v>
      </c>
      <c r="P71" s="3" t="str">
        <f>IFERROR(__xludf.DUMMYFUNCTION("GoogleTranslate(C71, ""en"", ""zh-TW"")"),"風向")</f>
        <v>風向</v>
      </c>
      <c r="Q71" s="3" t="str">
        <f>IFERROR(__xludf.DUMMYFUNCTION("GoogleTranslate(C71, ""en"", ""hr"")"),"Smjer vjetra")</f>
        <v>Smjer vjetra</v>
      </c>
      <c r="R71" s="3" t="str">
        <f>IFERROR(__xludf.DUMMYFUNCTION("GoogleTranslate(C71, ""en"", ""cs"")"),"Směr větru")</f>
        <v>Směr větru</v>
      </c>
      <c r="S71" s="3" t="str">
        <f>IFERROR(__xludf.DUMMYFUNCTION("GoogleTranslate(C71, ""en"", ""da"")"),"Vindretning")</f>
        <v>Vindretning</v>
      </c>
      <c r="T71" s="3" t="str">
        <f>IFERROR(__xludf.DUMMYFUNCTION("GoogleTranslate(C71, ""en"", ""nl"")"),"Windrichting")</f>
        <v>Windrichting</v>
      </c>
      <c r="U71" s="3" t="str">
        <f>IFERROR(__xludf.DUMMYFUNCTION("GoogleTranslate(C71, ""en"", ""et"")"),"Tuule suund")</f>
        <v>Tuule suund</v>
      </c>
      <c r="V71" s="1" t="str">
        <f t="shared" si="3"/>
        <v>Wind direction</v>
      </c>
      <c r="W71" s="3" t="str">
        <f>IFERROR(__xludf.DUMMYFUNCTION("GoogleTranslate(C71, ""en"", ""fi"")"),"Tuulen suunta")</f>
        <v>Tuulen suunta</v>
      </c>
      <c r="X71" s="3" t="str">
        <f>IFERROR(__xludf.DUMMYFUNCTION("GoogleTranslate(C71, ""en"", ""fr"")"),"Direction du vent")</f>
        <v>Direction du vent</v>
      </c>
      <c r="Y71" s="3" t="str">
        <f>IFERROR(__xludf.DUMMYFUNCTION("GoogleTranslate(C71, ""en"", ""de"")"),"Windrichtung")</f>
        <v>Windrichtung</v>
      </c>
      <c r="Z71" s="3" t="str">
        <f>IFERROR(__xludf.DUMMYFUNCTION("GoogleTranslate(C71, ""en"", ""el"")"),"Διεύθυνση ανέμου")</f>
        <v>Διεύθυνση ανέμου</v>
      </c>
      <c r="AA71" s="3" t="str">
        <f>IFERROR(__xludf.DUMMYFUNCTION("GoogleTranslate(C71, ""en"", ""iw"")"),"כיוון הרוח")</f>
        <v>כיוון הרוח</v>
      </c>
      <c r="AB71" s="3" t="str">
        <f>IFERROR(__xludf.DUMMYFUNCTION("GoogleTranslate(C71, ""en"", ""hi"")"),"हवा की दिशा")</f>
        <v>हवा की दिशा</v>
      </c>
      <c r="AC71" s="3" t="str">
        <f>IFERROR(__xludf.DUMMYFUNCTION("GoogleTranslate(C71, ""en"", ""hu"")"),"A szél iránya")</f>
        <v>A szél iránya</v>
      </c>
      <c r="AD71" s="3" t="str">
        <f>IFERROR(__xludf.DUMMYFUNCTION("GoogleTranslate(C71, ""en"", ""is"")"),"Vindátt")</f>
        <v>Vindátt</v>
      </c>
      <c r="AE71" s="3" t="str">
        <f>IFERROR(__xludf.DUMMYFUNCTION("GoogleTranslate(C71, ""en"", ""id"")"),"Arah angin")</f>
        <v>Arah angin</v>
      </c>
      <c r="AF71" s="3" t="str">
        <f>IFERROR(__xludf.DUMMYFUNCTION("GoogleTranslate(C71, ""en"", ""in"")"),"Arah angin")</f>
        <v>Arah angin</v>
      </c>
      <c r="AG71" s="3" t="str">
        <f>IFERROR(__xludf.DUMMYFUNCTION("GoogleTranslate(C71, ""en"", ""it"")"),"Direzione del vento")</f>
        <v>Direzione del vento</v>
      </c>
      <c r="AH71" s="3" t="str">
        <f>IFERROR(__xludf.DUMMYFUNCTION("GoogleTranslate(C71, ""en"", ""ja"")"),"風向き")</f>
        <v>風向き</v>
      </c>
      <c r="AI71" s="3" t="str">
        <f>IFERROR(__xludf.DUMMYFUNCTION("GoogleTranslate(C71, ""en"", ""kn"")"),"ಗಾಳಿಯ ದಿಕ್ಕು")</f>
        <v>ಗಾಳಿಯ ದಿಕ್ಕು</v>
      </c>
      <c r="AJ71" s="3" t="str">
        <f>IFERROR(__xludf.DUMMYFUNCTION("GoogleTranslate(C71, ""en"", ""km"")"),"ទិសដៅខ្យល់")</f>
        <v>ទិសដៅខ្យល់</v>
      </c>
      <c r="AK71" s="3" t="str">
        <f>IFERROR(__xludf.DUMMYFUNCTION("GoogleTranslate(C71, ""en"", ""ko"")"),"풍향")</f>
        <v>풍향</v>
      </c>
      <c r="AL71" s="3" t="str">
        <f>IFERROR(__xludf.DUMMYFUNCTION("GoogleTranslate(C71, ""en"", ""lo"")"),"ທິດທາງລົມ")</f>
        <v>ທິດທາງລົມ</v>
      </c>
      <c r="AM71" s="3" t="str">
        <f>IFERROR(__xludf.DUMMYFUNCTION("GoogleTranslate(C71, ""en"", ""lv"")"),"Vēja virziens")</f>
        <v>Vēja virziens</v>
      </c>
      <c r="AN71" s="3" t="str">
        <f>IFERROR(__xludf.DUMMYFUNCTION("GoogleTranslate(C71, ""en"", ""lt"")"),"Vėjo kryptis")</f>
        <v>Vėjo kryptis</v>
      </c>
      <c r="AO71" s="3" t="str">
        <f>IFERROR(__xludf.DUMMYFUNCTION("GoogleTranslate(C71, ""en"", ""mk"")"),"Насока на ветерот")</f>
        <v>Насока на ветерот</v>
      </c>
      <c r="AP71" s="3" t="str">
        <f>IFERROR(__xludf.DUMMYFUNCTION("GoogleTranslate(C71, ""en"", ""ms"")"),"Arah angin")</f>
        <v>Arah angin</v>
      </c>
      <c r="AQ71" s="3" t="str">
        <f>IFERROR(__xludf.DUMMYFUNCTION("GoogleTranslate(C71, ""en"", ""ml"")"),"കാറ്റിൻ്റെ ദിശ")</f>
        <v>കാറ്റിൻ്റെ ദിശ</v>
      </c>
      <c r="AR71" s="3" t="str">
        <f>IFERROR(__xludf.DUMMYFUNCTION("GoogleTranslate(C71, ""en"", ""mr"")"),"वाऱ्याची दिशा")</f>
        <v>वाऱ्याची दिशा</v>
      </c>
      <c r="AS71" s="3" t="str">
        <f>IFERROR(__xludf.DUMMYFUNCTION("GoogleTranslate(C71, ""en"", ""mn"")"),"Салхины чиглэл")</f>
        <v>Салхины чиглэл</v>
      </c>
      <c r="AT71" s="3" t="str">
        <f>IFERROR(__xludf.DUMMYFUNCTION("GoogleTranslate(C71, ""en"", ""ne"")"),"हावाको दिशा")</f>
        <v>हावाको दिशा</v>
      </c>
      <c r="AU71" s="3" t="str">
        <f>IFERROR(__xludf.DUMMYFUNCTION("GoogleTranslate(C71, ""en"", ""nb"")"),"Vindretning")</f>
        <v>Vindretning</v>
      </c>
      <c r="AV71" s="3" t="str">
        <f>IFERROR(__xludf.DUMMYFUNCTION("GoogleTranslate(C71, ""en"", ""fa"")"),"جهت باد")</f>
        <v>جهت باد</v>
      </c>
      <c r="AW71" s="3" t="str">
        <f>IFERROR(__xludf.DUMMYFUNCTION("GoogleTranslate(C71, ""en"", ""pl"")"),"Kierunek wiatru")</f>
        <v>Kierunek wiatru</v>
      </c>
      <c r="AX71" s="3" t="str">
        <f>IFERROR(__xludf.DUMMYFUNCTION("GoogleTranslate(C71, ""en"", ""pt"")"),"Direção do vento")</f>
        <v>Direção do vento</v>
      </c>
      <c r="AY71" s="3" t="str">
        <f>IFERROR(__xludf.DUMMYFUNCTION("GoogleTranslate(C71, ""en"", ""ro"")"),"Direcția vântului")</f>
        <v>Direcția vântului</v>
      </c>
      <c r="AZ71" s="3" t="str">
        <f>IFERROR(__xludf.DUMMYFUNCTION("GoogleTranslate(C71, ""en"", ""ru"")"),"Направление ветра")</f>
        <v>Направление ветра</v>
      </c>
      <c r="BA71" s="3" t="str">
        <f>IFERROR(__xludf.DUMMYFUNCTION("GoogleTranslate(C71, ""en"", ""sr"")"),"Правац ветра")</f>
        <v>Правац ветра</v>
      </c>
      <c r="BB71" s="3" t="str">
        <f>IFERROR(__xludf.DUMMYFUNCTION("GoogleTranslate(C71, ""en"", ""si"")"),"සුළං දිශාව")</f>
        <v>සුළං දිශාව</v>
      </c>
      <c r="BC71" s="3" t="str">
        <f>IFERROR(__xludf.DUMMYFUNCTION("GoogleTranslate(C71, ""en"", ""sk"")"),"Smer vetra")</f>
        <v>Smer vetra</v>
      </c>
      <c r="BD71" s="3" t="str">
        <f>IFERROR(__xludf.DUMMYFUNCTION("GoogleTranslate(C71, ""en"", ""sl"")"),"Smer vetra")</f>
        <v>Smer vetra</v>
      </c>
      <c r="BE71" s="3" t="str">
        <f>IFERROR(__xludf.DUMMYFUNCTION("GoogleTranslate(C71, ""en"", ""es"")"),"Dirección del viento")</f>
        <v>Dirección del viento</v>
      </c>
      <c r="BF71" s="3" t="str">
        <f>IFERROR(__xludf.DUMMYFUNCTION("GoogleTranslate(C71, ""en"", ""sw"")"),"Mwelekeo wa upepo")</f>
        <v>Mwelekeo wa upepo</v>
      </c>
      <c r="BG71" s="3" t="str">
        <f>IFERROR(__xludf.DUMMYFUNCTION("GoogleTranslate(C71, ""en"", ""sv"")"),"Vindriktning")</f>
        <v>Vindriktning</v>
      </c>
      <c r="BH71" s="3" t="str">
        <f>IFERROR(__xludf.DUMMYFUNCTION("GoogleTranslate(C71, ""en"", ""te"")"),"గాలి దిశ")</f>
        <v>గాలి దిశ</v>
      </c>
      <c r="BI71" s="3" t="str">
        <f>IFERROR(__xludf.DUMMYFUNCTION("GoogleTranslate(C71, ""en"", ""th"")"),"ทิศทางลม")</f>
        <v>ทิศทางลม</v>
      </c>
      <c r="BJ71" s="3" t="str">
        <f>IFERROR(__xludf.DUMMYFUNCTION("GoogleTranslate(C71, ""en"", ""tr"")"),"Rüzgar yönü")</f>
        <v>Rüzgar yönü</v>
      </c>
      <c r="BK71" s="3" t="str">
        <f>IFERROR(__xludf.DUMMYFUNCTION("GoogleTranslate(C71, ""en"", ""uk"")"),"Напрямок вітру")</f>
        <v>Напрямок вітру</v>
      </c>
      <c r="BL71" s="3" t="str">
        <f>IFERROR(__xludf.DUMMYFUNCTION("GoogleTranslate(C71, ""en"", ""zu"")"),"Isiqondiso somoya")</f>
        <v>Isiqondiso somoya</v>
      </c>
    </row>
    <row r="72">
      <c r="A72" s="1" t="str">
        <f t="shared" si="1"/>
        <v>Forecast_wind_speed_and_wind_direction_in_{name}</v>
      </c>
      <c r="B72" s="4" t="s">
        <v>130</v>
      </c>
      <c r="C72" s="1" t="str">
        <f t="shared" si="2"/>
        <v>Forecast wind speed and wind direction in {name}</v>
      </c>
      <c r="D72" s="3" t="str">
        <f>IFERROR(__xludf.DUMMYFUNCTION("GoogleTranslate(C72, ""en"", ""es"")"),"Pronosticar la velocidad y dirección del viento en {nombre}")</f>
        <v>Pronosticar la velocidad y dirección del viento en {nombre}</v>
      </c>
      <c r="E72" s="3" t="str">
        <f>IFERROR(__xludf.DUMMYFUNCTION("GoogleTranslate(C72, ""en"", ""ar"")"),"توقعات سرعة الرياح واتجاه الرياح في {name}")</f>
        <v>توقعات سرعة الرياح واتجاه الرياح في {name}</v>
      </c>
      <c r="F72" s="3" t="str">
        <f>IFERROR(__xludf.DUMMYFUNCTION("GoogleTranslate(C72, ""en"", ""hy"")"),"Քամու արագության և ուղղության կանխատեսում {name}-ում")</f>
        <v>Քամու արագության և ուղղության կանխատեսում {name}-ում</v>
      </c>
      <c r="G72" s="3" t="str">
        <f>IFERROR(__xludf.DUMMYFUNCTION("GoogleTranslate(C72, ""en"", ""vi"")"),"Dự báo tốc độ gió và hướng gió tại {name}")</f>
        <v>Dự báo tốc độ gió và hướng gió tại {name}</v>
      </c>
      <c r="H72" s="3" t="str">
        <f>IFERROR(__xludf.DUMMYFUNCTION("GoogleTranslate(C72, ""en"", ""az"")"),"{name} ərazisində küləyin sürəti və küləyin istiqaməti proqnozu")</f>
        <v>{name} ərazisində küləyin sürəti və küləyin istiqaməti proqnozu</v>
      </c>
      <c r="I72" s="3" t="str">
        <f>IFERROR(__xludf.DUMMYFUNCTION("GoogleTranslate(C72, ""en"", ""eu"")"),"Iragarpena haizearen abiadura eta haizearen norabidea {name}n")</f>
        <v>Iragarpena haizearen abiadura eta haizearen norabidea {name}n</v>
      </c>
      <c r="J72" s="3" t="str">
        <f>IFERROR(__xludf.DUMMYFUNCTION("GoogleTranslate(C72, ""en"", ""be"")"),"Прагноз хуткасці і напрамку ветру ў {name}")</f>
        <v>Прагноз хуткасці і напрамку ветру ў {name}</v>
      </c>
      <c r="K72" s="3" t="str">
        <f>IFERROR(__xludf.DUMMYFUNCTION("GoogleTranslate(C72, ""en"", ""bn"")"),"{name} এ বাতাসের গতি এবং বাতাসের দিকনির্দেশের পূর্বাভাস")</f>
        <v>{name} এ বাতাসের গতি এবং বাতাসের দিকনির্দেশের পূর্বাভাস</v>
      </c>
      <c r="L72" s="3" t="str">
        <f>IFERROR(__xludf.DUMMYFUNCTION("GoogleTranslate(C72, ""en"", ""bg"")"),"Прогноза за скоростта и посоката на вятъра в {name}")</f>
        <v>Прогноза за скоростта и посоката на вятъра в {name}</v>
      </c>
      <c r="M72" s="3" t="str">
        <f>IFERROR(__xludf.DUMMYFUNCTION("GoogleTranslate(C72, ""en"", ""my"")"),"လေတိုက်နှုန်းနှင့် လေတိုက်နှုန်းကို {name} ဖြင့် ခန့်မှန်းပါ")</f>
        <v>လေတိုက်နှုန်းနှင့် လေတိုက်နှုန်းကို {name} ဖြင့် ခန့်မှန်းပါ</v>
      </c>
      <c r="N72" s="3" t="str">
        <f>IFERROR(__xludf.DUMMYFUNCTION("GoogleTranslate(C72, ""en"", ""ca"")"),"Previsió de la velocitat i la direcció del vent a {name}")</f>
        <v>Previsió de la velocitat i la direcció del vent a {name}</v>
      </c>
      <c r="O72" s="3" t="str">
        <f>IFERROR(__xludf.DUMMYFUNCTION("GoogleTranslate(C72, ""en"", ""zh-cn"")"),"预测{name}的风速和风向")</f>
        <v>预测{name}的风速和风向</v>
      </c>
      <c r="P72" s="3" t="str">
        <f>IFERROR(__xludf.DUMMYFUNCTION("GoogleTranslate(C72, ""en"", ""zh-TW"")"),"預測{name}的風速和風向")</f>
        <v>預測{name}的風速和風向</v>
      </c>
      <c r="Q72" s="3" t="str">
        <f>IFERROR(__xludf.DUMMYFUNCTION("GoogleTranslate(C72, ""en"", ""hr"")"),"Prognozirajte brzinu i smjer vjetra u {name}")</f>
        <v>Prognozirajte brzinu i smjer vjetra u {name}</v>
      </c>
      <c r="R72" s="3" t="str">
        <f>IFERROR(__xludf.DUMMYFUNCTION("GoogleTranslate(C72, ""en"", ""cs"")"),"Předpověď rychlosti a směru větru v {name}")</f>
        <v>Předpověď rychlosti a směru větru v {name}</v>
      </c>
      <c r="S72" s="3" t="str">
        <f>IFERROR(__xludf.DUMMYFUNCTION("GoogleTranslate(C72, ""en"", ""da"")"),"Forudsig vindhastighed og vindretning i {name}")</f>
        <v>Forudsig vindhastighed og vindretning i {name}</v>
      </c>
      <c r="T72" s="3" t="str">
        <f>IFERROR(__xludf.DUMMYFUNCTION("GoogleTranslate(C72, ""en"", ""nl"")"),"Verwachte windsnelheid en windrichting in {name}")</f>
        <v>Verwachte windsnelheid en windrichting in {name}</v>
      </c>
      <c r="U72" s="3" t="str">
        <f>IFERROR(__xludf.DUMMYFUNCTION("GoogleTranslate(C72, ""en"", ""et"")"),"Tuule kiiruse ja suuna prognoosimine asukohas {name}")</f>
        <v>Tuule kiiruse ja suuna prognoosimine asukohas {name}</v>
      </c>
      <c r="V72" s="1" t="str">
        <f t="shared" si="3"/>
        <v>Forecast wind speed and wind direction in {name}</v>
      </c>
      <c r="W72" s="3" t="str">
        <f>IFERROR(__xludf.DUMMYFUNCTION("GoogleTranslate(C72, ""en"", ""fi"")"),"Ennuste tuulen nopeus ja suunta paikassa {name}")</f>
        <v>Ennuste tuulen nopeus ja suunta paikassa {name}</v>
      </c>
      <c r="X72" s="3" t="str">
        <f>IFERROR(__xludf.DUMMYFUNCTION("GoogleTranslate(C72, ""en"", ""fr"")"),"Prévisions de la vitesse et de la direction du vent à {name}")</f>
        <v>Prévisions de la vitesse et de la direction du vent à {name}</v>
      </c>
      <c r="Y72" s="3" t="str">
        <f>IFERROR(__xludf.DUMMYFUNCTION("GoogleTranslate(C72, ""en"", ""de"")"),"Windgeschwindigkeit und Windrichtung in {name} vorhersagen")</f>
        <v>Windgeschwindigkeit und Windrichtung in {name} vorhersagen</v>
      </c>
      <c r="Z72" s="3" t="str">
        <f>IFERROR(__xludf.DUMMYFUNCTION("GoogleTranslate(C72, ""en"", ""el"")"),"Πρόγνωση ταχύτητας και κατεύθυνσης ανέμου στο {name}")</f>
        <v>Πρόγνωση ταχύτητας και κατεύθυνσης ανέμου στο {name}</v>
      </c>
      <c r="AA72" s="3" t="str">
        <f>IFERROR(__xludf.DUMMYFUNCTION("GoogleTranslate(C72, ""en"", ""iw"")"),"חזוי מהירות הרוח וכיוון הרוח ב-{name}")</f>
        <v>חזוי מהירות הרוח וכיוון הרוח ב-{name}</v>
      </c>
      <c r="AB72" s="3" t="str">
        <f>IFERROR(__xludf.DUMMYFUNCTION("GoogleTranslate(C72, ""en"", ""hi"")"),"{नाम} में हवा की गति और हवा की दिशा का पूर्वानुमान लगाएं")</f>
        <v>{नाम} में हवा की गति और हवा की दिशा का पूर्वानुमान लगाएं</v>
      </c>
      <c r="AC72" s="3" t="str">
        <f>IFERROR(__xludf.DUMMYFUNCTION("GoogleTranslate(C72, ""en"", ""hu"")"),"Szélsebesség és szélirány előrejelzése itt: {name}")</f>
        <v>Szélsebesség és szélirány előrejelzése itt: {name}</v>
      </c>
      <c r="AD72" s="3" t="str">
        <f>IFERROR(__xludf.DUMMYFUNCTION("GoogleTranslate(C72, ""en"", ""is"")"),"Spáðu vindhraða og vindátt í {name}")</f>
        <v>Spáðu vindhraða og vindátt í {name}</v>
      </c>
      <c r="AE72" s="3" t="str">
        <f>IFERROR(__xludf.DUMMYFUNCTION("GoogleTranslate(C72, ""en"", ""id"")"),"Prakiraan kecepatan angin dan arah angin di {name}")</f>
        <v>Prakiraan kecepatan angin dan arah angin di {name}</v>
      </c>
      <c r="AF72" s="3" t="str">
        <f>IFERROR(__xludf.DUMMYFUNCTION("GoogleTranslate(C72, ""en"", ""in"")"),"Prakiraan kecepatan angin dan arah angin di {name}")</f>
        <v>Prakiraan kecepatan angin dan arah angin di {name}</v>
      </c>
      <c r="AG72" s="3" t="str">
        <f>IFERROR(__xludf.DUMMYFUNCTION("GoogleTranslate(C72, ""en"", ""it"")"),"Prevedi la velocità e la direzione del vento a {name}")</f>
        <v>Prevedi la velocità e la direzione del vento a {name}</v>
      </c>
      <c r="AH72" s="3" t="str">
        <f>IFERROR(__xludf.DUMMYFUNCTION("GoogleTranslate(C72, ""en"", ""ja"")"),"{name}の風速と風向を予測します")</f>
        <v>{name}の風速と風向を予測します</v>
      </c>
      <c r="AI72" s="3" t="str">
        <f>IFERROR(__xludf.DUMMYFUNCTION("GoogleTranslate(C72, ""en"", ""kn"")"),"{name} ನಲ್ಲಿ ಗಾಳಿಯ ವೇಗ ಮತ್ತು ಗಾಳಿಯ ದಿಕ್ಕನ್ನು ಮುನ್ಸೂಚನೆ")</f>
        <v>{name} ನಲ್ಲಿ ಗಾಳಿಯ ವೇಗ ಮತ್ತು ಗಾಳಿಯ ದಿಕ್ಕನ್ನು ಮುನ್ಸೂಚನೆ</v>
      </c>
      <c r="AJ72" s="3" t="str">
        <f>IFERROR(__xludf.DUMMYFUNCTION("GoogleTranslate(C72, ""en"", ""km"")"),"ព្យាករណ៍ល្បឿនខ្យល់ និងទិសដៅខ្យល់ក្នុង {name}")</f>
        <v>ព្យាករណ៍ល្បឿនខ្យល់ និងទិសដៅខ្យល់ក្នុង {name}</v>
      </c>
      <c r="AK72" s="3" t="str">
        <f>IFERROR(__xludf.DUMMYFUNCTION("GoogleTranslate(C72, ""en"", ""ko"")"),"{name}의 풍속 및 풍향 예측")</f>
        <v>{name}의 풍속 및 풍향 예측</v>
      </c>
      <c r="AL72" s="3" t="str">
        <f>IFERROR(__xludf.DUMMYFUNCTION("GoogleTranslate(C72, ""en"", ""lo"")"),"ພະຍາກອນຄວາມໄວລົມ ແລະທິດທາງລົມໃນ {name}")</f>
        <v>ພະຍາກອນຄວາມໄວລົມ ແລະທິດທາງລົມໃນ {name}</v>
      </c>
      <c r="AM72" s="3" t="str">
        <f>IFERROR(__xludf.DUMMYFUNCTION("GoogleTranslate(C72, ""en"", ""lv"")"),"Prognozēt vēja ātrumu un virzienu šādā atrašanās vietā: {name}")</f>
        <v>Prognozēt vēja ātrumu un virzienu šādā atrašanās vietā: {name}</v>
      </c>
      <c r="AN72" s="3" t="str">
        <f>IFERROR(__xludf.DUMMYFUNCTION("GoogleTranslate(C72, ""en"", ""lt"")"),"Vėjo greičio ir krypties prognozė {name}")</f>
        <v>Vėjo greičio ir krypties prognozė {name}</v>
      </c>
      <c r="AO72" s="3" t="str">
        <f>IFERROR(__xludf.DUMMYFUNCTION("GoogleTranslate(C72, ""en"", ""mk"")"),"Прогноза за брзина и насока на ветерот во {name}")</f>
        <v>Прогноза за брзина и насока на ветерот во {name}</v>
      </c>
      <c r="AP72" s="3" t="str">
        <f>IFERROR(__xludf.DUMMYFUNCTION("GoogleTranslate(C72, ""en"", ""ms"")"),"Ramalan kelajuan angin dan arah angin dalam {name}")</f>
        <v>Ramalan kelajuan angin dan arah angin dalam {name}</v>
      </c>
      <c r="AQ72" s="3" t="str">
        <f>IFERROR(__xludf.DUMMYFUNCTION("GoogleTranslate(C72, ""en"", ""ml"")"),"കാറ്റിൻ്റെ വേഗതയും കാറ്റിൻ്റെ ദിശയും {name} ൽ പ്രവചിക്കുക")</f>
        <v>കാറ്റിൻ്റെ വേഗതയും കാറ്റിൻ്റെ ദിശയും {name} ൽ പ്രവചിക്കുക</v>
      </c>
      <c r="AR72" s="3" t="str">
        <f>IFERROR(__xludf.DUMMYFUNCTION("GoogleTranslate(C72, ""en"", ""mr"")"),"{name} मध्ये वाऱ्याचा वेग आणि वाऱ्याची दिशा अंदाज")</f>
        <v>{name} मध्ये वाऱ्याचा वेग आणि वाऱ्याची दिशा अंदाज</v>
      </c>
      <c r="AS72" s="3" t="str">
        <f>IFERROR(__xludf.DUMMYFUNCTION("GoogleTranslate(C72, ""en"", ""mn"")"),"{name} дахь салхины хурд болон салхины чиглэлийн урьдчилсан мэдээ")</f>
        <v>{name} дахь салхины хурд болон салхины чиглэлийн урьдчилсан мэдээ</v>
      </c>
      <c r="AT72" s="3" t="str">
        <f>IFERROR(__xludf.DUMMYFUNCTION("GoogleTranslate(C72, ""en"", ""ne"")"),"हावाको गति र हावाको दिशा {name} मा पूर्वानुमान गर्नुहोस्")</f>
        <v>हावाको गति र हावाको दिशा {name} मा पूर्वानुमान गर्नुहोस्</v>
      </c>
      <c r="AU72" s="3" t="str">
        <f>IFERROR(__xludf.DUMMYFUNCTION("GoogleTranslate(C72, ""en"", ""nb"")"),"Varsel vindhastighet og vindretning i {name}")</f>
        <v>Varsel vindhastighet og vindretning i {name}</v>
      </c>
      <c r="AV72" s="3" t="str">
        <f>IFERROR(__xludf.DUMMYFUNCTION("GoogleTranslate(C72, ""en"", ""fa"")"),"پیش بینی سرعت باد و جهت باد در {name}")</f>
        <v>پیش بینی سرعت باد و جهت باد در {name}</v>
      </c>
      <c r="AW72" s="3" t="str">
        <f>IFERROR(__xludf.DUMMYFUNCTION("GoogleTranslate(C72, ""en"", ""pl"")"),"Prognozowana prędkość i kierunek wiatru w {name}")</f>
        <v>Prognozowana prędkość i kierunek wiatru w {name}</v>
      </c>
      <c r="AX72" s="3" t="str">
        <f>IFERROR(__xludf.DUMMYFUNCTION("GoogleTranslate(C72, ""en"", ""pt"")"),"Previsão da velocidade e direção do vento em {nome}")</f>
        <v>Previsão da velocidade e direção do vento em {nome}</v>
      </c>
      <c r="AY72" s="3" t="str">
        <f>IFERROR(__xludf.DUMMYFUNCTION("GoogleTranslate(C72, ""en"", ""ro"")"),"Prognozați viteza și direcția vântului în {name}")</f>
        <v>Prognozați viteza și direcția vântului în {name}</v>
      </c>
      <c r="AZ72" s="3" t="str">
        <f>IFERROR(__xludf.DUMMYFUNCTION("GoogleTranslate(C72, ""en"", ""ru"")"),"Прогноз скорости и направления ветра в {name}")</f>
        <v>Прогноз скорости и направления ветра в {name}</v>
      </c>
      <c r="BA72" s="3" t="str">
        <f>IFERROR(__xludf.DUMMYFUNCTION("GoogleTranslate(C72, ""en"", ""sr"")"),"Прогноза брзине и смера ветра за {наме}")</f>
        <v>Прогноза брзине и смера ветра за {наме}</v>
      </c>
      <c r="BB72" s="3" t="str">
        <f>IFERROR(__xludf.DUMMYFUNCTION("GoogleTranslate(C72, ""en"", ""si"")"),"{name} හි සුළගේ වේගය සහ සුළං දිශාව පුරෝකථනය කරන්න")</f>
        <v>{name} හි සුළගේ වේගය සහ සුළං දිශාව පුරෝකථනය කරන්න</v>
      </c>
      <c r="BC72" s="3" t="str">
        <f>IFERROR(__xludf.DUMMYFUNCTION("GoogleTranslate(C72, ""en"", ""sk"")"),"Predpoveď rýchlosti a smeru vetra v meste {name}")</f>
        <v>Predpoveď rýchlosti a smeru vetra v meste {name}</v>
      </c>
      <c r="BD72" s="3" t="str">
        <f>IFERROR(__xludf.DUMMYFUNCTION("GoogleTranslate(C72, ""en"", ""sl"")"),"Napoved hitrosti in smeri vetra v {name}")</f>
        <v>Napoved hitrosti in smeri vetra v {name}</v>
      </c>
      <c r="BE72" s="3" t="str">
        <f>IFERROR(__xludf.DUMMYFUNCTION("GoogleTranslate(C72, ""en"", ""es"")"),"Pronosticar la velocidad y dirección del viento en {nombre}")</f>
        <v>Pronosticar la velocidad y dirección del viento en {nombre}</v>
      </c>
      <c r="BF72" s="3" t="str">
        <f>IFERROR(__xludf.DUMMYFUNCTION("GoogleTranslate(C72, ""en"", ""sw"")"),"Utabiri wa kasi ya upepo na mwelekeo wa upepo katika {name}")</f>
        <v>Utabiri wa kasi ya upepo na mwelekeo wa upepo katika {name}</v>
      </c>
      <c r="BG72" s="3" t="str">
        <f>IFERROR(__xludf.DUMMYFUNCTION("GoogleTranslate(C72, ""en"", ""sv"")"),"Prognostisera vindhastighet och vindriktning i {name}")</f>
        <v>Prognostisera vindhastighet och vindriktning i {name}</v>
      </c>
      <c r="BH72" s="3" t="str">
        <f>IFERROR(__xludf.DUMMYFUNCTION("GoogleTranslate(C72, ""en"", ""te"")"),"{name}లో గాలి వేగం మరియు గాలి దిశను అంచనా వేయండి")</f>
        <v>{name}లో గాలి వేగం మరియు గాలి దిశను అంచనా వేయండి</v>
      </c>
      <c r="BI72" s="3" t="str">
        <f>IFERROR(__xludf.DUMMYFUNCTION("GoogleTranslate(C72, ""en"", ""th"")"),"พยากรณ์ความเร็วลมและทิศทางลมใน {name}")</f>
        <v>พยากรณ์ความเร็วลมและทิศทางลมใน {name}</v>
      </c>
      <c r="BJ72" s="3" t="str">
        <f>IFERROR(__xludf.DUMMYFUNCTION("GoogleTranslate(C72, ""en"", ""tr"")"),"{name} için tahmini rüzgar hızı ve rüzgar yönü")</f>
        <v>{name} için tahmini rüzgar hızı ve rüzgar yönü</v>
      </c>
      <c r="BK72" s="3" t="str">
        <f>IFERROR(__xludf.DUMMYFUNCTION("GoogleTranslate(C72, ""en"", ""uk"")"),"Прогноз швидкості та напрямку вітру в {name}")</f>
        <v>Прогноз швидкості та напрямку вітру в {name}</v>
      </c>
      <c r="BL72" s="3" t="str">
        <f>IFERROR(__xludf.DUMMYFUNCTION("GoogleTranslate(C72, ""en"", ""zu"")"),"Isibikezelo sesivinini somoya nesiqondiso somoya e-{name}")</f>
        <v>Isibikezelo sesivinini somoya nesiqondiso somoya e-{name}</v>
      </c>
    </row>
    <row r="73">
      <c r="A73" s="1" t="str">
        <f t="shared" si="1"/>
        <v>Humidity_in_the_coming_hours_in_{name}</v>
      </c>
      <c r="B73" s="4" t="s">
        <v>131</v>
      </c>
      <c r="C73" s="1" t="str">
        <f t="shared" si="2"/>
        <v>Humidity in the coming hours in {name}</v>
      </c>
      <c r="D73" s="3" t="str">
        <f>IFERROR(__xludf.DUMMYFUNCTION("GoogleTranslate(C73, ""en"", ""es"")"),"Humedad en las próximas horas en {nombre}")</f>
        <v>Humedad en las próximas horas en {nombre}</v>
      </c>
      <c r="E73" s="3" t="str">
        <f>IFERROR(__xludf.DUMMYFUNCTION("GoogleTranslate(C73, ""en"", ""ar"")"),"الرطوبة خلال الساعات القادمة في {الاسم}")</f>
        <v>الرطوبة خلال الساعات القادمة في {الاسم}</v>
      </c>
      <c r="F73" s="3" t="str">
        <f>IFERROR(__xludf.DUMMYFUNCTION("GoogleTranslate(C73, ""en"", ""hy"")"),"Խոնավությունը առաջիկա ժամերին {name}-ում")</f>
        <v>Խոնավությունը առաջիկա ժամերին {name}-ում</v>
      </c>
      <c r="G73" s="3" t="str">
        <f>IFERROR(__xludf.DUMMYFUNCTION("GoogleTranslate(C73, ""en"", ""vi"")"),"Độ ẩm trong những giờ tới ở {name}")</f>
        <v>Độ ẩm trong những giờ tới ở {name}</v>
      </c>
      <c r="H73" s="3" t="str">
        <f>IFERROR(__xludf.DUMMYFUNCTION("GoogleTranslate(C73, ""en"", ""az"")"),"{name} ərazisində yaxın saatlarda rütubət")</f>
        <v>{name} ərazisində yaxın saatlarda rütubət</v>
      </c>
      <c r="I73" s="3" t="str">
        <f>IFERROR(__xludf.DUMMYFUNCTION("GoogleTranslate(C73, ""en"", ""eu"")"),"Hezetasuna datozen orduetan {name}-n")</f>
        <v>Hezetasuna datozen orduetan {name}-n</v>
      </c>
      <c r="J73" s="3" t="str">
        <f>IFERROR(__xludf.DUMMYFUNCTION("GoogleTranslate(C73, ""en"", ""be"")"),"Вільготнасць у бліжэйшыя гадзіны ў {name}")</f>
        <v>Вільготнасць у бліжэйшыя гадзіны ў {name}</v>
      </c>
      <c r="K73" s="3" t="str">
        <f>IFERROR(__xludf.DUMMYFUNCTION("GoogleTranslate(C73, ""en"", ""bn"")"),"{name} এ আগামী ঘণ্টায় আর্দ্রতা")</f>
        <v>{name} এ আগামী ঘণ্টায় আর্দ্রতা</v>
      </c>
      <c r="L73" s="3" t="str">
        <f>IFERROR(__xludf.DUMMYFUNCTION("GoogleTranslate(C73, ""en"", ""bg"")"),"Влажност през следващите часове в {name}")</f>
        <v>Влажност през следващите часове в {name}</v>
      </c>
      <c r="M73" s="3" t="str">
        <f>IFERROR(__xludf.DUMMYFUNCTION("GoogleTranslate(C73, ""en"", ""my"")"),"လာမည့်နာရီများတွင် {name} တွင် စိုထိုင်းဆ")</f>
        <v>လာမည့်နာရီများတွင် {name} တွင် စိုထိုင်းဆ</v>
      </c>
      <c r="N73" s="3" t="str">
        <f>IFERROR(__xludf.DUMMYFUNCTION("GoogleTranslate(C73, ""en"", ""ca"")"),"Humitat en les properes hores a {name}")</f>
        <v>Humitat en les properes hores a {name}</v>
      </c>
      <c r="O73" s="3" t="str">
        <f>IFERROR(__xludf.DUMMYFUNCTION("GoogleTranslate(C73, ""en"", ""zh-cn"")"),"未来几小时内{name}的湿度")</f>
        <v>未来几小时内{name}的湿度</v>
      </c>
      <c r="P73" s="3" t="str">
        <f>IFERROR(__xludf.DUMMYFUNCTION("GoogleTranslate(C73, ""en"", ""zh-TW"")"),"未來幾小時內{name}的濕度")</f>
        <v>未來幾小時內{name}的濕度</v>
      </c>
      <c r="Q73" s="3" t="str">
        <f>IFERROR(__xludf.DUMMYFUNCTION("GoogleTranslate(C73, ""en"", ""hr"")"),"Vlažnost u sljedećim satima u {name}")</f>
        <v>Vlažnost u sljedećim satima u {name}</v>
      </c>
      <c r="R73" s="3" t="str">
        <f>IFERROR(__xludf.DUMMYFUNCTION("GoogleTranslate(C73, ""en"", ""cs"")"),"Vlhkost v nadcházejících hodinách v {name}")</f>
        <v>Vlhkost v nadcházejících hodinách v {name}</v>
      </c>
      <c r="S73" s="3" t="str">
        <f>IFERROR(__xludf.DUMMYFUNCTION("GoogleTranslate(C73, ""en"", ""da"")"),"Fugtighed i de kommende timer i {name}")</f>
        <v>Fugtighed i de kommende timer i {name}</v>
      </c>
      <c r="T73" s="3" t="str">
        <f>IFERROR(__xludf.DUMMYFUNCTION("GoogleTranslate(C73, ""en"", ""nl"")"),"Luchtvochtigheid de komende uren in {name}")</f>
        <v>Luchtvochtigheid de komende uren in {name}</v>
      </c>
      <c r="U73" s="3" t="str">
        <f>IFERROR(__xludf.DUMMYFUNCTION("GoogleTranslate(C73, ""en"", ""et"")"),"Niiskus lähitundidel asukohas {name}")</f>
        <v>Niiskus lähitundidel asukohas {name}</v>
      </c>
      <c r="V73" s="1" t="str">
        <f t="shared" si="3"/>
        <v>Humidity in the coming hours in {name}</v>
      </c>
      <c r="W73" s="3" t="str">
        <f>IFERROR(__xludf.DUMMYFUNCTION("GoogleTranslate(C73, ""en"", ""fi"")"),"Kosteus lähiaikoina paikassa {name}")</f>
        <v>Kosteus lähiaikoina paikassa {name}</v>
      </c>
      <c r="X73" s="3" t="str">
        <f>IFERROR(__xludf.DUMMYFUNCTION("GoogleTranslate(C73, ""en"", ""fr"")"),"Humidité dans les prochaines heures à {name}")</f>
        <v>Humidité dans les prochaines heures à {name}</v>
      </c>
      <c r="Y73" s="3" t="str">
        <f>IFERROR(__xludf.DUMMYFUNCTION("GoogleTranslate(C73, ""en"", ""de"")"),"Luftfeuchtigkeit in den kommenden Stunden in {name}")</f>
        <v>Luftfeuchtigkeit in den kommenden Stunden in {name}</v>
      </c>
      <c r="Z73" s="3" t="str">
        <f>IFERROR(__xludf.DUMMYFUNCTION("GoogleTranslate(C73, ""en"", ""el"")"),"Υγρασία τις επόμενες ώρες στο {name}")</f>
        <v>Υγρασία τις επόμενες ώρες στο {name}</v>
      </c>
      <c r="AA73" s="3" t="str">
        <f>IFERROR(__xludf.DUMMYFUNCTION("GoogleTranslate(C73, ""en"", ""iw"")"),"לחות בשעות הקרובות ב-{name}")</f>
        <v>לחות בשעות הקרובות ב-{name}</v>
      </c>
      <c r="AB73" s="3" t="str">
        <f>IFERROR(__xludf.DUMMYFUNCTION("GoogleTranslate(C73, ""en"", ""hi"")"),"{नाम} में आने वाले घंटों में आर्द्रता")</f>
        <v>{नाम} में आने वाले घंटों में आर्द्रता</v>
      </c>
      <c r="AC73" s="3" t="str">
        <f>IFERROR(__xludf.DUMMYFUNCTION("GoogleTranslate(C73, ""en"", ""hu"")"),"Páratartalom a következő órákban itt: {name}")</f>
        <v>Páratartalom a következő órákban itt: {name}</v>
      </c>
      <c r="AD73" s="3" t="str">
        <f>IFERROR(__xludf.DUMMYFUNCTION("GoogleTranslate(C73, ""en"", ""is"")"),"Raki á næstu klukkustundum í {name}")</f>
        <v>Raki á næstu klukkustundum í {name}</v>
      </c>
      <c r="AE73" s="3" t="str">
        <f>IFERROR(__xludf.DUMMYFUNCTION("GoogleTranslate(C73, ""en"", ""id"")"),"Kelembapan dalam beberapa jam mendatang di {name}")</f>
        <v>Kelembapan dalam beberapa jam mendatang di {name}</v>
      </c>
      <c r="AF73" s="3" t="str">
        <f>IFERROR(__xludf.DUMMYFUNCTION("GoogleTranslate(C73, ""en"", ""in"")"),"Kelembapan dalam beberapa jam mendatang di {name}")</f>
        <v>Kelembapan dalam beberapa jam mendatang di {name}</v>
      </c>
      <c r="AG73" s="3" t="str">
        <f>IFERROR(__xludf.DUMMYFUNCTION("GoogleTranslate(C73, ""en"", ""it"")"),"Umidità nelle prossime ore a {name}")</f>
        <v>Umidità nelle prossime ore a {name}</v>
      </c>
      <c r="AH73" s="3" t="str">
        <f>IFERROR(__xludf.DUMMYFUNCTION("GoogleTranslate(C73, ""en"", ""ja"")"),"{name}の今後数時間の湿度")</f>
        <v>{name}の今後数時間の湿度</v>
      </c>
      <c r="AI73" s="3" t="str">
        <f>IFERROR(__xludf.DUMMYFUNCTION("GoogleTranslate(C73, ""en"", ""kn"")"),"{name} ನಲ್ಲಿ ಮುಂಬರುವ ಗಂಟೆಗಳಲ್ಲಿ ಆರ್ದ್ರತೆ")</f>
        <v>{name} ನಲ್ಲಿ ಮುಂಬರುವ ಗಂಟೆಗಳಲ್ಲಿ ಆರ್ದ್ರತೆ</v>
      </c>
      <c r="AJ73" s="3" t="str">
        <f>IFERROR(__xludf.DUMMYFUNCTION("GoogleTranslate(C73, ""en"", ""km"")"),"សំណើមនៅប៉ុន្មានម៉ោងខាងមុខនៅក្នុង {name}")</f>
        <v>សំណើមនៅប៉ុន្មានម៉ោងខាងមុខនៅក្នុង {name}</v>
      </c>
      <c r="AK73" s="3" t="str">
        <f>IFERROR(__xludf.DUMMYFUNCTION("GoogleTranslate(C73, ""en"", ""ko"")"),"{name} 지역은 앞으로 몇 시간 동안 습도가 높아질 예정입니다")</f>
        <v>{name} 지역은 앞으로 몇 시간 동안 습도가 높아질 예정입니다</v>
      </c>
      <c r="AL73" s="3" t="str">
        <f>IFERROR(__xludf.DUMMYFUNCTION("GoogleTranslate(C73, ""en"", ""lo"")"),"ຄວາມຊຸ່ມຊື່ນໃນຊົ່ວໂມງຂ້າງຫນ້າໃນ {name}")</f>
        <v>ຄວາມຊຸ່ມຊື່ນໃນຊົ່ວໂມງຂ້າງຫນ້າໃນ {name}</v>
      </c>
      <c r="AM73" s="3" t="str">
        <f>IFERROR(__xludf.DUMMYFUNCTION("GoogleTranslate(C73, ""en"", ""lv"")"),"Mitrums tuvākajās stundās šeit: {name}")</f>
        <v>Mitrums tuvākajās stundās šeit: {name}</v>
      </c>
      <c r="AN73" s="3" t="str">
        <f>IFERROR(__xludf.DUMMYFUNCTION("GoogleTranslate(C73, ""en"", ""lt"")"),"Drėgmė artimiausiomis valandomis {name}")</f>
        <v>Drėgmė artimiausiomis valandomis {name}</v>
      </c>
      <c r="AO73" s="3" t="str">
        <f>IFERROR(__xludf.DUMMYFUNCTION("GoogleTranslate(C73, ""en"", ""mk"")"),"Влажност во наредните часови во {name}")</f>
        <v>Влажност во наредните часови во {name}</v>
      </c>
      <c r="AP73" s="3" t="str">
        <f>IFERROR(__xludf.DUMMYFUNCTION("GoogleTranslate(C73, ""en"", ""ms"")"),"Kelembapan dalam beberapa jam akan datang di {name}")</f>
        <v>Kelembapan dalam beberapa jam akan datang di {name}</v>
      </c>
      <c r="AQ73" s="3" t="str">
        <f>IFERROR(__xludf.DUMMYFUNCTION("GoogleTranslate(C73, ""en"", ""ml"")"),"{name} എന്ന സ്ഥലത്ത് വരും മണിക്കൂറുകളിൽ ഈർപ്പം")</f>
        <v>{name} എന്ന സ്ഥലത്ത് വരും മണിക്കൂറുകളിൽ ഈർപ്പം</v>
      </c>
      <c r="AR73" s="3" t="str">
        <f>IFERROR(__xludf.DUMMYFUNCTION("GoogleTranslate(C73, ""en"", ""mr"")"),"{name} मध्ये येत्या काही तासांत आर्द्रता")</f>
        <v>{name} मध्ये येत्या काही तासांत आर्द्रता</v>
      </c>
      <c r="AS73" s="3" t="str">
        <f>IFERROR(__xludf.DUMMYFUNCTION("GoogleTranslate(C73, ""en"", ""mn"")"),"{name}-д ойрын цагийн чийгшил")</f>
        <v>{name}-д ойрын цагийн чийгшил</v>
      </c>
      <c r="AT73" s="3" t="str">
        <f>IFERROR(__xludf.DUMMYFUNCTION("GoogleTranslate(C73, ""en"", ""ne"")"),"{name} मा आगामी घण्टामा आर्द्रता")</f>
        <v>{name} मा आगामी घण्टामा आर्द्रता</v>
      </c>
      <c r="AU73" s="3" t="str">
        <f>IFERROR(__xludf.DUMMYFUNCTION("GoogleTranslate(C73, ""en"", ""nb"")"),"Fuktighet de kommende timene i {name}")</f>
        <v>Fuktighet de kommende timene i {name}</v>
      </c>
      <c r="AV73" s="3" t="str">
        <f>IFERROR(__xludf.DUMMYFUNCTION("GoogleTranslate(C73, ""en"", ""fa"")"),"رطوبت در ساعات آینده در {name}")</f>
        <v>رطوبت در ساعات آینده در {name}</v>
      </c>
      <c r="AW73" s="3" t="str">
        <f>IFERROR(__xludf.DUMMYFUNCTION("GoogleTranslate(C73, ""en"", ""pl"")"),"Wilgotność w nadchodzących godzinach w {name}")</f>
        <v>Wilgotność w nadchodzących godzinach w {name}</v>
      </c>
      <c r="AX73" s="3" t="str">
        <f>IFERROR(__xludf.DUMMYFUNCTION("GoogleTranslate(C73, ""en"", ""pt"")"),"Umidade nas próximas horas em {name}")</f>
        <v>Umidade nas próximas horas em {name}</v>
      </c>
      <c r="AY73" s="3" t="str">
        <f>IFERROR(__xludf.DUMMYFUNCTION("GoogleTranslate(C73, ""en"", ""ro"")"),"Umiditate în următoarele ore în {name}")</f>
        <v>Umiditate în următoarele ore în {name}</v>
      </c>
      <c r="AZ73" s="3" t="str">
        <f>IFERROR(__xludf.DUMMYFUNCTION("GoogleTranslate(C73, ""en"", ""ru"")"),"Влажность в ближайшие часы в {name}")</f>
        <v>Влажность в ближайшие часы в {name}</v>
      </c>
      <c r="BA73" s="3" t="str">
        <f>IFERROR(__xludf.DUMMYFUNCTION("GoogleTranslate(C73, ""en"", ""sr"")"),"Влажност у наредним сатима у {наме}")</f>
        <v>Влажност у наредним сатима у {наме}</v>
      </c>
      <c r="BB73" s="3" t="str">
        <f>IFERROR(__xludf.DUMMYFUNCTION("GoogleTranslate(C73, ""en"", ""si"")"),"{name} හි ඉදිරි පැය වල ආර්ද්‍රතාවය")</f>
        <v>{name} හි ඉදිරි පැය වල ආර්ද්‍රතාවය</v>
      </c>
      <c r="BC73" s="3" t="str">
        <f>IFERROR(__xludf.DUMMYFUNCTION("GoogleTranslate(C73, ""en"", ""sk"")"),"Vlhkosť v najbližších hodinách v meste {name}")</f>
        <v>Vlhkosť v najbližších hodinách v meste {name}</v>
      </c>
      <c r="BD73" s="3" t="str">
        <f>IFERROR(__xludf.DUMMYFUNCTION("GoogleTranslate(C73, ""en"", ""sl"")"),"Vlažnost v prihodnjih urah v {name}")</f>
        <v>Vlažnost v prihodnjih urah v {name}</v>
      </c>
      <c r="BE73" s="3" t="str">
        <f>IFERROR(__xludf.DUMMYFUNCTION("GoogleTranslate(C73, ""en"", ""es"")"),"Humedad en las próximas horas en {nombre}")</f>
        <v>Humedad en las próximas horas en {nombre}</v>
      </c>
      <c r="BF73" s="3" t="str">
        <f>IFERROR(__xludf.DUMMYFUNCTION("GoogleTranslate(C73, ""en"", ""sw"")"),"Unyevu katika saa zijazo katika {name}")</f>
        <v>Unyevu katika saa zijazo katika {name}</v>
      </c>
      <c r="BG73" s="3" t="str">
        <f>IFERROR(__xludf.DUMMYFUNCTION("GoogleTranslate(C73, ""en"", ""sv"")"),"Fuktighet under de kommande timmarna i {name}")</f>
        <v>Fuktighet under de kommande timmarna i {name}</v>
      </c>
      <c r="BH73" s="3" t="str">
        <f>IFERROR(__xludf.DUMMYFUNCTION("GoogleTranslate(C73, ""en"", ""te"")"),"{name}లో రాబోయే గంటలలో తేమ")</f>
        <v>{name}లో రాబోయే గంటలలో తేమ</v>
      </c>
      <c r="BI73" s="3" t="str">
        <f>IFERROR(__xludf.DUMMYFUNCTION("GoogleTranslate(C73, ""en"", ""th"")"),"ความชื้นในอีกไม่กี่ชั่วโมงข้างหน้าใน {name}")</f>
        <v>ความชื้นในอีกไม่กี่ชั่วโมงข้างหน้าใน {name}</v>
      </c>
      <c r="BJ73" s="3" t="str">
        <f>IFERROR(__xludf.DUMMYFUNCTION("GoogleTranslate(C73, ""en"", ""tr"")"),"{name} için önümüzdeki saatlerde nem oranı")</f>
        <v>{name} için önümüzdeki saatlerde nem oranı</v>
      </c>
      <c r="BK73" s="3" t="str">
        <f>IFERROR(__xludf.DUMMYFUNCTION("GoogleTranslate(C73, ""en"", ""uk"")"),"Вологість у найближчі години в {name}")</f>
        <v>Вологість у найближчі години в {name}</v>
      </c>
      <c r="BL73" s="3" t="str">
        <f>IFERROR(__xludf.DUMMYFUNCTION("GoogleTranslate(C73, ""en"", ""zu"")"),"Umswakamo emahoreni azayo e-{name}")</f>
        <v>Umswakamo emahoreni azayo e-{name}</v>
      </c>
    </row>
    <row r="74">
      <c r="A74" s="1" t="str">
        <f t="shared" si="1"/>
        <v>Cloud_cover_in_the_coming_hours_in_{name}</v>
      </c>
      <c r="B74" s="4" t="s">
        <v>132</v>
      </c>
      <c r="C74" s="1" t="str">
        <f t="shared" si="2"/>
        <v>Cloud cover in the coming hours in {name}</v>
      </c>
      <c r="D74" s="3" t="str">
        <f>IFERROR(__xludf.DUMMYFUNCTION("GoogleTranslate(C74, ""en"", ""es"")"),"Nubosidad en las próximas horas en {nombre}")</f>
        <v>Nubosidad en las próximas horas en {nombre}</v>
      </c>
      <c r="E74" s="3" t="str">
        <f>IFERROR(__xludf.DUMMYFUNCTION("GoogleTranslate(C74, ""en"", ""ar"")"),"غطاء سحابي خلال الساعات القادمة في {الاسم}")</f>
        <v>غطاء سحابي خلال الساعات القادمة في {الاسم}</v>
      </c>
      <c r="F74" s="3" t="str">
        <f>IFERROR(__xludf.DUMMYFUNCTION("GoogleTranslate(C74, ""en"", ""hy"")"),"Ամպային ծածկույթ առաջիկա ժամերին {name}-ում")</f>
        <v>Ամպային ծածկույթ առաջիկա ժամերին {name}-ում</v>
      </c>
      <c r="G74" s="3" t="str">
        <f>IFERROR(__xludf.DUMMYFUNCTION("GoogleTranslate(C74, ""en"", ""vi"")"),"Mây che phủ trong những giờ tới ở {name}")</f>
        <v>Mây che phủ trong những giờ tới ở {name}</v>
      </c>
      <c r="H74" s="3" t="str">
        <f>IFERROR(__xludf.DUMMYFUNCTION("GoogleTranslate(C74, ""en"", ""az"")"),"{name} ərazisində yaxın saatlarda bulud örtüyü")</f>
        <v>{name} ərazisində yaxın saatlarda bulud örtüyü</v>
      </c>
      <c r="I74" s="3" t="str">
        <f>IFERROR(__xludf.DUMMYFUNCTION("GoogleTranslate(C74, ""en"", ""eu"")"),"Laino-estaldura datozen orduetan {name}-n")</f>
        <v>Laino-estaldura datozen orduetan {name}-n</v>
      </c>
      <c r="J74" s="3" t="str">
        <f>IFERROR(__xludf.DUMMYFUNCTION("GoogleTranslate(C74, ""en"", ""be"")"),"Воблачнасць у бліжэйшыя гадзіны ў {name}")</f>
        <v>Воблачнасць у бліжэйшыя гадзіны ў {name}</v>
      </c>
      <c r="K74" s="3" t="str">
        <f>IFERROR(__xludf.DUMMYFUNCTION("GoogleTranslate(C74, ""en"", ""bn"")"),"আগামী ঘন্টায় {name} এ মেঘের আচ্ছাদন")</f>
        <v>আগামী ঘন্টায় {name} এ মেঘের আচ্ছাদন</v>
      </c>
      <c r="L74" s="3" t="str">
        <f>IFERROR(__xludf.DUMMYFUNCTION("GoogleTranslate(C74, ""en"", ""bg"")"),"Облачно покритие през следващите часове в {name}")</f>
        <v>Облачно покритие през следващите часове в {name}</v>
      </c>
      <c r="M74" s="3" t="str">
        <f>IFERROR(__xludf.DUMMYFUNCTION("GoogleTranslate(C74, ""en"", ""my"")"),"လာမည့်နာရီများတွင် {name} ဖြင့် တိမ်ဖုံးသည်")</f>
        <v>လာမည့်နာရီများတွင် {name} ဖြင့် တိမ်ဖုံးသည်</v>
      </c>
      <c r="N74" s="3" t="str">
        <f>IFERROR(__xludf.DUMMYFUNCTION("GoogleTranslate(C74, ""en"", ""ca"")"),"Coberta de núvols en les properes hores a {name}")</f>
        <v>Coberta de núvols en les properes hores a {name}</v>
      </c>
      <c r="O74" s="3" t="str">
        <f>IFERROR(__xludf.DUMMYFUNCTION("GoogleTranslate(C74, ""en"", ""zh-cn"")"),"未来几小时内{name}将有云层覆盖")</f>
        <v>未来几小时内{name}将有云层覆盖</v>
      </c>
      <c r="P74" s="3" t="str">
        <f>IFERROR(__xludf.DUMMYFUNCTION("GoogleTranslate(C74, ""en"", ""zh-TW"")"),"未來幾小時內{name}將有雲覆蓋")</f>
        <v>未來幾小時內{name}將有雲覆蓋</v>
      </c>
      <c r="Q74" s="3" t="str">
        <f>IFERROR(__xludf.DUMMYFUNCTION("GoogleTranslate(C74, ""en"", ""hr"")"),"Naoblaka u sljedećim satima u {name}")</f>
        <v>Naoblaka u sljedećim satima u {name}</v>
      </c>
      <c r="R74" s="3" t="str">
        <f>IFERROR(__xludf.DUMMYFUNCTION("GoogleTranslate(C74, ""en"", ""cs"")"),"Oblačnost v nadcházejících hodinách v {name}")</f>
        <v>Oblačnost v nadcházejících hodinách v {name}</v>
      </c>
      <c r="S74" s="3" t="str">
        <f>IFERROR(__xludf.DUMMYFUNCTION("GoogleTranslate(C74, ""en"", ""da"")"),"Skydække i de kommende timer i {name}")</f>
        <v>Skydække i de kommende timer i {name}</v>
      </c>
      <c r="T74" s="3" t="str">
        <f>IFERROR(__xludf.DUMMYFUNCTION("GoogleTranslate(C74, ""en"", ""nl"")"),"Bewolking de komende uren in {name}")</f>
        <v>Bewolking de komende uren in {name}</v>
      </c>
      <c r="U74" s="3" t="str">
        <f>IFERROR(__xludf.DUMMYFUNCTION("GoogleTranslate(C74, ""en"", ""et"")"),"Pilvkate lähitundidel asukohas {name}")</f>
        <v>Pilvkate lähitundidel asukohas {name}</v>
      </c>
      <c r="V74" s="1" t="str">
        <f t="shared" si="3"/>
        <v>Cloud cover in the coming hours in {name}</v>
      </c>
      <c r="W74" s="3" t="str">
        <f>IFERROR(__xludf.DUMMYFUNCTION("GoogleTranslate(C74, ""en"", ""fi"")"),"Pilvipeite lähiaikoina paikassa {name}")</f>
        <v>Pilvipeite lähiaikoina paikassa {name}</v>
      </c>
      <c r="X74" s="3" t="str">
        <f>IFERROR(__xludf.DUMMYFUNCTION("GoogleTranslate(C74, ""en"", ""fr"")"),"Couverture nuageuse dans les prochaines heures à {name}")</f>
        <v>Couverture nuageuse dans les prochaines heures à {name}</v>
      </c>
      <c r="Y74" s="3" t="str">
        <f>IFERROR(__xludf.DUMMYFUNCTION("GoogleTranslate(C74, ""en"", ""de"")"),"Bewölkung in den kommenden Stunden in {name}")</f>
        <v>Bewölkung in den kommenden Stunden in {name}</v>
      </c>
      <c r="Z74" s="3" t="str">
        <f>IFERROR(__xludf.DUMMYFUNCTION("GoogleTranslate(C74, ""en"", ""el"")"),"Cloud cover τις επόμενες ώρες στο {name}")</f>
        <v>Cloud cover τις επόμενες ώρες στο {name}</v>
      </c>
      <c r="AA74" s="3" t="str">
        <f>IFERROR(__xludf.DUMMYFUNCTION("GoogleTranslate(C74, ""en"", ""iw"")"),"כיסוי עננים בשעות הקרובות ב-{name}")</f>
        <v>כיסוי עננים בשעות הקרובות ב-{name}</v>
      </c>
      <c r="AB74" s="3" t="str">
        <f>IFERROR(__xludf.DUMMYFUNCTION("GoogleTranslate(C74, ""en"", ""hi"")"),"{नाम} में आने वाले घंटों में बादल छाए रहेंगे")</f>
        <v>{नाम} में आने वाले घंटों में बादल छाए रहेंगे</v>
      </c>
      <c r="AC74" s="3" t="str">
        <f>IFERROR(__xludf.DUMMYFUNCTION("GoogleTranslate(C74, ""en"", ""hu"")"),"Felhőzet a következő órákban itt: {name}")</f>
        <v>Felhőzet a következő órákban itt: {name}</v>
      </c>
      <c r="AD74" s="3" t="str">
        <f>IFERROR(__xludf.DUMMYFUNCTION("GoogleTranslate(C74, ""en"", ""is"")"),"Skýjahula á næstu klukkustundum í {name}")</f>
        <v>Skýjahula á næstu klukkustundum í {name}</v>
      </c>
      <c r="AE74" s="3" t="str">
        <f>IFERROR(__xludf.DUMMYFUNCTION("GoogleTranslate(C74, ""en"", ""id"")"),"Tutupan awan dalam beberapa jam mendatang di {name}")</f>
        <v>Tutupan awan dalam beberapa jam mendatang di {name}</v>
      </c>
      <c r="AF74" s="3" t="str">
        <f>IFERROR(__xludf.DUMMYFUNCTION("GoogleTranslate(C74, ""en"", ""in"")"),"Tutupan awan dalam beberapa jam mendatang di {name}")</f>
        <v>Tutupan awan dalam beberapa jam mendatang di {name}</v>
      </c>
      <c r="AG74" s="3" t="str">
        <f>IFERROR(__xludf.DUMMYFUNCTION("GoogleTranslate(C74, ""en"", ""it"")"),"Nuvolosità nelle prossime ore a {name}")</f>
        <v>Nuvolosità nelle prossime ore a {name}</v>
      </c>
      <c r="AH74" s="3" t="str">
        <f>IFERROR(__xludf.DUMMYFUNCTION("GoogleTranslate(C74, ""en"", ""ja"")"),"{name}では今後数時間の雲量が予想されます")</f>
        <v>{name}では今後数時間の雲量が予想されます</v>
      </c>
      <c r="AI74" s="3" t="str">
        <f>IFERROR(__xludf.DUMMYFUNCTION("GoogleTranslate(C74, ""en"", ""kn"")"),"{name} ನಲ್ಲಿ ಮುಂಬರುವ ಗಂಟೆಗಳಲ್ಲಿ ಮೇಘ ಕವರ್")</f>
        <v>{name} ನಲ್ಲಿ ಮುಂಬರುವ ಗಂಟೆಗಳಲ್ಲಿ ಮೇಘ ಕವರ್</v>
      </c>
      <c r="AJ74" s="3" t="str">
        <f>IFERROR(__xludf.DUMMYFUNCTION("GoogleTranslate(C74, ""en"", ""km"")"),"ពពកគ្របដណ្តប់នៅប៉ុន្មានម៉ោងខាងមុខនេះនៅក្នុង {name}")</f>
        <v>ពពកគ្របដណ្តប់នៅប៉ុន្មានម៉ោងខាងមុខនេះនៅក្នុង {name}</v>
      </c>
      <c r="AK74" s="3" t="str">
        <f>IFERROR(__xludf.DUMMYFUNCTION("GoogleTranslate(C74, ""en"", ""ko"")"),"앞으로 몇 시간 안에 {name}에 구름이 덮일 것입니다")</f>
        <v>앞으로 몇 시간 안에 {name}에 구름이 덮일 것입니다</v>
      </c>
      <c r="AL74" s="3" t="str">
        <f>IFERROR(__xludf.DUMMYFUNCTION("GoogleTranslate(C74, ""en"", ""lo"")"),"ການປົກຫຸ້ມຂອງຄລາວໃນຊົ່ວໂມງຂ້າງຫນ້າໃນ {name}")</f>
        <v>ການປົກຫຸ້ມຂອງຄລາວໃນຊົ່ວໂມງຂ້າງຫນ້າໃນ {name}</v>
      </c>
      <c r="AM74" s="3" t="str">
        <f>IFERROR(__xludf.DUMMYFUNCTION("GoogleTranslate(C74, ""en"", ""lv"")"),"Mākoņa sega tuvākajās stundās šeit: {name}")</f>
        <v>Mākoņa sega tuvākajās stundās šeit: {name}</v>
      </c>
      <c r="AN74" s="3" t="str">
        <f>IFERROR(__xludf.DUMMYFUNCTION("GoogleTranslate(C74, ""en"", ""lt"")"),"Debesų danga artimiausiomis valandomis {name}")</f>
        <v>Debesų danga artimiausiomis valandomis {name}</v>
      </c>
      <c r="AO74" s="3" t="str">
        <f>IFERROR(__xludf.DUMMYFUNCTION("GoogleTranslate(C74, ""en"", ""mk"")"),"Облак во наредните часови во {name}")</f>
        <v>Облак во наредните часови во {name}</v>
      </c>
      <c r="AP74" s="3" t="str">
        <f>IFERROR(__xludf.DUMMYFUNCTION("GoogleTranslate(C74, ""en"", ""ms"")"),"Litupan awan dalam beberapa jam akan datang di {name}")</f>
        <v>Litupan awan dalam beberapa jam akan datang di {name}</v>
      </c>
      <c r="AQ74" s="3" t="str">
        <f>IFERROR(__xludf.DUMMYFUNCTION("GoogleTranslate(C74, ""en"", ""ml"")"),"{name} എന്നതിൽ വരും മണിക്കൂറുകളിൽ ക്ലൗഡ് കവർ")</f>
        <v>{name} എന്നതിൽ വരും മണിക്കൂറുകളിൽ ക്ലൗഡ് കവർ</v>
      </c>
      <c r="AR74" s="3" t="str">
        <f>IFERROR(__xludf.DUMMYFUNCTION("GoogleTranslate(C74, ""en"", ""mr"")"),"{name} मध्ये येत्या काही तासांत ढगांचे आच्छादन")</f>
        <v>{name} मध्ये येत्या काही तासांत ढगांचे आच्छादन</v>
      </c>
      <c r="AS74" s="3" t="str">
        <f>IFERROR(__xludf.DUMMYFUNCTION("GoogleTranslate(C74, ""en"", ""mn"")"),"{name}-д ойрын цагт үүлэрхэг болно")</f>
        <v>{name}-д ойрын цагт үүлэрхэг болно</v>
      </c>
      <c r="AT74" s="3" t="str">
        <f>IFERROR(__xludf.DUMMYFUNCTION("GoogleTranslate(C74, ""en"", ""ne"")"),"{name} मा आउँदो घण्टामा बादलले ढाक्ने")</f>
        <v>{name} मा आउँदो घण्टामा बादलले ढाक्ने</v>
      </c>
      <c r="AU74" s="3" t="str">
        <f>IFERROR(__xludf.DUMMYFUNCTION("GoogleTranslate(C74, ""en"", ""nb"")"),"Skydekke i de kommende timene i {name}")</f>
        <v>Skydekke i de kommende timene i {name}</v>
      </c>
      <c r="AV74" s="3" t="str">
        <f>IFERROR(__xludf.DUMMYFUNCTION("GoogleTranslate(C74, ""en"", ""fa"")"),"پوشش ابری در ساعات آینده در {name}")</f>
        <v>پوشش ابری در ساعات آینده در {name}</v>
      </c>
      <c r="AW74" s="3" t="str">
        <f>IFERROR(__xludf.DUMMYFUNCTION("GoogleTranslate(C74, ""en"", ""pl"")"),"Zachmurzenie w nadchodzących godzinach w {name}")</f>
        <v>Zachmurzenie w nadchodzących godzinach w {name}</v>
      </c>
      <c r="AX74" s="3" t="str">
        <f>IFERROR(__xludf.DUMMYFUNCTION("GoogleTranslate(C74, ""en"", ""pt"")"),"Nuvens nas próximas horas em {name}")</f>
        <v>Nuvens nas próximas horas em {name}</v>
      </c>
      <c r="AY74" s="3" t="str">
        <f>IFERROR(__xludf.DUMMYFUNCTION("GoogleTranslate(C74, ""en"", ""ro"")"),"Acoperire cu nori în următoarele ore în {name}")</f>
        <v>Acoperire cu nori în următoarele ore în {name}</v>
      </c>
      <c r="AZ74" s="3" t="str">
        <f>IFERROR(__xludf.DUMMYFUNCTION("GoogleTranslate(C74, ""en"", ""ru"")"),"Облачность в ближайшие часы в {name}")</f>
        <v>Облачность в ближайшие часы в {name}</v>
      </c>
      <c r="BA74" s="3" t="str">
        <f>IFERROR(__xludf.DUMMYFUNCTION("GoogleTranslate(C74, ""en"", ""sr"")"),"Облачност у наредним сатима у {наме}")</f>
        <v>Облачност у наредним сатима у {наме}</v>
      </c>
      <c r="BB74" s="3" t="str">
        <f>IFERROR(__xludf.DUMMYFUNCTION("GoogleTranslate(C74, ""en"", ""si"")"),"{name} හි ඉදිරි පැය වල වලාකුළු ආවරණය")</f>
        <v>{name} හි ඉදිරි පැය වල වලාකුළු ආවරණය</v>
      </c>
      <c r="BC74" s="3" t="str">
        <f>IFERROR(__xludf.DUMMYFUNCTION("GoogleTranslate(C74, ""en"", ""sk"")"),"Oblačnosť v najbližších hodinách v meste {name}")</f>
        <v>Oblačnosť v najbližších hodinách v meste {name}</v>
      </c>
      <c r="BD74" s="3" t="str">
        <f>IFERROR(__xludf.DUMMYFUNCTION("GoogleTranslate(C74, ""en"", ""sl"")"),"Oblačnost v prihodnjih urah v {name}")</f>
        <v>Oblačnost v prihodnjih urah v {name}</v>
      </c>
      <c r="BE74" s="3" t="str">
        <f>IFERROR(__xludf.DUMMYFUNCTION("GoogleTranslate(C74, ""en"", ""es"")"),"Nubosidad en las próximas horas en {nombre}")</f>
        <v>Nubosidad en las próximas horas en {nombre}</v>
      </c>
      <c r="BF74" s="3" t="str">
        <f>IFERROR(__xludf.DUMMYFUNCTION("GoogleTranslate(C74, ""en"", ""sw"")"),"Wingu cover saa zijazo katika {name}")</f>
        <v>Wingu cover saa zijazo katika {name}</v>
      </c>
      <c r="BG74" s="3" t="str">
        <f>IFERROR(__xludf.DUMMYFUNCTION("GoogleTranslate(C74, ""en"", ""sv"")"),"Molntäcke under de kommande timmarna i {name}")</f>
        <v>Molntäcke under de kommande timmarna i {name}</v>
      </c>
      <c r="BH74" s="3" t="str">
        <f>IFERROR(__xludf.DUMMYFUNCTION("GoogleTranslate(C74, ""en"", ""te"")"),"{name}లో రాబోయే గంటలలో క్లౌడ్ కవర్")</f>
        <v>{name}లో రాబోయే గంటలలో క్లౌడ్ కవర్</v>
      </c>
      <c r="BI74" s="3" t="str">
        <f>IFERROR(__xludf.DUMMYFUNCTION("GoogleTranslate(C74, ""en"", ""th"")"),"เมฆปกคลุมในอีกไม่กี่ชั่วโมงข้างหน้าใน {name}")</f>
        <v>เมฆปกคลุมในอีกไม่กี่ชั่วโมงข้างหน้าใน {name}</v>
      </c>
      <c r="BJ74" s="3" t="str">
        <f>IFERROR(__xludf.DUMMYFUNCTION("GoogleTranslate(C74, ""en"", ""tr"")"),"Önümüzdeki saatlerde {name} bölgesinde bulut örtüsü")</f>
        <v>Önümüzdeki saatlerde {name} bölgesinde bulut örtüsü</v>
      </c>
      <c r="BK74" s="3" t="str">
        <f>IFERROR(__xludf.DUMMYFUNCTION("GoogleTranslate(C74, ""en"", ""uk"")"),"Хмарність у найближчі години в {name}")</f>
        <v>Хмарність у найближчі години в {name}</v>
      </c>
      <c r="BL74" s="3" t="str">
        <f>IFERROR(__xludf.DUMMYFUNCTION("GoogleTranslate(C74, ""en"", ""zu"")"),"Ikhava yefu emahoreni azayo ngo-{name}")</f>
        <v>Ikhava yefu emahoreni azayo ngo-{name}</v>
      </c>
    </row>
    <row r="75">
      <c r="A75" s="1" t="str">
        <f t="shared" si="1"/>
        <v>Pressure_in_the_coming_times_in_{name}</v>
      </c>
      <c r="B75" s="4" t="s">
        <v>133</v>
      </c>
      <c r="C75" s="1" t="str">
        <f t="shared" si="2"/>
        <v>Pressure in the coming times in {name}</v>
      </c>
      <c r="D75" s="3" t="str">
        <f>IFERROR(__xludf.DUMMYFUNCTION("GoogleTranslate(C75, ""en"", ""es"")"),"Presión en los próximos tiempos en {nombre}")</f>
        <v>Presión en los próximos tiempos en {nombre}</v>
      </c>
      <c r="E75" s="3" t="str">
        <f>IFERROR(__xludf.DUMMYFUNCTION("GoogleTranslate(C75, ""en"", ""ar"")"),"الضغط في المرات القادمة في {الاسم}")</f>
        <v>الضغط في المرات القادمة في {الاسم}</v>
      </c>
      <c r="F75" s="3" t="str">
        <f>IFERROR(__xludf.DUMMYFUNCTION("GoogleTranslate(C75, ""en"", ""hy"")"),"Առաջիկա ժամանակներում ճնշումը {name}-ում")</f>
        <v>Առաջիկա ժամանակներում ճնշումը {name}-ում</v>
      </c>
      <c r="G75" s="3" t="str">
        <f>IFERROR(__xludf.DUMMYFUNCTION("GoogleTranslate(C75, ""en"", ""vi"")"),"Áp lực trong thời gian tới ở {name}")</f>
        <v>Áp lực trong thời gian tới ở {name}</v>
      </c>
      <c r="H75" s="3" t="str">
        <f>IFERROR(__xludf.DUMMYFUNCTION("GoogleTranslate(C75, ""en"", ""az"")"),"{name} bölgəsində yaxın vaxtlarda təzyiq")</f>
        <v>{name} bölgəsində yaxın vaxtlarda təzyiq</v>
      </c>
      <c r="I75" s="3" t="str">
        <f>IFERROR(__xludf.DUMMYFUNCTION("GoogleTranslate(C75, ""en"", ""eu"")"),"Presioa datozen garaietan {name}-n")</f>
        <v>Presioa datozen garaietan {name}-n</v>
      </c>
      <c r="J75" s="3" t="str">
        <f>IFERROR(__xludf.DUMMYFUNCTION("GoogleTranslate(C75, ""en"", ""be"")"),"Ціск у бліжэйшы час у {name}")</f>
        <v>Ціск у бліжэйшы час у {name}</v>
      </c>
      <c r="K75" s="3" t="str">
        <f>IFERROR(__xludf.DUMMYFUNCTION("GoogleTranslate(C75, ""en"", ""bn"")"),"আগামী সময়ে চাপ {name} এ")</f>
        <v>আগামী সময়ে চাপ {name} এ</v>
      </c>
      <c r="L75" s="3" t="str">
        <f>IFERROR(__xludf.DUMMYFUNCTION("GoogleTranslate(C75, ""en"", ""bg"")"),"Натиск в следващите времена в {name}")</f>
        <v>Натиск в следващите времена в {name}</v>
      </c>
      <c r="M75" s="3" t="str">
        <f>IFERROR(__xludf.DUMMYFUNCTION("GoogleTranslate(C75, ""en"", ""my"")"),"လာမည့်အချိန်များတွင် {name} တွင် ဖိအား")</f>
        <v>လာမည့်အချိန်များတွင် {name} တွင် ဖိအား</v>
      </c>
      <c r="N75" s="3" t="str">
        <f>IFERROR(__xludf.DUMMYFUNCTION("GoogleTranslate(C75, ""en"", ""ca"")"),"Pressió en els propers temps a {name}")</f>
        <v>Pressió en els propers temps a {name}</v>
      </c>
      <c r="O75" s="3" t="str">
        <f>IFERROR(__xludf.DUMMYFUNCTION("GoogleTranslate(C75, ""en"", ""zh-cn"")"),"{name}未来的压力")</f>
        <v>{name}未来的压力</v>
      </c>
      <c r="P75" s="3" t="str">
        <f>IFERROR(__xludf.DUMMYFUNCTION("GoogleTranslate(C75, ""en"", ""zh-TW"")"),"{name}未來的壓力")</f>
        <v>{name}未來的壓力</v>
      </c>
      <c r="Q75" s="3" t="str">
        <f>IFERROR(__xludf.DUMMYFUNCTION("GoogleTranslate(C75, ""en"", ""hr"")"),"Pritisak u nadolazećim vremenima u {name}")</f>
        <v>Pritisak u nadolazećim vremenima u {name}</v>
      </c>
      <c r="R75" s="3" t="str">
        <f>IFERROR(__xludf.DUMMYFUNCTION("GoogleTranslate(C75, ""en"", ""cs"")"),"Tlak v nadcházejících časech v {name}")</f>
        <v>Tlak v nadcházejících časech v {name}</v>
      </c>
      <c r="S75" s="3" t="str">
        <f>IFERROR(__xludf.DUMMYFUNCTION("GoogleTranslate(C75, ""en"", ""da"")"),"Pres i de kommende tider i {name}")</f>
        <v>Pres i de kommende tider i {name}</v>
      </c>
      <c r="T75" s="3" t="str">
        <f>IFERROR(__xludf.DUMMYFUNCTION("GoogleTranslate(C75, ""en"", ""nl"")"),"Druk de komende tijd in {name}")</f>
        <v>Druk de komende tijd in {name}</v>
      </c>
      <c r="U75" s="3" t="str">
        <f>IFERROR(__xludf.DUMMYFUNCTION("GoogleTranslate(C75, ""en"", ""et"")"),"Surve lähiajal riigis {name}")</f>
        <v>Surve lähiajal riigis {name}</v>
      </c>
      <c r="V75" s="1" t="str">
        <f t="shared" si="3"/>
        <v>Pressure in the coming times in {name}</v>
      </c>
      <c r="W75" s="3" t="str">
        <f>IFERROR(__xludf.DUMMYFUNCTION("GoogleTranslate(C75, ""en"", ""fi"")"),"Paineita tulevina aikoina alueella {name}")</f>
        <v>Paineita tulevina aikoina alueella {name}</v>
      </c>
      <c r="X75" s="3" t="str">
        <f>IFERROR(__xludf.DUMMYFUNCTION("GoogleTranslate(C75, ""en"", ""fr"")"),"Pression dans les temps à venir à {name}")</f>
        <v>Pression dans les temps à venir à {name}</v>
      </c>
      <c r="Y75" s="3" t="str">
        <f>IFERROR(__xludf.DUMMYFUNCTION("GoogleTranslate(C75, ""en"", ""de"")"),"Druck in den kommenden Zeiten in {Name}")</f>
        <v>Druck in den kommenden Zeiten in {Name}</v>
      </c>
      <c r="Z75" s="3" t="str">
        <f>IFERROR(__xludf.DUMMYFUNCTION("GoogleTranslate(C75, ""en"", ""el"")"),"Πίεση τους επόμενους χρόνους στο {name}")</f>
        <v>Πίεση τους επόμενους χρόνους στο {name}</v>
      </c>
      <c r="AA75" s="3" t="str">
        <f>IFERROR(__xludf.DUMMYFUNCTION("GoogleTranslate(C75, ""en"", ""iw"")"),"לחץ בזמנים הקרובים ב-{name}")</f>
        <v>לחץ בזמנים הקרובים ב-{name}</v>
      </c>
      <c r="AB75" s="3" t="str">
        <f>IFERROR(__xludf.DUMMYFUNCTION("GoogleTranslate(C75, ""en"", ""hi"")"),"आने वाले समय में {नाम} पर दबाव")</f>
        <v>आने वाले समय में {नाम} पर दबाव</v>
      </c>
      <c r="AC75" s="3" t="str">
        <f>IFERROR(__xludf.DUMMYFUNCTION("GoogleTranslate(C75, ""en"", ""hu"")"),"Nyomás az elkövetkező időkben {name} területén")</f>
        <v>Nyomás az elkövetkező időkben {name} területén</v>
      </c>
      <c r="AD75" s="3" t="str">
        <f>IFERROR(__xludf.DUMMYFUNCTION("GoogleTranslate(C75, ""en"", ""is"")"),"Þrýstingur á næstu tímum í {name}")</f>
        <v>Þrýstingur á næstu tímum í {name}</v>
      </c>
      <c r="AE75" s="3" t="str">
        <f>IFERROR(__xludf.DUMMYFUNCTION("GoogleTranslate(C75, ""en"", ""id"")"),"Tekanan dalam waktu dekat di {name}")</f>
        <v>Tekanan dalam waktu dekat di {name}</v>
      </c>
      <c r="AF75" s="3" t="str">
        <f>IFERROR(__xludf.DUMMYFUNCTION("GoogleTranslate(C75, ""en"", ""in"")"),"Tekanan dalam waktu dekat di {name}")</f>
        <v>Tekanan dalam waktu dekat di {name}</v>
      </c>
      <c r="AG75" s="3" t="str">
        <f>IFERROR(__xludf.DUMMYFUNCTION("GoogleTranslate(C75, ""en"", ""it"")"),"Pressione nei prossimi tempi a {name}")</f>
        <v>Pressione nei prossimi tempi a {name}</v>
      </c>
      <c r="AH75" s="3" t="str">
        <f>IFERROR(__xludf.DUMMYFUNCTION("GoogleTranslate(C75, ""en"", ""ja"")"),"{name} における今後のプレッシャー")</f>
        <v>{name} における今後のプレッシャー</v>
      </c>
      <c r="AI75" s="3" t="str">
        <f>IFERROR(__xludf.DUMMYFUNCTION("GoogleTranslate(C75, ""en"", ""kn"")"),"{name} ನಲ್ಲಿ ಮುಂಬರುವ ಸಮಯದಲ್ಲಿ ಒತ್ತಡ")</f>
        <v>{name} ನಲ್ಲಿ ಮುಂಬರುವ ಸಮಯದಲ್ಲಿ ಒತ್ತಡ</v>
      </c>
      <c r="AJ75" s="3" t="str">
        <f>IFERROR(__xludf.DUMMYFUNCTION("GoogleTranslate(C75, ""en"", ""km"")"),"សម្ពាធនាពេលខាងមុខនៅក្នុង {name}")</f>
        <v>សម្ពាធនាពេលខាងមុខនៅក្នុង {name}</v>
      </c>
      <c r="AK75" s="3" t="str">
        <f>IFERROR(__xludf.DUMMYFUNCTION("GoogleTranslate(C75, ""en"", ""ko"")"),"{name}의 향후 압력")</f>
        <v>{name}의 향후 압력</v>
      </c>
      <c r="AL75" s="3" t="str">
        <f>IFERROR(__xludf.DUMMYFUNCTION("GoogleTranslate(C75, ""en"", ""lo"")"),"ຄວາມກົດດັນໃນເວລາຕໍ່ໄປໃນ {name}")</f>
        <v>ຄວາມກົດດັນໃນເວລາຕໍ່ໄປໃນ {name}</v>
      </c>
      <c r="AM75" s="3" t="str">
        <f>IFERROR(__xludf.DUMMYFUNCTION("GoogleTranslate(C75, ""en"", ""lv"")"),"Spiediens turpmākajos laikos šeit: {name}")</f>
        <v>Spiediens turpmākajos laikos šeit: {name}</v>
      </c>
      <c r="AN75" s="3" t="str">
        <f>IFERROR(__xludf.DUMMYFUNCTION("GoogleTranslate(C75, ""en"", ""lt"")"),"Spaudimas artimiausiu metu {name}")</f>
        <v>Spaudimas artimiausiu metu {name}</v>
      </c>
      <c r="AO75" s="3" t="str">
        <f>IFERROR(__xludf.DUMMYFUNCTION("GoogleTranslate(C75, ""en"", ""mk"")"),"Притисок во наредните времиња во {name}")</f>
        <v>Притисок во наредните времиња во {name}</v>
      </c>
      <c r="AP75" s="3" t="str">
        <f>IFERROR(__xludf.DUMMYFUNCTION("GoogleTranslate(C75, ""en"", ""ms"")"),"Tekanan pada masa akan datang dalam {name}")</f>
        <v>Tekanan pada masa akan datang dalam {name}</v>
      </c>
      <c r="AQ75" s="3" t="str">
        <f>IFERROR(__xludf.DUMMYFUNCTION("GoogleTranslate(C75, ""en"", ""ml"")"),"{name} ൽ വരാനിരിക്കുന്ന സമയങ്ങളിൽ സമ്മർദ്ദം")</f>
        <v>{name} ൽ വരാനിരിക്കുന്ന സമയങ്ങളിൽ സമ്മർദ്ദം</v>
      </c>
      <c r="AR75" s="3" t="str">
        <f>IFERROR(__xludf.DUMMYFUNCTION("GoogleTranslate(C75, ""en"", ""mr"")"),"आगामी काळात {name} वर दबाव")</f>
        <v>आगामी काळात {name} वर दबाव</v>
      </c>
      <c r="AS75" s="3" t="str">
        <f>IFERROR(__xludf.DUMMYFUNCTION("GoogleTranslate(C75, ""en"", ""mn"")"),"{name}-д ойрын үед даралт")</f>
        <v>{name}-д ойрын үед даралт</v>
      </c>
      <c r="AT75" s="3" t="str">
        <f>IFERROR(__xludf.DUMMYFUNCTION("GoogleTranslate(C75, ""en"", ""ne"")"),"{name} मा आगामी समयमा दबाब")</f>
        <v>{name} मा आगामी समयमा दबाब</v>
      </c>
      <c r="AU75" s="3" t="str">
        <f>IFERROR(__xludf.DUMMYFUNCTION("GoogleTranslate(C75, ""en"", ""nb"")"),"Press i de kommende tidene i {name}")</f>
        <v>Press i de kommende tidene i {name}</v>
      </c>
      <c r="AV75" s="3" t="str">
        <f>IFERROR(__xludf.DUMMYFUNCTION("GoogleTranslate(C75, ""en"", ""fa"")"),"فشار در زمان های آینده در {name}")</f>
        <v>فشار در زمان های آینده در {name}</v>
      </c>
      <c r="AW75" s="3" t="str">
        <f>IFERROR(__xludf.DUMMYFUNCTION("GoogleTranslate(C75, ""en"", ""pl"")"),"Presja w nadchodzących czasach w {name}")</f>
        <v>Presja w nadchodzących czasach w {name}</v>
      </c>
      <c r="AX75" s="3" t="str">
        <f>IFERROR(__xludf.DUMMYFUNCTION("GoogleTranslate(C75, ""en"", ""pt"")"),"Pressão nos próximos tempos em {name}")</f>
        <v>Pressão nos próximos tempos em {name}</v>
      </c>
      <c r="AY75" s="3" t="str">
        <f>IFERROR(__xludf.DUMMYFUNCTION("GoogleTranslate(C75, ""en"", ""ro"")"),"Presiunea în perioadele următoare în {name}")</f>
        <v>Presiunea în perioadele următoare în {name}</v>
      </c>
      <c r="AZ75" s="3" t="str">
        <f>IFERROR(__xludf.DUMMYFUNCTION("GoogleTranslate(C75, ""en"", ""ru"")"),"Давление в ближайшие времена в {name}")</f>
        <v>Давление в ближайшие времена в {name}</v>
      </c>
      <c r="BA75" s="3" t="str">
        <f>IFERROR(__xludf.DUMMYFUNCTION("GoogleTranslate(C75, ""en"", ""sr"")"),"Притисак у наредним временима у {наме}")</f>
        <v>Притисак у наредним временима у {наме}</v>
      </c>
      <c r="BB75" s="3" t="str">
        <f>IFERROR(__xludf.DUMMYFUNCTION("GoogleTranslate(C75, ""en"", ""si"")"),"{name} හි ඉදිරි කාලවලදී පීඩනය")</f>
        <v>{name} හි ඉදිරි කාලවලදී පීඩනය</v>
      </c>
      <c r="BC75" s="3" t="str">
        <f>IFERROR(__xludf.DUMMYFUNCTION("GoogleTranslate(C75, ""en"", ""sk"")"),"Tlak v nadchádzajúcich časoch v {name}")</f>
        <v>Tlak v nadchádzajúcich časoch v {name}</v>
      </c>
      <c r="BD75" s="3" t="str">
        <f>IFERROR(__xludf.DUMMYFUNCTION("GoogleTranslate(C75, ""en"", ""sl"")"),"Pritisk v prihodnjih časih v {name}")</f>
        <v>Pritisk v prihodnjih časih v {name}</v>
      </c>
      <c r="BE75" s="3" t="str">
        <f>IFERROR(__xludf.DUMMYFUNCTION("GoogleTranslate(C75, ""en"", ""es"")"),"Presión en los próximos tiempos en {nombre}")</f>
        <v>Presión en los próximos tiempos en {nombre}</v>
      </c>
      <c r="BF75" s="3" t="str">
        <f>IFERROR(__xludf.DUMMYFUNCTION("GoogleTranslate(C75, ""en"", ""sw"")"),"Shinikizo katika nyakati zijazo katika {name}")</f>
        <v>Shinikizo katika nyakati zijazo katika {name}</v>
      </c>
      <c r="BG75" s="3" t="str">
        <f>IFERROR(__xludf.DUMMYFUNCTION("GoogleTranslate(C75, ""en"", ""sv"")"),"Tryck under de kommande tiderna i {name}")</f>
        <v>Tryck under de kommande tiderna i {name}</v>
      </c>
      <c r="BH75" s="3" t="str">
        <f>IFERROR(__xludf.DUMMYFUNCTION("GoogleTranslate(C75, ""en"", ""te"")"),"{name}లో రాబోయే కాలంలో ఒత్తిడి")</f>
        <v>{name}లో రాబోయే కాలంలో ఒత్తిడి</v>
      </c>
      <c r="BI75" s="3" t="str">
        <f>IFERROR(__xludf.DUMMYFUNCTION("GoogleTranslate(C75, ""en"", ""th"")"),"ความกดดันในเวลาที่จะมาถึงใน {name}")</f>
        <v>ความกดดันในเวลาที่จะมาถึงใน {name}</v>
      </c>
      <c r="BJ75" s="3" t="str">
        <f>IFERROR(__xludf.DUMMYFUNCTION("GoogleTranslate(C75, ""en"", ""tr"")"),"{name}'da önümüzdeki dönemde baskı")</f>
        <v>{name}'da önümüzdeki dönemde baskı</v>
      </c>
      <c r="BK75" s="3" t="str">
        <f>IFERROR(__xludf.DUMMYFUNCTION("GoogleTranslate(C75, ""en"", ""uk"")"),"Тиск у найближчі часи в {name}")</f>
        <v>Тиск у найближчі часи в {name}</v>
      </c>
      <c r="BL75" s="3" t="str">
        <f>IFERROR(__xludf.DUMMYFUNCTION("GoogleTranslate(C75, ""en"", ""zu"")"),"Ingcindezi ezikhathini ezizayo ngo-{name}")</f>
        <v>Ingcindezi ezikhathini ezizayo ngo-{name}</v>
      </c>
    </row>
    <row r="76">
      <c r="A76" s="1" t="str">
        <f t="shared" si="1"/>
        <v>Sun_rise_&amp;_sun_set_in_the_coming_hours_in_{name}</v>
      </c>
      <c r="B76" s="4" t="s">
        <v>134</v>
      </c>
      <c r="C76" s="1" t="str">
        <f t="shared" si="2"/>
        <v>Sun rise &amp; sun set in the coming hours in {name}</v>
      </c>
      <c r="D76" s="3" t="str">
        <f>IFERROR(__xludf.DUMMYFUNCTION("GoogleTranslate(C76, ""en"", ""es"")"),"Salida y puesta del sol en las próximas horas en {nombre}")</f>
        <v>Salida y puesta del sol en las próximas horas en {nombre}</v>
      </c>
      <c r="E76" s="3" t="str">
        <f>IFERROR(__xludf.DUMMYFUNCTION("GoogleTranslate(C76, ""en"", ""ar"")"),"شروق الشمس وغروبها خلال الساعات القادمة في {الاسم}")</f>
        <v>شروق الشمس وغروبها خلال الساعات القادمة في {الاسم}</v>
      </c>
      <c r="F76" s="3" t="str">
        <f>IFERROR(__xludf.DUMMYFUNCTION("GoogleTranslate(C76, ""en"", ""hy"")"),"Արևածագ և մայրամուտ մոտակա ժամերին {name}-ում")</f>
        <v>Արևածագ և մայրամուտ մոտակա ժամերին {name}-ում</v>
      </c>
      <c r="G76" s="3" t="str">
        <f>IFERROR(__xludf.DUMMYFUNCTION("GoogleTranslate(C76, ""en"", ""vi"")"),"Mặt trời mọc và mặt trời lặn trong những giờ tới ở {name}")</f>
        <v>Mặt trời mọc và mặt trời lặn trong những giờ tới ở {name}</v>
      </c>
      <c r="H76" s="3" t="str">
        <f>IFERROR(__xludf.DUMMYFUNCTION("GoogleTranslate(C76, ""en"", ""az"")"),"{name} ərazisində yaxın saatlarda günəşin doğuşu və batması")</f>
        <v>{name} ərazisində yaxın saatlarda günəşin doğuşu və batması</v>
      </c>
      <c r="I76" s="3" t="str">
        <f>IFERROR(__xludf.DUMMYFUNCTION("GoogleTranslate(C76, ""en"", ""eu"")"),"Eguzkia irten eta ilunabarra datozen orduetan {name}")</f>
        <v>Eguzkia irten eta ilunabarra datozen orduetan {name}</v>
      </c>
      <c r="J76" s="3" t="str">
        <f>IFERROR(__xludf.DUMMYFUNCTION("GoogleTranslate(C76, ""en"", ""be"")"),"Узыход і заход сонца ў бліжэйшыя гадзіны ў {name}")</f>
        <v>Узыход і заход сонца ў бліжэйшыя гадзіны ў {name}</v>
      </c>
      <c r="K76" s="3" t="str">
        <f>IFERROR(__xludf.DUMMYFUNCTION("GoogleTranslate(C76, ""en"", ""bn"")"),"সূর্যোদয় এবং সূর্যাস্ত আগামী ঘন্টায় {name} এ")</f>
        <v>সূর্যোদয় এবং সূর্যাস্ত আগামী ঘন্টায় {name} এ</v>
      </c>
      <c r="L76" s="3" t="str">
        <f>IFERROR(__xludf.DUMMYFUNCTION("GoogleTranslate(C76, ""en"", ""bg"")"),"Изгрев и залез през следващите часове в {name}")</f>
        <v>Изгрев и залез през следващите часове в {name}</v>
      </c>
      <c r="M76" s="3" t="str">
        <f>IFERROR(__xludf.DUMMYFUNCTION("GoogleTranslate(C76, ""en"", ""my"")"),"{name} ဖြင့် လာမည့်နာရီများတွင် နေထွက်ပြီး နေဝင်သည်")</f>
        <v>{name} ဖြင့် လာမည့်နာရီများတွင် နေထွက်ပြီး နေဝင်သည်</v>
      </c>
      <c r="N76" s="3" t="str">
        <f>IFERROR(__xludf.DUMMYFUNCTION("GoogleTranslate(C76, ""en"", ""ca"")"),"Sortida i posta de sol en les properes hores a {name}")</f>
        <v>Sortida i posta de sol en les properes hores a {name}</v>
      </c>
      <c r="O76" s="3" t="str">
        <f>IFERROR(__xludf.DUMMYFUNCTION("GoogleTranslate(C76, ""en"", ""zh-cn"")"),"未来几小时内{name}的日出和日落")</f>
        <v>未来几小时内{name}的日出和日落</v>
      </c>
      <c r="P76" s="3" t="str">
        <f>IFERROR(__xludf.DUMMYFUNCTION("GoogleTranslate(C76, ""en"", ""zh-TW"")"),"未來幾小時內{name}的日出和日落")</f>
        <v>未來幾小時內{name}的日出和日落</v>
      </c>
      <c r="Q76" s="3" t="str">
        <f>IFERROR(__xludf.DUMMYFUNCTION("GoogleTranslate(C76, ""en"", ""hr"")"),"Izlazak i zalazak sunca u nadolazećim satima u {name}")</f>
        <v>Izlazak i zalazak sunca u nadolazećim satima u {name}</v>
      </c>
      <c r="R76" s="3" t="str">
        <f>IFERROR(__xludf.DUMMYFUNCTION("GoogleTranslate(C76, ""en"", ""cs"")"),"Východ a západ slunce v nadcházejících hodinách v {name}")</f>
        <v>Východ a západ slunce v nadcházejících hodinách v {name}</v>
      </c>
      <c r="S76" s="3" t="str">
        <f>IFERROR(__xludf.DUMMYFUNCTION("GoogleTranslate(C76, ""en"", ""da"")"),"Solopgang og solnedgang i de kommende timer i {name}")</f>
        <v>Solopgang og solnedgang i de kommende timer i {name}</v>
      </c>
      <c r="T76" s="3" t="str">
        <f>IFERROR(__xludf.DUMMYFUNCTION("GoogleTranslate(C76, ""en"", ""nl"")"),"Zonopkomst en zonsondergang in de komende uren in {name}")</f>
        <v>Zonopkomst en zonsondergang in de komende uren in {name}</v>
      </c>
      <c r="U76" s="3" t="str">
        <f>IFERROR(__xludf.DUMMYFUNCTION("GoogleTranslate(C76, ""en"", ""et"")"),"Päikesetõus ja loojumine lähitundidel asukohas {name}")</f>
        <v>Päikesetõus ja loojumine lähitundidel asukohas {name}</v>
      </c>
      <c r="V76" s="1" t="str">
        <f t="shared" si="3"/>
        <v>Sun rise &amp; sun set in the coming hours in {name}</v>
      </c>
      <c r="W76" s="3" t="str">
        <f>IFERROR(__xludf.DUMMYFUNCTION("GoogleTranslate(C76, ""en"", ""fi"")"),"Auringon nousu ja lasku lähiaikoina paikassa {name}")</f>
        <v>Auringon nousu ja lasku lähiaikoina paikassa {name}</v>
      </c>
      <c r="X76" s="3" t="str">
        <f>IFERROR(__xludf.DUMMYFUNCTION("GoogleTranslate(C76, ""en"", ""fr"")"),"Lever et coucher du soleil dans les heures à venir à {name}")</f>
        <v>Lever et coucher du soleil dans les heures à venir à {name}</v>
      </c>
      <c r="Y76" s="3" t="str">
        <f>IFERROR(__xludf.DUMMYFUNCTION("GoogleTranslate(C76, ""en"", ""de"")"),"Sonnenaufgang und Sonnenuntergang in den kommenden Stunden in {Name}")</f>
        <v>Sonnenaufgang und Sonnenuntergang in den kommenden Stunden in {Name}</v>
      </c>
      <c r="Z76" s="3" t="str">
        <f>IFERROR(__xludf.DUMMYFUNCTION("GoogleTranslate(C76, ""en"", ""el"")"),"Ανατολή και δύση ηλίου τις επόμενες ώρες στο {name}")</f>
        <v>Ανατολή και δύση ηλίου τις επόμενες ώρες στο {name}</v>
      </c>
      <c r="AA76" s="3" t="str">
        <f>IFERROR(__xludf.DUMMYFUNCTION("GoogleTranslate(C76, ""en"", ""iw"")"),"זריחה ושקיעה של השמש בשעות הקרובות ב-{name}")</f>
        <v>זריחה ושקיעה של השמש בשעות הקרובות ב-{name}</v>
      </c>
      <c r="AB76" s="3" t="str">
        <f>IFERROR(__xludf.DUMMYFUNCTION("GoogleTranslate(C76, ""en"", ""hi"")"),"{नाम} में आने वाले घंटों में सूर्योदय और सूर्यास्त")</f>
        <v>{नाम} में आने वाले घंटों में सूर्योदय और सूर्यास्त</v>
      </c>
      <c r="AC76" s="3" t="str">
        <f>IFERROR(__xludf.DUMMYFUNCTION("GoogleTranslate(C76, ""en"", ""hu"")"),"Napkelte és napnyugta a következő órákban itt: {name}")</f>
        <v>Napkelte és napnyugta a következő órákban itt: {name}</v>
      </c>
      <c r="AD76" s="3" t="str">
        <f>IFERROR(__xludf.DUMMYFUNCTION("GoogleTranslate(C76, ""en"", ""is"")"),"Sólarupprás og sólsetur á næstu klukkustundum í {name}")</f>
        <v>Sólarupprás og sólsetur á næstu klukkustundum í {name}</v>
      </c>
      <c r="AE76" s="3" t="str">
        <f>IFERROR(__xludf.DUMMYFUNCTION("GoogleTranslate(C76, ""en"", ""id"")"),"Matahari terbit &amp; terbenam dalam beberapa jam mendatang di {name}")</f>
        <v>Matahari terbit &amp; terbenam dalam beberapa jam mendatang di {name}</v>
      </c>
      <c r="AF76" s="3" t="str">
        <f>IFERROR(__xludf.DUMMYFUNCTION("GoogleTranslate(C76, ""en"", ""in"")"),"Matahari terbit &amp; terbenam dalam beberapa jam mendatang di {name}")</f>
        <v>Matahari terbit &amp; terbenam dalam beberapa jam mendatang di {name}</v>
      </c>
      <c r="AG76" s="3" t="str">
        <f>IFERROR(__xludf.DUMMYFUNCTION("GoogleTranslate(C76, ""en"", ""it"")"),"Il sole sorge e tramonta nelle prossime ore a {name}")</f>
        <v>Il sole sorge e tramonta nelle prossime ore a {name}</v>
      </c>
      <c r="AH76" s="3" t="str">
        <f>IFERROR(__xludf.DUMMYFUNCTION("GoogleTranslate(C76, ""en"", ""ja"")"),"{name}では今後数時間に日の出と日の入りが予想されます")</f>
        <v>{name}では今後数時間に日の出と日の入りが予想されます</v>
      </c>
      <c r="AI76" s="3" t="str">
        <f>IFERROR(__xludf.DUMMYFUNCTION("GoogleTranslate(C76, ""en"", ""kn"")"),"{name} ನಲ್ಲಿ ಮುಂಬರುವ ಗಂಟೆಗಳಲ್ಲಿ ಸೂರ್ಯೋದಯ ಮತ್ತು ಸೂರ್ಯಾಸ್ತ")</f>
        <v>{name} ನಲ್ಲಿ ಮುಂಬರುವ ಗಂಟೆಗಳಲ್ಲಿ ಸೂರ್ಯೋದಯ ಮತ್ತು ಸೂರ್ಯಾಸ್ತ</v>
      </c>
      <c r="AJ76" s="3" t="str">
        <f>IFERROR(__xludf.DUMMYFUNCTION("GoogleTranslate(C76, ""en"", ""km"")"),"ព្រះ​អាទិត្យ​រះ និង​ថ្ងៃ​លិច​នៅ​ម៉ោង​ខាង​មុខ​ក្នុង {name}")</f>
        <v>ព្រះ​អាទិត្យ​រះ និង​ថ្ងៃ​លិច​នៅ​ម៉ោង​ខាង​មុខ​ក្នុង {name}</v>
      </c>
      <c r="AK76" s="3" t="str">
        <f>IFERROR(__xludf.DUMMYFUNCTION("GoogleTranslate(C76, ""en"", ""ko"")"),"앞으로 몇 시간 안에 {name}에서 해가 뜨고 해가 집니다.")</f>
        <v>앞으로 몇 시간 안에 {name}에서 해가 뜨고 해가 집니다.</v>
      </c>
      <c r="AL76" s="3" t="str">
        <f>IFERROR(__xludf.DUMMYFUNCTION("GoogleTranslate(C76, ""en"", ""lo"")"),"ຕາເວັນຂຶ້ນ ແລະ ຕາເວັນຕົກໃນຊົ່ວໂມງຂ້າງໜ້າໃນ {name}")</f>
        <v>ຕາເວັນຂຶ້ນ ແລະ ຕາເວັນຕົກໃນຊົ່ວໂມງຂ້າງໜ້າໃນ {name}</v>
      </c>
      <c r="AM76" s="3" t="str">
        <f>IFERROR(__xludf.DUMMYFUNCTION("GoogleTranslate(C76, ""en"", ""lv"")"),"Saullēkts un saulrieta tuvākajās stundās šeit: {name}")</f>
        <v>Saullēkts un saulrieta tuvākajās stundās šeit: {name}</v>
      </c>
      <c r="AN76" s="3" t="str">
        <f>IFERROR(__xludf.DUMMYFUNCTION("GoogleTranslate(C76, ""en"", ""lt"")"),"Saulėtekis ir saulėtekis artimiausiomis valandomis {name}")</f>
        <v>Saulėtekis ir saulėtekis artimiausiomis valandomis {name}</v>
      </c>
      <c r="AO76" s="3" t="str">
        <f>IFERROR(__xludf.DUMMYFUNCTION("GoogleTranslate(C76, ""en"", ""mk"")"),"Изгрејсонце и зајде во наредните часови во {name}")</f>
        <v>Изгрејсонце и зајде во наредните часови во {name}</v>
      </c>
      <c r="AP76" s="3" t="str">
        <f>IFERROR(__xludf.DUMMYFUNCTION("GoogleTranslate(C76, ""en"", ""ms"")"),"Matahari terbit &amp; matahari terbenam dalam beberapa jam akan datang di {name}")</f>
        <v>Matahari terbit &amp; matahari terbenam dalam beberapa jam akan datang di {name}</v>
      </c>
      <c r="AQ76" s="3" t="str">
        <f>IFERROR(__xludf.DUMMYFUNCTION("GoogleTranslate(C76, ""en"", ""ml"")"),"{name} എന്ന സ്ഥലത്ത് വരും മണിക്കൂറുകളിൽ സൂര്യോദയവും സൂര്യാസ്തമയവും")</f>
        <v>{name} എന്ന സ്ഥലത്ത് വരും മണിക്കൂറുകളിൽ സൂര്യോദയവും സൂര്യാസ്തമയവും</v>
      </c>
      <c r="AR76" s="3" t="str">
        <f>IFERROR(__xludf.DUMMYFUNCTION("GoogleTranslate(C76, ""en"", ""mr"")"),"{name} मध्ये येत्या काही तासांत सूर्योदय आणि सूर्यास्त")</f>
        <v>{name} मध्ये येत्या काही तासांत सूर्योदय आणि सूर्यास्त</v>
      </c>
      <c r="AS76" s="3" t="str">
        <f>IFERROR(__xludf.DUMMYFUNCTION("GoogleTranslate(C76, ""en"", ""mn"")"),"{name}-д ойрын цагт нар мандна, жаргана")</f>
        <v>{name}-д ойрын цагт нар мандна, жаргана</v>
      </c>
      <c r="AT76" s="3" t="str">
        <f>IFERROR(__xludf.DUMMYFUNCTION("GoogleTranslate(C76, ""en"", ""ne"")"),"{name} मा सूर्योदय र सूर्यास्त आगामी घण्टामा")</f>
        <v>{name} मा सूर्योदय र सूर्यास्त आगामी घण्टामा</v>
      </c>
      <c r="AU76" s="3" t="str">
        <f>IFERROR(__xludf.DUMMYFUNCTION("GoogleTranslate(C76, ""en"", ""nb"")"),"Solen står opp og går ned de kommende timene i {name}")</f>
        <v>Solen står opp og går ned de kommende timene i {name}</v>
      </c>
      <c r="AV76" s="3" t="str">
        <f>IFERROR(__xludf.DUMMYFUNCTION("GoogleTranslate(C76, ""en"", ""fa"")"),"طلوع و غروب خورشید در ساعات آینده در {name}")</f>
        <v>طلوع و غروب خورشید در ساعات آینده در {name}</v>
      </c>
      <c r="AW76" s="3" t="str">
        <f>IFERROR(__xludf.DUMMYFUNCTION("GoogleTranslate(C76, ""en"", ""pl"")"),"Wschody i zachody słońca w nadchodzących godzinach w {name}")</f>
        <v>Wschody i zachody słońca w nadchodzących godzinach w {name}</v>
      </c>
      <c r="AX76" s="3" t="str">
        <f>IFERROR(__xludf.DUMMYFUNCTION("GoogleTranslate(C76, ""en"", ""pt"")"),"Nascer e pôr do sol nas próximas horas em {nome}")</f>
        <v>Nascer e pôr do sol nas próximas horas em {nome}</v>
      </c>
      <c r="AY76" s="3" t="str">
        <f>IFERROR(__xludf.DUMMYFUNCTION("GoogleTranslate(C76, ""en"", ""ro"")"),"Răsărit și apus în următoarele ore în {name}")</f>
        <v>Răsărit și apus în următoarele ore în {name}</v>
      </c>
      <c r="AZ76" s="3" t="str">
        <f>IFERROR(__xludf.DUMMYFUNCTION("GoogleTranslate(C76, ""en"", ""ru"")"),"Восход и закат солнца в ближайшие часы в {name}")</f>
        <v>Восход и закат солнца в ближайшие часы в {name}</v>
      </c>
      <c r="BA76" s="3" t="str">
        <f>IFERROR(__xludf.DUMMYFUNCTION("GoogleTranslate(C76, ""en"", ""sr"")"),"Излазак и залазак сунца у наредним сатима у {наме}")</f>
        <v>Излазак и залазак сунца у наредним сатима у {наме}</v>
      </c>
      <c r="BB76" s="3" t="str">
        <f>IFERROR(__xludf.DUMMYFUNCTION("GoogleTranslate(C76, ""en"", ""si"")"),"ඉදිරි පැයවලදී {name} හි හිරු උදාව සහ හිරු බැසීම")</f>
        <v>ඉදිරි පැයවලදී {name} හි හිරු උදාව සහ හිරු බැසීම</v>
      </c>
      <c r="BC76" s="3" t="str">
        <f>IFERROR(__xludf.DUMMYFUNCTION("GoogleTranslate(C76, ""en"", ""sk"")"),"Východ a západ slnka v najbližších hodinách v meste {name}")</f>
        <v>Východ a západ slnka v najbližších hodinách v meste {name}</v>
      </c>
      <c r="BD76" s="3" t="str">
        <f>IFERROR(__xludf.DUMMYFUNCTION("GoogleTranslate(C76, ""en"", ""sl"")"),"Sončni vzhod in zahod v prihodnjih urah v {name}")</f>
        <v>Sončni vzhod in zahod v prihodnjih urah v {name}</v>
      </c>
      <c r="BE76" s="3" t="str">
        <f>IFERROR(__xludf.DUMMYFUNCTION("GoogleTranslate(C76, ""en"", ""es"")"),"Salida y puesta del sol en las próximas horas en {nombre}")</f>
        <v>Salida y puesta del sol en las próximas horas en {nombre}</v>
      </c>
      <c r="BF76" s="3" t="str">
        <f>IFERROR(__xludf.DUMMYFUNCTION("GoogleTranslate(C76, ""en"", ""sw"")"),"Jua kuchomoza na kutua katika saa zijazo katika {name}")</f>
        <v>Jua kuchomoza na kutua katika saa zijazo katika {name}</v>
      </c>
      <c r="BG76" s="3" t="str">
        <f>IFERROR(__xludf.DUMMYFUNCTION("GoogleTranslate(C76, ""en"", ""sv"")"),"Solens uppgång och solnedgång under de kommande timmarna i {name}")</f>
        <v>Solens uppgång och solnedgång under de kommande timmarna i {name}</v>
      </c>
      <c r="BH76" s="3" t="str">
        <f>IFERROR(__xludf.DUMMYFUNCTION("GoogleTranslate(C76, ""en"", ""te"")"),"{name}లో రాబోయే గంటల్లో సూర్యోదయం &amp; సూర్యాస్తమయం")</f>
        <v>{name}లో రాబోయే గంటల్లో సూర్యోదయం &amp; సూర్యాస్తమయం</v>
      </c>
      <c r="BI76" s="3" t="str">
        <f>IFERROR(__xludf.DUMMYFUNCTION("GoogleTranslate(C76, ""en"", ""th"")"),"พระอาทิตย์ขึ้นและพระอาทิตย์ตกในอีกไม่กี่ชั่วโมงข้างหน้าใน {name}")</f>
        <v>พระอาทิตย์ขึ้นและพระอาทิตย์ตกในอีกไม่กี่ชั่วโมงข้างหน้าใน {name}</v>
      </c>
      <c r="BJ76" s="3" t="str">
        <f>IFERROR(__xludf.DUMMYFUNCTION("GoogleTranslate(C76, ""en"", ""tr"")"),"Önümüzdeki saatlerde {name} şehrinde güneşin doğuşu ve batışı")</f>
        <v>Önümüzdeki saatlerde {name} şehrinde güneşin doğuşu ve batışı</v>
      </c>
      <c r="BK76" s="3" t="str">
        <f>IFERROR(__xludf.DUMMYFUNCTION("GoogleTranslate(C76, ""en"", ""uk"")"),"Схід і захід сонця найближчими годинами в {name}")</f>
        <v>Схід і захід сонця найближчими годинами в {name}</v>
      </c>
      <c r="BL76" s="3" t="str">
        <f>IFERROR(__xludf.DUMMYFUNCTION("GoogleTranslate(C76, ""en"", ""zu"")"),"Ukuphuma kwelanga nokushona kwelanga emahoreni azayo e-{name}")</f>
        <v>Ukuphuma kwelanga nokushona kwelanga emahoreni azayo e-{name}</v>
      </c>
    </row>
    <row r="77">
      <c r="A77" s="1" t="str">
        <f t="shared" si="1"/>
        <v>Rainfall_and_chance_of_rain_in_the_coming_hours_in_{name}</v>
      </c>
      <c r="B77" s="4" t="s">
        <v>135</v>
      </c>
      <c r="C77" s="1" t="str">
        <f t="shared" si="2"/>
        <v>Rainfall and chance of rain in the coming hours in {name}</v>
      </c>
      <c r="D77" s="3" t="str">
        <f>IFERROR(__xludf.DUMMYFUNCTION("GoogleTranslate(C77, ""en"", ""es"")"),"Precipitaciones y probabilidad de lluvia en las próximas horas en {nombre}")</f>
        <v>Precipitaciones y probabilidad de lluvia en las próximas horas en {nombre}</v>
      </c>
      <c r="E77" s="3" t="str">
        <f>IFERROR(__xludf.DUMMYFUNCTION("GoogleTranslate(C77, ""en"", ""ar"")"),"هطول الأمطار واحتمال هطول الأمطار خلال الساعات القادمة في {الاسم}")</f>
        <v>هطول الأمطار واحتمال هطول الأمطار خلال الساعات القادمة في {الاسم}</v>
      </c>
      <c r="F77" s="3" t="str">
        <f>IFERROR(__xludf.DUMMYFUNCTION("GoogleTranslate(C77, ""en"", ""hy"")"),"Առաջիկա ժամերին տեղումներ և անձրևի հավանականություն {name}-ում")</f>
        <v>Առաջիկա ժամերին տեղումներ և անձրևի հավանականություն {name}-ում</v>
      </c>
      <c r="G77" s="3" t="str">
        <f>IFERROR(__xludf.DUMMYFUNCTION("GoogleTranslate(C77, ""en"", ""vi"")"),"Lượng mưa và khả năng có mưa trong những giờ tới tại {name}")</f>
        <v>Lượng mưa và khả năng có mưa trong những giờ tới tại {name}</v>
      </c>
      <c r="H77" s="3" t="str">
        <f>IFERROR(__xludf.DUMMYFUNCTION("GoogleTranslate(C77, ""en"", ""az"")"),"{name} ərazisində yaxın saatlarda yağış və yağış ehtimalı")</f>
        <v>{name} ərazisində yaxın saatlarda yağış və yağış ehtimalı</v>
      </c>
      <c r="I77" s="3" t="str">
        <f>IFERROR(__xludf.DUMMYFUNCTION("GoogleTranslate(C77, ""en"", ""eu"")"),"Euria eta euria egiteko aukera datozen orduetan {name}")</f>
        <v>Euria eta euria egiteko aukera datozen orduetan {name}</v>
      </c>
      <c r="J77" s="3" t="str">
        <f>IFERROR(__xludf.DUMMYFUNCTION("GoogleTranslate(C77, ""en"", ""be"")"),"Ападкі і верагоднасць дажджу ў бліжэйшыя гадзіны ў {name}")</f>
        <v>Ападкі і верагоднасць дажджу ў бліжэйшыя гадзіны ў {name}</v>
      </c>
      <c r="K77" s="3" t="str">
        <f>IFERROR(__xludf.DUMMYFUNCTION("GoogleTranslate(C77, ""en"", ""bn"")"),"{name} এ আগামী ঘণ্টায় বৃষ্টিপাত এবং বৃষ্টির সম্ভাবনা")</f>
        <v>{name} এ আগামী ঘণ্টায় বৃষ্টিপাত এবং বৃষ্টির সম্ভাবনা</v>
      </c>
      <c r="L77" s="3" t="str">
        <f>IFERROR(__xludf.DUMMYFUNCTION("GoogleTranslate(C77, ""en"", ""bg"")"),"Валежи и вероятност за дъжд през следващите часове в {name}")</f>
        <v>Валежи и вероятност за дъжд през следващите часове в {name}</v>
      </c>
      <c r="M77" s="3" t="str">
        <f>IFERROR(__xludf.DUMMYFUNCTION("GoogleTranslate(C77, ""en"", ""my"")"),"လာမည့်နာရီများတွင် မိုးရွာသွန်းမှုနှင့် မိုးရွာသွန်းနိုင်ခြေ {name}")</f>
        <v>လာမည့်နာရီများတွင် မိုးရွာသွန်းမှုနှင့် မိုးရွာသွန်းနိုင်ခြေ {name}</v>
      </c>
      <c r="N77" s="3" t="str">
        <f>IFERROR(__xludf.DUMMYFUNCTION("GoogleTranslate(C77, ""en"", ""ca"")"),"Precipitacions i possibilitats de pluja en les properes hores a {name}")</f>
        <v>Precipitacions i possibilitats de pluja en les properes hores a {name}</v>
      </c>
      <c r="O77" s="3" t="str">
        <f>IFERROR(__xludf.DUMMYFUNCTION("GoogleTranslate(C77, ""en"", ""zh-cn"")"),"{name} 未来几小时的降雨量和下雨概率")</f>
        <v>{name} 未来几小时的降雨量和下雨概率</v>
      </c>
      <c r="P77" s="3" t="str">
        <f>IFERROR(__xludf.DUMMYFUNCTION("GoogleTranslate(C77, ""en"", ""zh-TW"")"),"{name} 未來幾小時的降雨量和下雨機率")</f>
        <v>{name} 未來幾小時的降雨量和下雨機率</v>
      </c>
      <c r="Q77" s="3" t="str">
        <f>IFERROR(__xludf.DUMMYFUNCTION("GoogleTranslate(C77, ""en"", ""hr"")"),"Oborine i mogućnost kiše u sljedećim satima u {name}")</f>
        <v>Oborine i mogućnost kiše u sljedećim satima u {name}</v>
      </c>
      <c r="R77" s="3" t="str">
        <f>IFERROR(__xludf.DUMMYFUNCTION("GoogleTranslate(C77, ""en"", ""cs"")"),"Srážky a možnost deště v nadcházejících hodinách v {name}")</f>
        <v>Srážky a možnost deště v nadcházejících hodinách v {name}</v>
      </c>
      <c r="S77" s="3" t="str">
        <f>IFERROR(__xludf.DUMMYFUNCTION("GoogleTranslate(C77, ""en"", ""da"")"),"Regn og chance for regn i de kommende timer i {name}")</f>
        <v>Regn og chance for regn i de kommende timer i {name}</v>
      </c>
      <c r="T77" s="3" t="str">
        <f>IFERROR(__xludf.DUMMYFUNCTION("GoogleTranslate(C77, ""en"", ""nl"")"),"Neerslag en kans op regen de komende uren in {name}")</f>
        <v>Neerslag en kans op regen de komende uren in {name}</v>
      </c>
      <c r="U77" s="3" t="str">
        <f>IFERROR(__xludf.DUMMYFUNCTION("GoogleTranslate(C77, ""en"", ""et"")"),"Lähitundidel sajab vihma ja vihma võimalus asukohas {name}")</f>
        <v>Lähitundidel sajab vihma ja vihma võimalus asukohas {name}</v>
      </c>
      <c r="V77" s="1" t="str">
        <f t="shared" si="3"/>
        <v>Rainfall and chance of rain in the coming hours in {name}</v>
      </c>
      <c r="W77" s="3" t="str">
        <f>IFERROR(__xludf.DUMMYFUNCTION("GoogleTranslate(C77, ""en"", ""fi"")"),"Sademäärä ja sateen mahdollisuus lähituntien aikana paikassa {name}")</f>
        <v>Sademäärä ja sateen mahdollisuus lähituntien aikana paikassa {name}</v>
      </c>
      <c r="X77" s="3" t="str">
        <f>IFERROR(__xludf.DUMMYFUNCTION("GoogleTranslate(C77, ""en"", ""fr"")"),"Précipitations et risques de pluie dans les heures à venir à {name}")</f>
        <v>Précipitations et risques de pluie dans les heures à venir à {name}</v>
      </c>
      <c r="Y77" s="3" t="str">
        <f>IFERROR(__xludf.DUMMYFUNCTION("GoogleTranslate(C77, ""en"", ""de"")"),"Niederschlag und Regenwahrscheinlichkeit in den kommenden Stunden in {name}")</f>
        <v>Niederschlag und Regenwahrscheinlichkeit in den kommenden Stunden in {name}</v>
      </c>
      <c r="Z77" s="3" t="str">
        <f>IFERROR(__xludf.DUMMYFUNCTION("GoogleTranslate(C77, ""en"", ""el"")"),"Βροχόπτωση και πιθανότητα βροχής τις επόμενες ώρες στο {name}")</f>
        <v>Βροχόπτωση και πιθανότητα βροχής τις επόμενες ώρες στο {name}</v>
      </c>
      <c r="AA77" s="3" t="str">
        <f>IFERROR(__xludf.DUMMYFUNCTION("GoogleTranslate(C77, ""en"", ""iw"")"),"גשם וסיכוי לגשם בשעות הקרובות ב{name}")</f>
        <v>גשם וסיכוי לגשם בשעות הקרובות ב{name}</v>
      </c>
      <c r="AB77" s="3" t="str">
        <f>IFERROR(__xludf.DUMMYFUNCTION("GoogleTranslate(C77, ""en"", ""hi"")"),"{नाम} में आने वाले घंटों में बारिश और बारिश की संभावना")</f>
        <v>{नाम} में आने वाले घंटों में बारिश और बारिश की संभावना</v>
      </c>
      <c r="AC77" s="3" t="str">
        <f>IFERROR(__xludf.DUMMYFUNCTION("GoogleTranslate(C77, ""en"", ""hu"")"),"Csapadék és eső valószínűsége a következő órákban itt: {name}")</f>
        <v>Csapadék és eső valószínűsége a következő órákban itt: {name}</v>
      </c>
      <c r="AD77" s="3" t="str">
        <f>IFERROR(__xludf.DUMMYFUNCTION("GoogleTranslate(C77, ""en"", ""is"")"),"Úrkoma og líkur á rigningu á næstu klukkustundum í {name}")</f>
        <v>Úrkoma og líkur á rigningu á næstu klukkustundum í {name}</v>
      </c>
      <c r="AE77" s="3" t="str">
        <f>IFERROR(__xludf.DUMMYFUNCTION("GoogleTranslate(C77, ""en"", ""id"")"),"Curah hujan dan kemungkinan hujan dalam beberapa jam mendatang di {name}")</f>
        <v>Curah hujan dan kemungkinan hujan dalam beberapa jam mendatang di {name}</v>
      </c>
      <c r="AF77" s="3" t="str">
        <f>IFERROR(__xludf.DUMMYFUNCTION("GoogleTranslate(C77, ""en"", ""in"")"),"Curah hujan dan kemungkinan hujan dalam beberapa jam mendatang di {name}")</f>
        <v>Curah hujan dan kemungkinan hujan dalam beberapa jam mendatang di {name}</v>
      </c>
      <c r="AG77" s="3" t="str">
        <f>IFERROR(__xludf.DUMMYFUNCTION("GoogleTranslate(C77, ""en"", ""it"")"),"Precipitazioni e possibilità di pioggia nelle prossime ore a {name}")</f>
        <v>Precipitazioni e possibilità di pioggia nelle prossime ore a {name}</v>
      </c>
      <c r="AH77" s="3" t="str">
        <f>IFERROR(__xludf.DUMMYFUNCTION("GoogleTranslate(C77, ""en"", ""ja"")"),"{name}の今後数時間の降水量と降水確率")</f>
        <v>{name}の今後数時間の降水量と降水確率</v>
      </c>
      <c r="AI77" s="3" t="str">
        <f>IFERROR(__xludf.DUMMYFUNCTION("GoogleTranslate(C77, ""en"", ""kn"")"),"{name} ನಲ್ಲಿ ಮುಂಬರುವ ಗಂಟೆಗಳಲ್ಲಿ ಮಳೆಯ ಪ್ರಮಾಣ ಮತ್ತು ಮಳೆಯ ಸಾಧ್ಯತೆ")</f>
        <v>{name} ನಲ್ಲಿ ಮುಂಬರುವ ಗಂಟೆಗಳಲ್ಲಿ ಮಳೆಯ ಪ್ರಮಾಣ ಮತ್ತು ಮಳೆಯ ಸಾಧ್ಯತೆ</v>
      </c>
      <c r="AJ77" s="3" t="str">
        <f>IFERROR(__xludf.DUMMYFUNCTION("GoogleTranslate(C77, ""en"", ""km"")"),"ជំនន់ទឹកភ្លៀង និងឱកាសនៃភ្លៀងនៅប៉ុន្មានម៉ោងខាងមុខនៅក្នុង {name}")</f>
        <v>ជំនន់ទឹកភ្លៀង និងឱកាសនៃភ្លៀងនៅប៉ុន្មានម៉ោងខាងមុខនៅក្នុង {name}</v>
      </c>
      <c r="AK77" s="3" t="str">
        <f>IFERROR(__xludf.DUMMYFUNCTION("GoogleTranslate(C77, ""en"", ""ko"")"),"{name}에 앞으로 몇 시간 동안 강우량 및 비 올 확률")</f>
        <v>{name}에 앞으로 몇 시간 동안 강우량 및 비 올 확률</v>
      </c>
      <c r="AL77" s="3" t="str">
        <f>IFERROR(__xludf.DUMMYFUNCTION("GoogleTranslate(C77, ""en"", ""lo"")"),"ປະລິມານນ້ຳຝົນ ແລະ ໂອກາດຝົນຕົກໃນຊົ່ວໂມງຂ້າງໜ້າໃນ {name}")</f>
        <v>ປະລິມານນ້ຳຝົນ ແລະ ໂອກາດຝົນຕົກໃນຊົ່ວໂມງຂ້າງໜ້າໃນ {name}</v>
      </c>
      <c r="AM77" s="3" t="str">
        <f>IFERROR(__xludf.DUMMYFUNCTION("GoogleTranslate(C77, ""en"", ""lv"")"),"Nokrišņi un lietus iespējamība tuvākajās stundās šeit: {name}")</f>
        <v>Nokrišņi un lietus iespējamība tuvākajās stundās šeit: {name}</v>
      </c>
      <c r="AN77" s="3" t="str">
        <f>IFERROR(__xludf.DUMMYFUNCTION("GoogleTranslate(C77, ""en"", ""lt"")"),"Krituliai ir lietaus tikimybė artimiausiomis valandomis {name}")</f>
        <v>Krituliai ir lietaus tikimybė artimiausiomis valandomis {name}</v>
      </c>
      <c r="AO77" s="3" t="str">
        <f>IFERROR(__xludf.DUMMYFUNCTION("GoogleTranslate(C77, ""en"", ""mk"")"),"Врнежи и можност за дожд во наредните часови во {name}")</f>
        <v>Врнежи и можност за дожд во наредните часови во {name}</v>
      </c>
      <c r="AP77" s="3" t="str">
        <f>IFERROR(__xludf.DUMMYFUNCTION("GoogleTranslate(C77, ""en"", ""ms"")"),"Hujan dan kemungkinan hujan dalam beberapa jam akan datang di {name}")</f>
        <v>Hujan dan kemungkinan hujan dalam beberapa jam akan datang di {name}</v>
      </c>
      <c r="AQ77" s="3" t="str">
        <f>IFERROR(__xludf.DUMMYFUNCTION("GoogleTranslate(C77, ""en"", ""ml"")"),"{name} എന്ന സ്ഥലത്ത് വരും മണിക്കൂറുകളിൽ മഴയും മഴയ്ക്കുള്ള സാധ്യതയും")</f>
        <v>{name} എന്ന സ്ഥലത്ത് വരും മണിക്കൂറുകളിൽ മഴയും മഴയ്ക്കുള്ള സാധ്യതയും</v>
      </c>
      <c r="AR77" s="3" t="str">
        <f>IFERROR(__xludf.DUMMYFUNCTION("GoogleTranslate(C77, ""en"", ""mr"")"),"{name} मध्ये येत्या काही तासांत पाऊस आणि पावसाची शक्यता")</f>
        <v>{name} मध्ये येत्या काही तासांत पाऊस आणि पावसाची शक्यता</v>
      </c>
      <c r="AS77" s="3" t="str">
        <f>IFERROR(__xludf.DUMMYFUNCTION("GoogleTranslate(C77, ""en"", ""mn"")"),"{name}-д ойрын цагт хур тунадас орж, бороо орох магадлалтай")</f>
        <v>{name}-д ойрын цагт хур тунадас орж, бороо орох магадлалтай</v>
      </c>
      <c r="AT77" s="3" t="str">
        <f>IFERROR(__xludf.DUMMYFUNCTION("GoogleTranslate(C77, ""en"", ""ne"")"),"{name} मा अबको केही घण्टामा पानी पर्ने र वर्षाको सम्भावना")</f>
        <v>{name} मा अबको केही घण्टामा पानी पर्ने र वर्षाको सम्भावना</v>
      </c>
      <c r="AU77" s="3" t="str">
        <f>IFERROR(__xludf.DUMMYFUNCTION("GoogleTranslate(C77, ""en"", ""nb"")"),"Nedbør og sjanse for regn de kommende timene i {name}")</f>
        <v>Nedbør og sjanse for regn de kommende timene i {name}</v>
      </c>
      <c r="AV77" s="3" t="str">
        <f>IFERROR(__xludf.DUMMYFUNCTION("GoogleTranslate(C77, ""en"", ""fa"")"),"بارش و احتمال بارندگی در ساعات آینده در {name}")</f>
        <v>بارش و احتمال بارندگی در ساعات آینده در {name}</v>
      </c>
      <c r="AW77" s="3" t="str">
        <f>IFERROR(__xludf.DUMMYFUNCTION("GoogleTranslate(C77, ""en"", ""pl"")"),"Opady deszczu i możliwe opady deszczu w nadchodzących godzinach w {name}")</f>
        <v>Opady deszczu i możliwe opady deszczu w nadchodzących godzinach w {name}</v>
      </c>
      <c r="AX77" s="3" t="str">
        <f>IFERROR(__xludf.DUMMYFUNCTION("GoogleTranslate(C77, ""en"", ""pt"")"),"Precipitação e possibilidade de chuva nas próximas horas em {nome}")</f>
        <v>Precipitação e possibilidade de chuva nas próximas horas em {nome}</v>
      </c>
      <c r="AY77" s="3" t="str">
        <f>IFERROR(__xludf.DUMMYFUNCTION("GoogleTranslate(C77, ""en"", ""ro"")"),"Precipitații și șanse de ploaie în următoarele ore în {name}")</f>
        <v>Precipitații și șanse de ploaie în următoarele ore în {name}</v>
      </c>
      <c r="AZ77" s="3" t="str">
        <f>IFERROR(__xludf.DUMMYFUNCTION("GoogleTranslate(C77, ""en"", ""ru"")"),"Количество осадков и вероятность дождя в ближайшие часы в {name}")</f>
        <v>Количество осадков и вероятность дождя в ближайшие часы в {name}</v>
      </c>
      <c r="BA77" s="3" t="str">
        <f>IFERROR(__xludf.DUMMYFUNCTION("GoogleTranslate(C77, ""en"", ""sr"")"),"Падавине и шанса за кишу у наредним сатима у {наме}")</f>
        <v>Падавине и шанса за кишу у наредним сатима у {наме}</v>
      </c>
      <c r="BB77" s="3" t="str">
        <f>IFERROR(__xludf.DUMMYFUNCTION("GoogleTranslate(C77, ""en"", ""si"")"),"{name} හි ඉදිරි පැය වලදී වර්ෂාපතනය සහ වර්ෂාපතන අවස්ථාව")</f>
        <v>{name} හි ඉදිරි පැය වලදී වර්ෂාපතනය සහ වර්ෂාපතන අවස්ථාව</v>
      </c>
      <c r="BC77" s="3" t="str">
        <f>IFERROR(__xludf.DUMMYFUNCTION("GoogleTranslate(C77, ""en"", ""sk"")"),"Zrážky a možnosť dažďa v najbližších hodinách v meste {name}")</f>
        <v>Zrážky a možnosť dažďa v najbližších hodinách v meste {name}</v>
      </c>
      <c r="BD77" s="3" t="str">
        <f>IFERROR(__xludf.DUMMYFUNCTION("GoogleTranslate(C77, ""en"", ""sl"")"),"Padavine in možnost dežja v prihodnjih urah v {name}")</f>
        <v>Padavine in možnost dežja v prihodnjih urah v {name}</v>
      </c>
      <c r="BE77" s="3" t="str">
        <f>IFERROR(__xludf.DUMMYFUNCTION("GoogleTranslate(C77, ""en"", ""es"")"),"Precipitaciones y probabilidad de lluvia en las próximas horas en {nombre}")</f>
        <v>Precipitaciones y probabilidad de lluvia en las próximas horas en {nombre}</v>
      </c>
      <c r="BF77" s="3" t="str">
        <f>IFERROR(__xludf.DUMMYFUNCTION("GoogleTranslate(C77, ""en"", ""sw"")"),"Mvua na uwezekano wa kunyesha katika saa zijazo katika {name}")</f>
        <v>Mvua na uwezekano wa kunyesha katika saa zijazo katika {name}</v>
      </c>
      <c r="BG77" s="3" t="str">
        <f>IFERROR(__xludf.DUMMYFUNCTION("GoogleTranslate(C77, ""en"", ""sv"")"),"Nederbörd och risk för regn under de kommande timmarna i {name}")</f>
        <v>Nederbörd och risk för regn under de kommande timmarna i {name}</v>
      </c>
      <c r="BH77" s="3" t="str">
        <f>IFERROR(__xludf.DUMMYFUNCTION("GoogleTranslate(C77, ""en"", ""te"")"),"{name}లో రాబోయే గంటల్లో వర్షపాతం మరియు వర్షం పడే అవకాశం")</f>
        <v>{name}లో రాబోయే గంటల్లో వర్షపాతం మరియు వర్షం పడే అవకాశం</v>
      </c>
      <c r="BI77" s="3" t="str">
        <f>IFERROR(__xludf.DUMMYFUNCTION("GoogleTranslate(C77, ""en"", ""th"")"),"ฝนตกและมีโอกาสเกิดฝนในอีกไม่กี่ชั่วโมงข้างหน้าใน {name}")</f>
        <v>ฝนตกและมีโอกาสเกิดฝนในอีกไม่กี่ชั่วโมงข้างหน้าใน {name}</v>
      </c>
      <c r="BJ77" s="3" t="str">
        <f>IFERROR(__xludf.DUMMYFUNCTION("GoogleTranslate(C77, ""en"", ""tr"")"),"{name} için önümüzdeki saatlerde yağış ve yağmur ihtimali")</f>
        <v>{name} için önümüzdeki saatlerde yağış ve yağmur ihtimali</v>
      </c>
      <c r="BK77" s="3" t="str">
        <f>IFERROR(__xludf.DUMMYFUNCTION("GoogleTranslate(C77, ""en"", ""uk"")"),"Опади та ймовірність дощу найближчими годинами в {name}")</f>
        <v>Опади та ймовірність дощу найближчими годинами в {name}</v>
      </c>
      <c r="BL77" s="3" t="str">
        <f>IFERROR(__xludf.DUMMYFUNCTION("GoogleTranslate(C77, ""en"", ""zu"")"),"Imvula nethuba lemvula emahoreni azayo e-{name}")</f>
        <v>Imvula nethuba lemvula emahoreni azayo e-{name}</v>
      </c>
    </row>
    <row r="78">
      <c r="A78" s="1" t="str">
        <f t="shared" si="1"/>
        <v>month</v>
      </c>
      <c r="B78" s="4" t="s">
        <v>136</v>
      </c>
      <c r="C78" s="1" t="str">
        <f t="shared" si="2"/>
        <v>month</v>
      </c>
      <c r="D78" s="3" t="str">
        <f>IFERROR(__xludf.DUMMYFUNCTION("GoogleTranslate(C78, ""en"", ""es"")"),"mes")</f>
        <v>mes</v>
      </c>
      <c r="E78" s="3" t="str">
        <f>IFERROR(__xludf.DUMMYFUNCTION("GoogleTranslate(C78, ""en"", ""ar"")"),"شهر")</f>
        <v>شهر</v>
      </c>
      <c r="F78" s="3" t="str">
        <f>IFERROR(__xludf.DUMMYFUNCTION("GoogleTranslate(C78, ""en"", ""hy"")"),"ամիս")</f>
        <v>ամիս</v>
      </c>
      <c r="G78" s="3" t="str">
        <f>IFERROR(__xludf.DUMMYFUNCTION("GoogleTranslate(C78, ""en"", ""vi"")"),"tháng")</f>
        <v>tháng</v>
      </c>
      <c r="H78" s="3" t="str">
        <f>IFERROR(__xludf.DUMMYFUNCTION("GoogleTranslate(C78, ""en"", ""az"")"),"ay")</f>
        <v>ay</v>
      </c>
      <c r="I78" s="3" t="str">
        <f>IFERROR(__xludf.DUMMYFUNCTION("GoogleTranslate(C78, ""en"", ""eu"")"),"hilabetea")</f>
        <v>hilabetea</v>
      </c>
      <c r="J78" s="3" t="str">
        <f>IFERROR(__xludf.DUMMYFUNCTION("GoogleTranslate(C78, ""en"", ""be"")"),"месяц")</f>
        <v>месяц</v>
      </c>
      <c r="K78" s="3" t="str">
        <f>IFERROR(__xludf.DUMMYFUNCTION("GoogleTranslate(C78, ""en"", ""bn"")"),"মাস")</f>
        <v>মাস</v>
      </c>
      <c r="L78" s="3" t="str">
        <f>IFERROR(__xludf.DUMMYFUNCTION("GoogleTranslate(C78, ""en"", ""bg"")"),"месец")</f>
        <v>месец</v>
      </c>
      <c r="M78" s="3" t="str">
        <f>IFERROR(__xludf.DUMMYFUNCTION("GoogleTranslate(C78, ""en"", ""my"")"),"လ")</f>
        <v>လ</v>
      </c>
      <c r="N78" s="3" t="str">
        <f>IFERROR(__xludf.DUMMYFUNCTION("GoogleTranslate(C78, ""en"", ""ca"")"),"mes")</f>
        <v>mes</v>
      </c>
      <c r="O78" s="3" t="str">
        <f>IFERROR(__xludf.DUMMYFUNCTION("GoogleTranslate(C78, ""en"", ""zh-cn"")"),"月")</f>
        <v>月</v>
      </c>
      <c r="P78" s="3" t="str">
        <f>IFERROR(__xludf.DUMMYFUNCTION("GoogleTranslate(C78, ""en"", ""zh-TW"")"),"月")</f>
        <v>月</v>
      </c>
      <c r="Q78" s="3" t="str">
        <f>IFERROR(__xludf.DUMMYFUNCTION("GoogleTranslate(C78, ""en"", ""hr"")"),"mjesec")</f>
        <v>mjesec</v>
      </c>
      <c r="R78" s="3" t="str">
        <f>IFERROR(__xludf.DUMMYFUNCTION("GoogleTranslate(C78, ""en"", ""cs"")"),"měsíc")</f>
        <v>měsíc</v>
      </c>
      <c r="S78" s="3" t="str">
        <f>IFERROR(__xludf.DUMMYFUNCTION("GoogleTranslate(C78, ""en"", ""da"")"),"måned")</f>
        <v>måned</v>
      </c>
      <c r="T78" s="3" t="str">
        <f>IFERROR(__xludf.DUMMYFUNCTION("GoogleTranslate(C78, ""en"", ""nl"")"),"maand")</f>
        <v>maand</v>
      </c>
      <c r="U78" s="3" t="str">
        <f>IFERROR(__xludf.DUMMYFUNCTION("GoogleTranslate(C78, ""en"", ""et"")"),"kuu")</f>
        <v>kuu</v>
      </c>
      <c r="V78" s="1" t="str">
        <f t="shared" si="3"/>
        <v>month</v>
      </c>
      <c r="W78" s="3" t="str">
        <f>IFERROR(__xludf.DUMMYFUNCTION("GoogleTranslate(C78, ""en"", ""fi"")"),"kuukausi")</f>
        <v>kuukausi</v>
      </c>
      <c r="X78" s="3" t="str">
        <f>IFERROR(__xludf.DUMMYFUNCTION("GoogleTranslate(C78, ""en"", ""fr"")"),"mois")</f>
        <v>mois</v>
      </c>
      <c r="Y78" s="3" t="str">
        <f>IFERROR(__xludf.DUMMYFUNCTION("GoogleTranslate(C78, ""en"", ""de"")"),"Monat")</f>
        <v>Monat</v>
      </c>
      <c r="Z78" s="3" t="str">
        <f>IFERROR(__xludf.DUMMYFUNCTION("GoogleTranslate(C78, ""en"", ""el"")"),"μήνας")</f>
        <v>μήνας</v>
      </c>
      <c r="AA78" s="3" t="str">
        <f>IFERROR(__xludf.DUMMYFUNCTION("GoogleTranslate(C78, ""en"", ""iw"")"),"חוֹדֶשׁ")</f>
        <v>חוֹדֶשׁ</v>
      </c>
      <c r="AB78" s="3" t="str">
        <f>IFERROR(__xludf.DUMMYFUNCTION("GoogleTranslate(C78, ""en"", ""hi"")"),"महीना")</f>
        <v>महीना</v>
      </c>
      <c r="AC78" s="3" t="str">
        <f>IFERROR(__xludf.DUMMYFUNCTION("GoogleTranslate(C78, ""en"", ""hu"")"),"hónap")</f>
        <v>hónap</v>
      </c>
      <c r="AD78" s="3" t="str">
        <f>IFERROR(__xludf.DUMMYFUNCTION("GoogleTranslate(C78, ""en"", ""is"")"),"mánuði")</f>
        <v>mánuði</v>
      </c>
      <c r="AE78" s="3" t="str">
        <f>IFERROR(__xludf.DUMMYFUNCTION("GoogleTranslate(C78, ""en"", ""id"")"),"bulan")</f>
        <v>bulan</v>
      </c>
      <c r="AF78" s="3" t="str">
        <f>IFERROR(__xludf.DUMMYFUNCTION("GoogleTranslate(C78, ""en"", ""in"")"),"bulan")</f>
        <v>bulan</v>
      </c>
      <c r="AG78" s="3" t="str">
        <f>IFERROR(__xludf.DUMMYFUNCTION("GoogleTranslate(C78, ""en"", ""it"")"),"mese")</f>
        <v>mese</v>
      </c>
      <c r="AH78" s="3" t="str">
        <f>IFERROR(__xludf.DUMMYFUNCTION("GoogleTranslate(C78, ""en"", ""ja"")"),"月")</f>
        <v>月</v>
      </c>
      <c r="AI78" s="3" t="str">
        <f>IFERROR(__xludf.DUMMYFUNCTION("GoogleTranslate(C78, ""en"", ""kn"")"),"ತಿಂಗಳು")</f>
        <v>ತಿಂಗಳು</v>
      </c>
      <c r="AJ78" s="3" t="str">
        <f>IFERROR(__xludf.DUMMYFUNCTION("GoogleTranslate(C78, ""en"", ""km"")"),"ខែ")</f>
        <v>ខែ</v>
      </c>
      <c r="AK78" s="3" t="str">
        <f>IFERROR(__xludf.DUMMYFUNCTION("GoogleTranslate(C78, ""en"", ""ko"")"),"월")</f>
        <v>월</v>
      </c>
      <c r="AL78" s="3" t="str">
        <f>IFERROR(__xludf.DUMMYFUNCTION("GoogleTranslate(C78, ""en"", ""lo"")"),"ເດືອນ")</f>
        <v>ເດືອນ</v>
      </c>
      <c r="AM78" s="3" t="str">
        <f>IFERROR(__xludf.DUMMYFUNCTION("GoogleTranslate(C78, ""en"", ""lv"")"),"mēnesis")</f>
        <v>mēnesis</v>
      </c>
      <c r="AN78" s="3" t="str">
        <f>IFERROR(__xludf.DUMMYFUNCTION("GoogleTranslate(C78, ""en"", ""lt"")"),"mėnuo")</f>
        <v>mėnuo</v>
      </c>
      <c r="AO78" s="3" t="str">
        <f>IFERROR(__xludf.DUMMYFUNCTION("GoogleTranslate(C78, ""en"", ""mk"")"),"месец")</f>
        <v>месец</v>
      </c>
      <c r="AP78" s="3" t="str">
        <f>IFERROR(__xludf.DUMMYFUNCTION("GoogleTranslate(C78, ""en"", ""ms"")"),"bulan")</f>
        <v>bulan</v>
      </c>
      <c r="AQ78" s="3" t="str">
        <f>IFERROR(__xludf.DUMMYFUNCTION("GoogleTranslate(C78, ""en"", ""ml"")"),"മാസം")</f>
        <v>മാസം</v>
      </c>
      <c r="AR78" s="3" t="str">
        <f>IFERROR(__xludf.DUMMYFUNCTION("GoogleTranslate(C78, ""en"", ""mr"")"),"महिना")</f>
        <v>महिना</v>
      </c>
      <c r="AS78" s="3" t="str">
        <f>IFERROR(__xludf.DUMMYFUNCTION("GoogleTranslate(C78, ""en"", ""mn"")"),"сар")</f>
        <v>сар</v>
      </c>
      <c r="AT78" s="3" t="str">
        <f>IFERROR(__xludf.DUMMYFUNCTION("GoogleTranslate(C78, ""en"", ""ne"")"),"महिना")</f>
        <v>महिना</v>
      </c>
      <c r="AU78" s="3" t="str">
        <f>IFERROR(__xludf.DUMMYFUNCTION("GoogleTranslate(C78, ""en"", ""nb"")"),"måned")</f>
        <v>måned</v>
      </c>
      <c r="AV78" s="3" t="str">
        <f>IFERROR(__xludf.DUMMYFUNCTION("GoogleTranslate(C78, ""en"", ""fa"")"),"ماه")</f>
        <v>ماه</v>
      </c>
      <c r="AW78" s="3" t="str">
        <f>IFERROR(__xludf.DUMMYFUNCTION("GoogleTranslate(C78, ""en"", ""pl"")"),"miesiąc")</f>
        <v>miesiąc</v>
      </c>
      <c r="AX78" s="3" t="str">
        <f>IFERROR(__xludf.DUMMYFUNCTION("GoogleTranslate(C78, ""en"", ""pt"")"),"mês")</f>
        <v>mês</v>
      </c>
      <c r="AY78" s="3" t="str">
        <f>IFERROR(__xludf.DUMMYFUNCTION("GoogleTranslate(C78, ""en"", ""ro"")"),"lună")</f>
        <v>lună</v>
      </c>
      <c r="AZ78" s="3" t="str">
        <f>IFERROR(__xludf.DUMMYFUNCTION("GoogleTranslate(C78, ""en"", ""ru"")"),"месяц")</f>
        <v>месяц</v>
      </c>
      <c r="BA78" s="3" t="str">
        <f>IFERROR(__xludf.DUMMYFUNCTION("GoogleTranslate(C78, ""en"", ""sr"")"),"месец")</f>
        <v>месец</v>
      </c>
      <c r="BB78" s="3" t="str">
        <f>IFERROR(__xludf.DUMMYFUNCTION("GoogleTranslate(C78, ""en"", ""si"")"),"මාසය")</f>
        <v>මාසය</v>
      </c>
      <c r="BC78" s="3" t="str">
        <f>IFERROR(__xludf.DUMMYFUNCTION("GoogleTranslate(C78, ""en"", ""sk"")"),"mesiac")</f>
        <v>mesiac</v>
      </c>
      <c r="BD78" s="3" t="str">
        <f>IFERROR(__xludf.DUMMYFUNCTION("GoogleTranslate(C78, ""en"", ""sl"")"),"mesec")</f>
        <v>mesec</v>
      </c>
      <c r="BE78" s="3" t="str">
        <f>IFERROR(__xludf.DUMMYFUNCTION("GoogleTranslate(C78, ""en"", ""es"")"),"mes")</f>
        <v>mes</v>
      </c>
      <c r="BF78" s="3" t="str">
        <f>IFERROR(__xludf.DUMMYFUNCTION("GoogleTranslate(C78, ""en"", ""sw"")"),"mwezi")</f>
        <v>mwezi</v>
      </c>
      <c r="BG78" s="3" t="str">
        <f>IFERROR(__xludf.DUMMYFUNCTION("GoogleTranslate(C78, ""en"", ""sv"")"),"månad")</f>
        <v>månad</v>
      </c>
      <c r="BH78" s="3" t="str">
        <f>IFERROR(__xludf.DUMMYFUNCTION("GoogleTranslate(C78, ""en"", ""te"")"),"నెల")</f>
        <v>నెల</v>
      </c>
      <c r="BI78" s="3" t="str">
        <f>IFERROR(__xludf.DUMMYFUNCTION("GoogleTranslate(C78, ""en"", ""th"")"),"เดือน")</f>
        <v>เดือน</v>
      </c>
      <c r="BJ78" s="3" t="str">
        <f>IFERROR(__xludf.DUMMYFUNCTION("GoogleTranslate(C78, ""en"", ""tr"")"),"ay")</f>
        <v>ay</v>
      </c>
      <c r="BK78" s="3" t="str">
        <f>IFERROR(__xludf.DUMMYFUNCTION("GoogleTranslate(C78, ""en"", ""uk"")"),"місяць")</f>
        <v>місяць</v>
      </c>
      <c r="BL78" s="3" t="str">
        <f>IFERROR(__xludf.DUMMYFUNCTION("GoogleTranslate(C78, ""en"", ""zu"")"),"inyanga")</f>
        <v>inyanga</v>
      </c>
    </row>
    <row r="79">
      <c r="A79" s="1" t="str">
        <f t="shared" si="1"/>
        <v>day</v>
      </c>
      <c r="B79" s="4" t="s">
        <v>137</v>
      </c>
      <c r="C79" s="1" t="str">
        <f t="shared" si="2"/>
        <v>day</v>
      </c>
      <c r="D79" s="3" t="str">
        <f>IFERROR(__xludf.DUMMYFUNCTION("GoogleTranslate(C79, ""en"", ""es"")"),"día")</f>
        <v>día</v>
      </c>
      <c r="E79" s="3" t="str">
        <f>IFERROR(__xludf.DUMMYFUNCTION("GoogleTranslate(C79, ""en"", ""ar"")"),"يوم")</f>
        <v>يوم</v>
      </c>
      <c r="F79" s="3" t="str">
        <f>IFERROR(__xludf.DUMMYFUNCTION("GoogleTranslate(C79, ""en"", ""hy"")"),"օր")</f>
        <v>օր</v>
      </c>
      <c r="G79" s="3" t="str">
        <f>IFERROR(__xludf.DUMMYFUNCTION("GoogleTranslate(C79, ""en"", ""vi"")"),"ngày")</f>
        <v>ngày</v>
      </c>
      <c r="H79" s="3" t="str">
        <f>IFERROR(__xludf.DUMMYFUNCTION("GoogleTranslate(C79, ""en"", ""az"")"),"gün")</f>
        <v>gün</v>
      </c>
      <c r="I79" s="3" t="str">
        <f>IFERROR(__xludf.DUMMYFUNCTION("GoogleTranslate(C79, ""en"", ""eu"")"),"eguna")</f>
        <v>eguna</v>
      </c>
      <c r="J79" s="3" t="str">
        <f>IFERROR(__xludf.DUMMYFUNCTION("GoogleTranslate(C79, ""en"", ""be"")"),"дзень")</f>
        <v>дзень</v>
      </c>
      <c r="K79" s="3" t="str">
        <f>IFERROR(__xludf.DUMMYFUNCTION("GoogleTranslate(C79, ""en"", ""bn"")"),"দিন")</f>
        <v>দিন</v>
      </c>
      <c r="L79" s="3" t="str">
        <f>IFERROR(__xludf.DUMMYFUNCTION("GoogleTranslate(C79, ""en"", ""bg"")"),"ден")</f>
        <v>ден</v>
      </c>
      <c r="M79" s="3" t="str">
        <f>IFERROR(__xludf.DUMMYFUNCTION("GoogleTranslate(C79, ""en"", ""my"")"),"နေ့")</f>
        <v>နေ့</v>
      </c>
      <c r="N79" s="3" t="str">
        <f>IFERROR(__xludf.DUMMYFUNCTION("GoogleTranslate(C79, ""en"", ""ca"")"),"dia")</f>
        <v>dia</v>
      </c>
      <c r="O79" s="3" t="str">
        <f>IFERROR(__xludf.DUMMYFUNCTION("GoogleTranslate(C79, ""en"", ""zh-cn"")"),"天")</f>
        <v>天</v>
      </c>
      <c r="P79" s="3" t="str">
        <f>IFERROR(__xludf.DUMMYFUNCTION("GoogleTranslate(C79, ""en"", ""zh-TW"")"),"天")</f>
        <v>天</v>
      </c>
      <c r="Q79" s="3" t="str">
        <f>IFERROR(__xludf.DUMMYFUNCTION("GoogleTranslate(C79, ""en"", ""hr"")"),"dan")</f>
        <v>dan</v>
      </c>
      <c r="R79" s="3" t="str">
        <f>IFERROR(__xludf.DUMMYFUNCTION("GoogleTranslate(C79, ""en"", ""cs"")"),"den")</f>
        <v>den</v>
      </c>
      <c r="S79" s="3" t="str">
        <f>IFERROR(__xludf.DUMMYFUNCTION("GoogleTranslate(C79, ""en"", ""da"")"),"dag")</f>
        <v>dag</v>
      </c>
      <c r="T79" s="3" t="str">
        <f>IFERROR(__xludf.DUMMYFUNCTION("GoogleTranslate(C79, ""en"", ""nl"")"),"dag")</f>
        <v>dag</v>
      </c>
      <c r="U79" s="3" t="str">
        <f>IFERROR(__xludf.DUMMYFUNCTION("GoogleTranslate(C79, ""en"", ""et"")"),"päeval")</f>
        <v>päeval</v>
      </c>
      <c r="V79" s="1" t="str">
        <f t="shared" si="3"/>
        <v>day</v>
      </c>
      <c r="W79" s="3" t="str">
        <f>IFERROR(__xludf.DUMMYFUNCTION("GoogleTranslate(C79, ""en"", ""fi"")"),"päivä")</f>
        <v>päivä</v>
      </c>
      <c r="X79" s="3" t="str">
        <f>IFERROR(__xludf.DUMMYFUNCTION("GoogleTranslate(C79, ""en"", ""fr"")"),"jour")</f>
        <v>jour</v>
      </c>
      <c r="Y79" s="3" t="str">
        <f>IFERROR(__xludf.DUMMYFUNCTION("GoogleTranslate(C79, ""en"", ""de"")"),"Tag")</f>
        <v>Tag</v>
      </c>
      <c r="Z79" s="3" t="str">
        <f>IFERROR(__xludf.DUMMYFUNCTION("GoogleTranslate(C79, ""en"", ""el"")"),"ημέρα")</f>
        <v>ημέρα</v>
      </c>
      <c r="AA79" s="3" t="str">
        <f>IFERROR(__xludf.DUMMYFUNCTION("GoogleTranslate(C79, ""en"", ""iw"")"),"יְוֹם")</f>
        <v>יְוֹם</v>
      </c>
      <c r="AB79" s="3" t="str">
        <f>IFERROR(__xludf.DUMMYFUNCTION("GoogleTranslate(C79, ""en"", ""hi"")"),"दिन")</f>
        <v>दिन</v>
      </c>
      <c r="AC79" s="3" t="str">
        <f>IFERROR(__xludf.DUMMYFUNCTION("GoogleTranslate(C79, ""en"", ""hu"")"),"nap")</f>
        <v>nap</v>
      </c>
      <c r="AD79" s="3" t="str">
        <f>IFERROR(__xludf.DUMMYFUNCTION("GoogleTranslate(C79, ""en"", ""is"")"),"dag")</f>
        <v>dag</v>
      </c>
      <c r="AE79" s="3" t="str">
        <f>IFERROR(__xludf.DUMMYFUNCTION("GoogleTranslate(C79, ""en"", ""id"")"),"hari")</f>
        <v>hari</v>
      </c>
      <c r="AF79" s="3" t="str">
        <f>IFERROR(__xludf.DUMMYFUNCTION("GoogleTranslate(C79, ""en"", ""in"")"),"hari")</f>
        <v>hari</v>
      </c>
      <c r="AG79" s="3" t="str">
        <f>IFERROR(__xludf.DUMMYFUNCTION("GoogleTranslate(C79, ""en"", ""it"")"),"giorno")</f>
        <v>giorno</v>
      </c>
      <c r="AH79" s="3" t="str">
        <f>IFERROR(__xludf.DUMMYFUNCTION("GoogleTranslate(C79, ""en"", ""ja"")"),"日")</f>
        <v>日</v>
      </c>
      <c r="AI79" s="3" t="str">
        <f>IFERROR(__xludf.DUMMYFUNCTION("GoogleTranslate(C79, ""en"", ""kn"")"),"ದಿನ")</f>
        <v>ದಿನ</v>
      </c>
      <c r="AJ79" s="3" t="str">
        <f>IFERROR(__xludf.DUMMYFUNCTION("GoogleTranslate(C79, ""en"", ""km"")"),"ថ្ងៃ")</f>
        <v>ថ្ងៃ</v>
      </c>
      <c r="AK79" s="3" t="str">
        <f>IFERROR(__xludf.DUMMYFUNCTION("GoogleTranslate(C79, ""en"", ""ko"")"),"낮")</f>
        <v>낮</v>
      </c>
      <c r="AL79" s="3" t="str">
        <f>IFERROR(__xludf.DUMMYFUNCTION("GoogleTranslate(C79, ""en"", ""lo"")"),"ມື້")</f>
        <v>ມື້</v>
      </c>
      <c r="AM79" s="3" t="str">
        <f>IFERROR(__xludf.DUMMYFUNCTION("GoogleTranslate(C79, ""en"", ""lv"")"),"diena")</f>
        <v>diena</v>
      </c>
      <c r="AN79" s="3" t="str">
        <f>IFERROR(__xludf.DUMMYFUNCTION("GoogleTranslate(C79, ""en"", ""lt"")"),"dieną")</f>
        <v>dieną</v>
      </c>
      <c r="AO79" s="3" t="str">
        <f>IFERROR(__xludf.DUMMYFUNCTION("GoogleTranslate(C79, ""en"", ""mk"")"),"ден")</f>
        <v>ден</v>
      </c>
      <c r="AP79" s="3" t="str">
        <f>IFERROR(__xludf.DUMMYFUNCTION("GoogleTranslate(C79, ""en"", ""ms"")"),"hari")</f>
        <v>hari</v>
      </c>
      <c r="AQ79" s="3" t="str">
        <f>IFERROR(__xludf.DUMMYFUNCTION("GoogleTranslate(C79, ""en"", ""ml"")"),"ദിവസം")</f>
        <v>ദിവസം</v>
      </c>
      <c r="AR79" s="3" t="str">
        <f>IFERROR(__xludf.DUMMYFUNCTION("GoogleTranslate(C79, ""en"", ""mr"")"),"दिवस")</f>
        <v>दिवस</v>
      </c>
      <c r="AS79" s="3" t="str">
        <f>IFERROR(__xludf.DUMMYFUNCTION("GoogleTranslate(C79, ""en"", ""mn"")"),"өдөр")</f>
        <v>өдөр</v>
      </c>
      <c r="AT79" s="3" t="str">
        <f>IFERROR(__xludf.DUMMYFUNCTION("GoogleTranslate(C79, ""en"", ""ne"")"),"दिन")</f>
        <v>दिन</v>
      </c>
      <c r="AU79" s="3" t="str">
        <f>IFERROR(__xludf.DUMMYFUNCTION("GoogleTranslate(C79, ""en"", ""nb"")"),"dag")</f>
        <v>dag</v>
      </c>
      <c r="AV79" s="3" t="str">
        <f>IFERROR(__xludf.DUMMYFUNCTION("GoogleTranslate(C79, ""en"", ""fa"")"),"روز")</f>
        <v>روز</v>
      </c>
      <c r="AW79" s="3" t="str">
        <f>IFERROR(__xludf.DUMMYFUNCTION("GoogleTranslate(C79, ""en"", ""pl"")"),"dzień")</f>
        <v>dzień</v>
      </c>
      <c r="AX79" s="3" t="str">
        <f>IFERROR(__xludf.DUMMYFUNCTION("GoogleTranslate(C79, ""en"", ""pt"")"),"dia")</f>
        <v>dia</v>
      </c>
      <c r="AY79" s="3" t="str">
        <f>IFERROR(__xludf.DUMMYFUNCTION("GoogleTranslate(C79, ""en"", ""ro"")"),"zi")</f>
        <v>zi</v>
      </c>
      <c r="AZ79" s="3" t="str">
        <f>IFERROR(__xludf.DUMMYFUNCTION("GoogleTranslate(C79, ""en"", ""ru"")"),"день")</f>
        <v>день</v>
      </c>
      <c r="BA79" s="3" t="str">
        <f>IFERROR(__xludf.DUMMYFUNCTION("GoogleTranslate(C79, ""en"", ""sr"")"),"дан")</f>
        <v>дан</v>
      </c>
      <c r="BB79" s="3" t="str">
        <f>IFERROR(__xludf.DUMMYFUNCTION("GoogleTranslate(C79, ""en"", ""si"")"),"දවස")</f>
        <v>දවස</v>
      </c>
      <c r="BC79" s="3" t="str">
        <f>IFERROR(__xludf.DUMMYFUNCTION("GoogleTranslate(C79, ""en"", ""sk"")"),"deň")</f>
        <v>deň</v>
      </c>
      <c r="BD79" s="3" t="str">
        <f>IFERROR(__xludf.DUMMYFUNCTION("GoogleTranslate(C79, ""en"", ""sl"")"),"dan")</f>
        <v>dan</v>
      </c>
      <c r="BE79" s="3" t="str">
        <f>IFERROR(__xludf.DUMMYFUNCTION("GoogleTranslate(C79, ""en"", ""es"")"),"día")</f>
        <v>día</v>
      </c>
      <c r="BF79" s="3" t="str">
        <f>IFERROR(__xludf.DUMMYFUNCTION("GoogleTranslate(C79, ""en"", ""sw"")"),"siku")</f>
        <v>siku</v>
      </c>
      <c r="BG79" s="3" t="str">
        <f>IFERROR(__xludf.DUMMYFUNCTION("GoogleTranslate(C79, ""en"", ""sv"")"),"dag")</f>
        <v>dag</v>
      </c>
      <c r="BH79" s="3" t="str">
        <f>IFERROR(__xludf.DUMMYFUNCTION("GoogleTranslate(C79, ""en"", ""te"")"),"రోజు")</f>
        <v>రోజు</v>
      </c>
      <c r="BI79" s="3" t="str">
        <f>IFERROR(__xludf.DUMMYFUNCTION("GoogleTranslate(C79, ""en"", ""th"")"),"วัน")</f>
        <v>วัน</v>
      </c>
      <c r="BJ79" s="3" t="str">
        <f>IFERROR(__xludf.DUMMYFUNCTION("GoogleTranslate(C79, ""en"", ""tr"")"),"gün")</f>
        <v>gün</v>
      </c>
      <c r="BK79" s="3" t="str">
        <f>IFERROR(__xludf.DUMMYFUNCTION("GoogleTranslate(C79, ""en"", ""uk"")"),"день")</f>
        <v>день</v>
      </c>
      <c r="BL79" s="3" t="str">
        <f>IFERROR(__xludf.DUMMYFUNCTION("GoogleTranslate(C79, ""en"", ""zu"")"),"usuku")</f>
        <v>usuku</v>
      </c>
    </row>
    <row r="80">
      <c r="A80" s="1" t="str">
        <f t="shared" si="1"/>
        <v>year</v>
      </c>
      <c r="B80" s="4" t="s">
        <v>138</v>
      </c>
      <c r="C80" s="1" t="str">
        <f t="shared" si="2"/>
        <v>year</v>
      </c>
      <c r="D80" s="3" t="str">
        <f>IFERROR(__xludf.DUMMYFUNCTION("GoogleTranslate(C80, ""en"", ""es"")"),"año")</f>
        <v>año</v>
      </c>
      <c r="E80" s="3" t="str">
        <f>IFERROR(__xludf.DUMMYFUNCTION("GoogleTranslate(C80, ""en"", ""ar"")"),"سنة")</f>
        <v>سنة</v>
      </c>
      <c r="F80" s="3" t="str">
        <f>IFERROR(__xludf.DUMMYFUNCTION("GoogleTranslate(C80, ""en"", ""hy"")"),"տարին")</f>
        <v>տարին</v>
      </c>
      <c r="G80" s="3" t="str">
        <f>IFERROR(__xludf.DUMMYFUNCTION("GoogleTranslate(C80, ""en"", ""vi"")"),"năm")</f>
        <v>năm</v>
      </c>
      <c r="H80" s="3" t="str">
        <f>IFERROR(__xludf.DUMMYFUNCTION("GoogleTranslate(C80, ""en"", ""az"")"),"il")</f>
        <v>il</v>
      </c>
      <c r="I80" s="3" t="str">
        <f>IFERROR(__xludf.DUMMYFUNCTION("GoogleTranslate(C80, ""en"", ""eu"")"),"urtean")</f>
        <v>urtean</v>
      </c>
      <c r="J80" s="3" t="str">
        <f>IFERROR(__xludf.DUMMYFUNCTION("GoogleTranslate(C80, ""en"", ""be"")"),"год")</f>
        <v>год</v>
      </c>
      <c r="K80" s="3" t="str">
        <f>IFERROR(__xludf.DUMMYFUNCTION("GoogleTranslate(C80, ""en"", ""bn"")"),"বছর")</f>
        <v>বছর</v>
      </c>
      <c r="L80" s="3" t="str">
        <f>IFERROR(__xludf.DUMMYFUNCTION("GoogleTranslate(C80, ""en"", ""bg"")"),"година")</f>
        <v>година</v>
      </c>
      <c r="M80" s="3" t="str">
        <f>IFERROR(__xludf.DUMMYFUNCTION("GoogleTranslate(C80, ""en"", ""my"")"),"တစ်နှစ်")</f>
        <v>တစ်နှစ်</v>
      </c>
      <c r="N80" s="3" t="str">
        <f>IFERROR(__xludf.DUMMYFUNCTION("GoogleTranslate(C80, ""en"", ""ca"")"),"any")</f>
        <v>any</v>
      </c>
      <c r="O80" s="3" t="str">
        <f>IFERROR(__xludf.DUMMYFUNCTION("GoogleTranslate(C80, ""en"", ""zh-cn"")"),"年")</f>
        <v>年</v>
      </c>
      <c r="P80" s="3" t="str">
        <f>IFERROR(__xludf.DUMMYFUNCTION("GoogleTranslate(C80, ""en"", ""zh-TW"")"),"年")</f>
        <v>年</v>
      </c>
      <c r="Q80" s="3" t="str">
        <f>IFERROR(__xludf.DUMMYFUNCTION("GoogleTranslate(C80, ""en"", ""hr"")"),"godina")</f>
        <v>godina</v>
      </c>
      <c r="R80" s="3" t="str">
        <f>IFERROR(__xludf.DUMMYFUNCTION("GoogleTranslate(C80, ""en"", ""cs"")"),"rok")</f>
        <v>rok</v>
      </c>
      <c r="S80" s="3" t="str">
        <f>IFERROR(__xludf.DUMMYFUNCTION("GoogleTranslate(C80, ""en"", ""da"")"),"år")</f>
        <v>år</v>
      </c>
      <c r="T80" s="3" t="str">
        <f>IFERROR(__xludf.DUMMYFUNCTION("GoogleTranslate(C80, ""en"", ""nl"")"),"jaar")</f>
        <v>jaar</v>
      </c>
      <c r="U80" s="3" t="str">
        <f>IFERROR(__xludf.DUMMYFUNCTION("GoogleTranslate(C80, ""en"", ""et"")"),"aastal")</f>
        <v>aastal</v>
      </c>
      <c r="V80" s="1" t="str">
        <f t="shared" si="3"/>
        <v>year</v>
      </c>
      <c r="W80" s="3" t="str">
        <f>IFERROR(__xludf.DUMMYFUNCTION("GoogleTranslate(C80, ""en"", ""fi"")"),"vuosi")</f>
        <v>vuosi</v>
      </c>
      <c r="X80" s="3" t="str">
        <f>IFERROR(__xludf.DUMMYFUNCTION("GoogleTranslate(C80, ""en"", ""fr"")"),"année")</f>
        <v>année</v>
      </c>
      <c r="Y80" s="3" t="str">
        <f>IFERROR(__xludf.DUMMYFUNCTION("GoogleTranslate(C80, ""en"", ""de"")"),"Jahr")</f>
        <v>Jahr</v>
      </c>
      <c r="Z80" s="3" t="str">
        <f>IFERROR(__xludf.DUMMYFUNCTION("GoogleTranslate(C80, ""en"", ""el"")"),"έτος")</f>
        <v>έτος</v>
      </c>
      <c r="AA80" s="3" t="str">
        <f>IFERROR(__xludf.DUMMYFUNCTION("GoogleTranslate(C80, ""en"", ""iw"")"),"שָׁנָה")</f>
        <v>שָׁנָה</v>
      </c>
      <c r="AB80" s="3" t="str">
        <f>IFERROR(__xludf.DUMMYFUNCTION("GoogleTranslate(C80, ""en"", ""hi"")"),"वर्ष")</f>
        <v>वर्ष</v>
      </c>
      <c r="AC80" s="3" t="str">
        <f>IFERROR(__xludf.DUMMYFUNCTION("GoogleTranslate(C80, ""en"", ""hu"")"),"év")</f>
        <v>év</v>
      </c>
      <c r="AD80" s="3" t="str">
        <f>IFERROR(__xludf.DUMMYFUNCTION("GoogleTranslate(C80, ""en"", ""is"")"),"ári")</f>
        <v>ári</v>
      </c>
      <c r="AE80" s="3" t="str">
        <f>IFERROR(__xludf.DUMMYFUNCTION("GoogleTranslate(C80, ""en"", ""id"")"),"tahun")</f>
        <v>tahun</v>
      </c>
      <c r="AF80" s="3" t="str">
        <f>IFERROR(__xludf.DUMMYFUNCTION("GoogleTranslate(C80, ""en"", ""in"")"),"tahun")</f>
        <v>tahun</v>
      </c>
      <c r="AG80" s="3" t="str">
        <f>IFERROR(__xludf.DUMMYFUNCTION("GoogleTranslate(C80, ""en"", ""it"")"),"anno")</f>
        <v>anno</v>
      </c>
      <c r="AH80" s="3" t="str">
        <f>IFERROR(__xludf.DUMMYFUNCTION("GoogleTranslate(C80, ""en"", ""ja"")"),"年")</f>
        <v>年</v>
      </c>
      <c r="AI80" s="3" t="str">
        <f>IFERROR(__xludf.DUMMYFUNCTION("GoogleTranslate(C80, ""en"", ""kn"")"),"ವರ್ಷ")</f>
        <v>ವರ್ಷ</v>
      </c>
      <c r="AJ80" s="3" t="str">
        <f>IFERROR(__xludf.DUMMYFUNCTION("GoogleTranslate(C80, ""en"", ""km"")"),"ឆ្នាំ")</f>
        <v>ឆ្នាំ</v>
      </c>
      <c r="AK80" s="3" t="str">
        <f>IFERROR(__xludf.DUMMYFUNCTION("GoogleTranslate(C80, ""en"", ""ko"")"),"년도")</f>
        <v>년도</v>
      </c>
      <c r="AL80" s="3" t="str">
        <f>IFERROR(__xludf.DUMMYFUNCTION("GoogleTranslate(C80, ""en"", ""lo"")"),"ປີ")</f>
        <v>ປີ</v>
      </c>
      <c r="AM80" s="3" t="str">
        <f>IFERROR(__xludf.DUMMYFUNCTION("GoogleTranslate(C80, ""en"", ""lv"")"),"gadā")</f>
        <v>gadā</v>
      </c>
      <c r="AN80" s="3" t="str">
        <f>IFERROR(__xludf.DUMMYFUNCTION("GoogleTranslate(C80, ""en"", ""lt"")"),"metų")</f>
        <v>metų</v>
      </c>
      <c r="AO80" s="3" t="str">
        <f>IFERROR(__xludf.DUMMYFUNCTION("GoogleTranslate(C80, ""en"", ""mk"")"),"година")</f>
        <v>година</v>
      </c>
      <c r="AP80" s="3" t="str">
        <f>IFERROR(__xludf.DUMMYFUNCTION("GoogleTranslate(C80, ""en"", ""ms"")"),"tahun")</f>
        <v>tahun</v>
      </c>
      <c r="AQ80" s="3" t="str">
        <f>IFERROR(__xludf.DUMMYFUNCTION("GoogleTranslate(C80, ""en"", ""ml"")"),"വർഷം")</f>
        <v>വർഷം</v>
      </c>
      <c r="AR80" s="3" t="str">
        <f>IFERROR(__xludf.DUMMYFUNCTION("GoogleTranslate(C80, ""en"", ""mr"")"),"वर्ष")</f>
        <v>वर्ष</v>
      </c>
      <c r="AS80" s="3" t="str">
        <f>IFERROR(__xludf.DUMMYFUNCTION("GoogleTranslate(C80, ""en"", ""mn"")"),"жил")</f>
        <v>жил</v>
      </c>
      <c r="AT80" s="3" t="str">
        <f>IFERROR(__xludf.DUMMYFUNCTION("GoogleTranslate(C80, ""en"", ""ne"")"),"वर्ष")</f>
        <v>वर्ष</v>
      </c>
      <c r="AU80" s="3" t="str">
        <f>IFERROR(__xludf.DUMMYFUNCTION("GoogleTranslate(C80, ""en"", ""nb"")"),"år")</f>
        <v>år</v>
      </c>
      <c r="AV80" s="3" t="str">
        <f>IFERROR(__xludf.DUMMYFUNCTION("GoogleTranslate(C80, ""en"", ""fa"")"),"سال")</f>
        <v>سال</v>
      </c>
      <c r="AW80" s="3" t="str">
        <f>IFERROR(__xludf.DUMMYFUNCTION("GoogleTranslate(C80, ""en"", ""pl"")"),"rok")</f>
        <v>rok</v>
      </c>
      <c r="AX80" s="3" t="str">
        <f>IFERROR(__xludf.DUMMYFUNCTION("GoogleTranslate(C80, ""en"", ""pt"")"),"ano")</f>
        <v>ano</v>
      </c>
      <c r="AY80" s="3" t="str">
        <f>IFERROR(__xludf.DUMMYFUNCTION("GoogleTranslate(C80, ""en"", ""ro"")"),"an")</f>
        <v>an</v>
      </c>
      <c r="AZ80" s="3" t="str">
        <f>IFERROR(__xludf.DUMMYFUNCTION("GoogleTranslate(C80, ""en"", ""ru"")"),"год")</f>
        <v>год</v>
      </c>
      <c r="BA80" s="3" t="str">
        <f>IFERROR(__xludf.DUMMYFUNCTION("GoogleTranslate(C80, ""en"", ""sr"")"),"године")</f>
        <v>године</v>
      </c>
      <c r="BB80" s="3" t="str">
        <f>IFERROR(__xludf.DUMMYFUNCTION("GoogleTranslate(C80, ""en"", ""si"")"),"වසර")</f>
        <v>වසර</v>
      </c>
      <c r="BC80" s="3" t="str">
        <f>IFERROR(__xludf.DUMMYFUNCTION("GoogleTranslate(C80, ""en"", ""sk"")"),"rok")</f>
        <v>rok</v>
      </c>
      <c r="BD80" s="3" t="str">
        <f>IFERROR(__xludf.DUMMYFUNCTION("GoogleTranslate(C80, ""en"", ""sl"")"),"leto")</f>
        <v>leto</v>
      </c>
      <c r="BE80" s="3" t="str">
        <f>IFERROR(__xludf.DUMMYFUNCTION("GoogleTranslate(C80, ""en"", ""es"")"),"año")</f>
        <v>año</v>
      </c>
      <c r="BF80" s="3" t="str">
        <f>IFERROR(__xludf.DUMMYFUNCTION("GoogleTranslate(C80, ""en"", ""sw"")"),"mwaka")</f>
        <v>mwaka</v>
      </c>
      <c r="BG80" s="3" t="str">
        <f>IFERROR(__xludf.DUMMYFUNCTION("GoogleTranslate(C80, ""en"", ""sv"")"),"år")</f>
        <v>år</v>
      </c>
      <c r="BH80" s="3" t="str">
        <f>IFERROR(__xludf.DUMMYFUNCTION("GoogleTranslate(C80, ""en"", ""te"")"),"సంవత్సరం")</f>
        <v>సంవత్సరం</v>
      </c>
      <c r="BI80" s="3" t="str">
        <f>IFERROR(__xludf.DUMMYFUNCTION("GoogleTranslate(C80, ""en"", ""th"")"),"ปี")</f>
        <v>ปี</v>
      </c>
      <c r="BJ80" s="3" t="str">
        <f>IFERROR(__xludf.DUMMYFUNCTION("GoogleTranslate(C80, ""en"", ""tr"")"),"yıl")</f>
        <v>yıl</v>
      </c>
      <c r="BK80" s="3" t="str">
        <f>IFERROR(__xludf.DUMMYFUNCTION("GoogleTranslate(C80, ""en"", ""uk"")"),"рік")</f>
        <v>рік</v>
      </c>
      <c r="BL80" s="3" t="str">
        <f>IFERROR(__xludf.DUMMYFUNCTION("GoogleTranslate(C80, ""en"", ""zu"")"),"unyaka")</f>
        <v>unyaka</v>
      </c>
    </row>
    <row r="81">
      <c r="A81" s="1" t="str">
        <f t="shared" si="1"/>
        <v>Altitude</v>
      </c>
      <c r="B81" s="4" t="s">
        <v>139</v>
      </c>
      <c r="C81" s="1" t="str">
        <f t="shared" si="2"/>
        <v>Altitude</v>
      </c>
      <c r="D81" s="3" t="str">
        <f>IFERROR(__xludf.DUMMYFUNCTION("GoogleTranslate(C81, ""en"", ""es"")"),"Altitud")</f>
        <v>Altitud</v>
      </c>
      <c r="E81" s="3" t="str">
        <f>IFERROR(__xludf.DUMMYFUNCTION("GoogleTranslate(C81, ""en"", ""ar"")"),"ارتفاع")</f>
        <v>ارتفاع</v>
      </c>
      <c r="F81" s="3" t="str">
        <f>IFERROR(__xludf.DUMMYFUNCTION("GoogleTranslate(C81, ""en"", ""hy"")"),"Բարձրություն")</f>
        <v>Բարձրություն</v>
      </c>
      <c r="G81" s="3" t="str">
        <f>IFERROR(__xludf.DUMMYFUNCTION("GoogleTranslate(C81, ""en"", ""vi"")"),"Độ cao")</f>
        <v>Độ cao</v>
      </c>
      <c r="H81" s="3" t="str">
        <f>IFERROR(__xludf.DUMMYFUNCTION("GoogleTranslate(C81, ""en"", ""az"")"),"Hündürlük")</f>
        <v>Hündürlük</v>
      </c>
      <c r="I81" s="3" t="str">
        <f>IFERROR(__xludf.DUMMYFUNCTION("GoogleTranslate(C81, ""en"", ""eu"")"),"Altuera")</f>
        <v>Altuera</v>
      </c>
      <c r="J81" s="3" t="str">
        <f>IFERROR(__xludf.DUMMYFUNCTION("GoogleTranslate(C81, ""en"", ""be"")"),"Вышыня над узроўнем мора")</f>
        <v>Вышыня над узроўнем мора</v>
      </c>
      <c r="K81" s="3" t="str">
        <f>IFERROR(__xludf.DUMMYFUNCTION("GoogleTranslate(C81, ""en"", ""bn"")"),"উচ্চতা")</f>
        <v>উচ্চতা</v>
      </c>
      <c r="L81" s="3" t="str">
        <f>IFERROR(__xludf.DUMMYFUNCTION("GoogleTranslate(C81, ""en"", ""bg"")"),"Надморска височина")</f>
        <v>Надморска височина</v>
      </c>
      <c r="M81" s="3" t="str">
        <f>IFERROR(__xludf.DUMMYFUNCTION("GoogleTranslate(C81, ""en"", ""my"")"),"အမြင့်")</f>
        <v>အမြင့်</v>
      </c>
      <c r="N81" s="3" t="str">
        <f>IFERROR(__xludf.DUMMYFUNCTION("GoogleTranslate(C81, ""en"", ""ca"")"),"Altitud")</f>
        <v>Altitud</v>
      </c>
      <c r="O81" s="3" t="str">
        <f>IFERROR(__xludf.DUMMYFUNCTION("GoogleTranslate(C81, ""en"", ""zh-cn"")"),"高度")</f>
        <v>高度</v>
      </c>
      <c r="P81" s="3" t="str">
        <f>IFERROR(__xludf.DUMMYFUNCTION("GoogleTranslate(C81, ""en"", ""zh-TW"")"),"高度")</f>
        <v>高度</v>
      </c>
      <c r="Q81" s="3" t="str">
        <f>IFERROR(__xludf.DUMMYFUNCTION("GoogleTranslate(C81, ""en"", ""hr"")"),"Nadmorska visina")</f>
        <v>Nadmorska visina</v>
      </c>
      <c r="R81" s="3" t="str">
        <f>IFERROR(__xludf.DUMMYFUNCTION("GoogleTranslate(C81, ""en"", ""cs"")"),"Nadmořská výška")</f>
        <v>Nadmořská výška</v>
      </c>
      <c r="S81" s="3" t="str">
        <f>IFERROR(__xludf.DUMMYFUNCTION("GoogleTranslate(C81, ""en"", ""da"")"),"Højde")</f>
        <v>Højde</v>
      </c>
      <c r="T81" s="3" t="str">
        <f>IFERROR(__xludf.DUMMYFUNCTION("GoogleTranslate(C81, ""en"", ""nl"")"),"Hoogte")</f>
        <v>Hoogte</v>
      </c>
      <c r="U81" s="3" t="str">
        <f>IFERROR(__xludf.DUMMYFUNCTION("GoogleTranslate(C81, ""en"", ""et"")"),"Kõrgus merepinnast")</f>
        <v>Kõrgus merepinnast</v>
      </c>
      <c r="V81" s="1" t="str">
        <f t="shared" si="3"/>
        <v>Altitude</v>
      </c>
      <c r="W81" s="3" t="str">
        <f>IFERROR(__xludf.DUMMYFUNCTION("GoogleTranslate(C81, ""en"", ""fi"")"),"Korkeus")</f>
        <v>Korkeus</v>
      </c>
      <c r="X81" s="3" t="str">
        <f>IFERROR(__xludf.DUMMYFUNCTION("GoogleTranslate(C81, ""en"", ""fr"")"),"Altitude")</f>
        <v>Altitude</v>
      </c>
      <c r="Y81" s="3" t="str">
        <f>IFERROR(__xludf.DUMMYFUNCTION("GoogleTranslate(C81, ""en"", ""de"")"),"Höhe")</f>
        <v>Höhe</v>
      </c>
      <c r="Z81" s="3" t="str">
        <f>IFERROR(__xludf.DUMMYFUNCTION("GoogleTranslate(C81, ""en"", ""el"")"),"Υψόμετρο")</f>
        <v>Υψόμετρο</v>
      </c>
      <c r="AA81" s="3" t="str">
        <f>IFERROR(__xludf.DUMMYFUNCTION("GoogleTranslate(C81, ""en"", ""iw"")"),"גוֹבַה")</f>
        <v>גוֹבַה</v>
      </c>
      <c r="AB81" s="3" t="str">
        <f>IFERROR(__xludf.DUMMYFUNCTION("GoogleTranslate(C81, ""en"", ""hi"")"),"ऊंचाई")</f>
        <v>ऊंचाई</v>
      </c>
      <c r="AC81" s="3" t="str">
        <f>IFERROR(__xludf.DUMMYFUNCTION("GoogleTranslate(C81, ""en"", ""hu"")"),"Magasság")</f>
        <v>Magasság</v>
      </c>
      <c r="AD81" s="3" t="str">
        <f>IFERROR(__xludf.DUMMYFUNCTION("GoogleTranslate(C81, ""en"", ""is"")"),"Hæð")</f>
        <v>Hæð</v>
      </c>
      <c r="AE81" s="3" t="str">
        <f>IFERROR(__xludf.DUMMYFUNCTION("GoogleTranslate(C81, ""en"", ""id"")"),"Ketinggian")</f>
        <v>Ketinggian</v>
      </c>
      <c r="AF81" s="3" t="str">
        <f>IFERROR(__xludf.DUMMYFUNCTION("GoogleTranslate(C81, ""en"", ""in"")"),"Ketinggian")</f>
        <v>Ketinggian</v>
      </c>
      <c r="AG81" s="3" t="str">
        <f>IFERROR(__xludf.DUMMYFUNCTION("GoogleTranslate(C81, ""en"", ""it"")"),"Altitudine")</f>
        <v>Altitudine</v>
      </c>
      <c r="AH81" s="3" t="str">
        <f>IFERROR(__xludf.DUMMYFUNCTION("GoogleTranslate(C81, ""en"", ""ja"")"),"高度")</f>
        <v>高度</v>
      </c>
      <c r="AI81" s="3" t="str">
        <f>IFERROR(__xludf.DUMMYFUNCTION("GoogleTranslate(C81, ""en"", ""kn"")"),"ಎತ್ತರ")</f>
        <v>ಎತ್ತರ</v>
      </c>
      <c r="AJ81" s="3" t="str">
        <f>IFERROR(__xludf.DUMMYFUNCTION("GoogleTranslate(C81, ""en"", ""km"")"),"កម្ពស់")</f>
        <v>កម្ពស់</v>
      </c>
      <c r="AK81" s="3" t="str">
        <f>IFERROR(__xludf.DUMMYFUNCTION("GoogleTranslate(C81, ""en"", ""ko"")"),"고도")</f>
        <v>고도</v>
      </c>
      <c r="AL81" s="3" t="str">
        <f>IFERROR(__xludf.DUMMYFUNCTION("GoogleTranslate(C81, ""en"", ""lo"")"),"ລະດັບຄວາມສູງ")</f>
        <v>ລະດັບຄວາມສູງ</v>
      </c>
      <c r="AM81" s="3" t="str">
        <f>IFERROR(__xludf.DUMMYFUNCTION("GoogleTranslate(C81, ""en"", ""lv"")"),"Augstums virs jūras līmeņa")</f>
        <v>Augstums virs jūras līmeņa</v>
      </c>
      <c r="AN81" s="3" t="str">
        <f>IFERROR(__xludf.DUMMYFUNCTION("GoogleTranslate(C81, ""en"", ""lt"")"),"Aukštis virš jūros lygio")</f>
        <v>Aukštis virš jūros lygio</v>
      </c>
      <c r="AO81" s="3" t="str">
        <f>IFERROR(__xludf.DUMMYFUNCTION("GoogleTranslate(C81, ""en"", ""mk"")"),"Висина")</f>
        <v>Висина</v>
      </c>
      <c r="AP81" s="3" t="str">
        <f>IFERROR(__xludf.DUMMYFUNCTION("GoogleTranslate(C81, ""en"", ""ms"")"),"Ketinggian")</f>
        <v>Ketinggian</v>
      </c>
      <c r="AQ81" s="3" t="str">
        <f>IFERROR(__xludf.DUMMYFUNCTION("GoogleTranslate(C81, ""en"", ""ml"")"),"ഉയരം")</f>
        <v>ഉയരം</v>
      </c>
      <c r="AR81" s="3" t="str">
        <f>IFERROR(__xludf.DUMMYFUNCTION("GoogleTranslate(C81, ""en"", ""mr"")"),"उंची")</f>
        <v>उंची</v>
      </c>
      <c r="AS81" s="3" t="str">
        <f>IFERROR(__xludf.DUMMYFUNCTION("GoogleTranslate(C81, ""en"", ""mn"")"),"Өндөр")</f>
        <v>Өндөр</v>
      </c>
      <c r="AT81" s="3" t="str">
        <f>IFERROR(__xludf.DUMMYFUNCTION("GoogleTranslate(C81, ""en"", ""ne"")"),"उचाइ")</f>
        <v>उचाइ</v>
      </c>
      <c r="AU81" s="3" t="str">
        <f>IFERROR(__xludf.DUMMYFUNCTION("GoogleTranslate(C81, ""en"", ""nb"")"),"Høyde")</f>
        <v>Høyde</v>
      </c>
      <c r="AV81" s="3" t="str">
        <f>IFERROR(__xludf.DUMMYFUNCTION("GoogleTranslate(C81, ""en"", ""fa"")"),"ارتفاع")</f>
        <v>ارتفاع</v>
      </c>
      <c r="AW81" s="3" t="str">
        <f>IFERROR(__xludf.DUMMYFUNCTION("GoogleTranslate(C81, ""en"", ""pl"")"),"Wysokość")</f>
        <v>Wysokość</v>
      </c>
      <c r="AX81" s="3" t="str">
        <f>IFERROR(__xludf.DUMMYFUNCTION("GoogleTranslate(C81, ""en"", ""pt"")"),"Altitude")</f>
        <v>Altitude</v>
      </c>
      <c r="AY81" s="3" t="str">
        <f>IFERROR(__xludf.DUMMYFUNCTION("GoogleTranslate(C81, ""en"", ""ro"")"),"Altitudine")</f>
        <v>Altitudine</v>
      </c>
      <c r="AZ81" s="3" t="str">
        <f>IFERROR(__xludf.DUMMYFUNCTION("GoogleTranslate(C81, ""en"", ""ru"")"),"Высота")</f>
        <v>Высота</v>
      </c>
      <c r="BA81" s="3" t="str">
        <f>IFERROR(__xludf.DUMMYFUNCTION("GoogleTranslate(C81, ""en"", ""sr"")"),"Висина")</f>
        <v>Висина</v>
      </c>
      <c r="BB81" s="3" t="str">
        <f>IFERROR(__xludf.DUMMYFUNCTION("GoogleTranslate(C81, ""en"", ""si"")"),"උන්නතාංශය")</f>
        <v>උන්නතාංශය</v>
      </c>
      <c r="BC81" s="3" t="str">
        <f>IFERROR(__xludf.DUMMYFUNCTION("GoogleTranslate(C81, ""en"", ""sk"")"),"Nadmorská výška")</f>
        <v>Nadmorská výška</v>
      </c>
      <c r="BD81" s="3" t="str">
        <f>IFERROR(__xludf.DUMMYFUNCTION("GoogleTranslate(C81, ""en"", ""sl"")"),"Nadmorska višina")</f>
        <v>Nadmorska višina</v>
      </c>
      <c r="BE81" s="3" t="str">
        <f>IFERROR(__xludf.DUMMYFUNCTION("GoogleTranslate(C81, ""en"", ""es"")"),"Altitud")</f>
        <v>Altitud</v>
      </c>
      <c r="BF81" s="3" t="str">
        <f>IFERROR(__xludf.DUMMYFUNCTION("GoogleTranslate(C81, ""en"", ""sw"")"),"Mwinuko")</f>
        <v>Mwinuko</v>
      </c>
      <c r="BG81" s="3" t="str">
        <f>IFERROR(__xludf.DUMMYFUNCTION("GoogleTranslate(C81, ""en"", ""sv"")"),"Höjd över havet")</f>
        <v>Höjd över havet</v>
      </c>
      <c r="BH81" s="3" t="str">
        <f>IFERROR(__xludf.DUMMYFUNCTION("GoogleTranslate(C81, ""en"", ""te"")"),"ఎత్తు")</f>
        <v>ఎత్తు</v>
      </c>
      <c r="BI81" s="3" t="str">
        <f>IFERROR(__xludf.DUMMYFUNCTION("GoogleTranslate(C81, ""en"", ""th"")"),"ระดับความสูง")</f>
        <v>ระดับความสูง</v>
      </c>
      <c r="BJ81" s="3" t="str">
        <f>IFERROR(__xludf.DUMMYFUNCTION("GoogleTranslate(C81, ""en"", ""tr"")"),"Rakım")</f>
        <v>Rakım</v>
      </c>
      <c r="BK81" s="3" t="str">
        <f>IFERROR(__xludf.DUMMYFUNCTION("GoogleTranslate(C81, ""en"", ""uk"")"),"Висота")</f>
        <v>Висота</v>
      </c>
      <c r="BL81" s="3" t="str">
        <f>IFERROR(__xludf.DUMMYFUNCTION("GoogleTranslate(C81, ""en"", ""zu"")"),"Ukuphakama")</f>
        <v>Ukuphakama</v>
      </c>
    </row>
    <row r="82">
      <c r="A82" s="1" t="str">
        <f t="shared" si="1"/>
        <v>Azimuth</v>
      </c>
      <c r="B82" s="4" t="s">
        <v>140</v>
      </c>
      <c r="C82" s="1" t="str">
        <f t="shared" si="2"/>
        <v>Azimuth</v>
      </c>
      <c r="D82" s="3" t="str">
        <f>IFERROR(__xludf.DUMMYFUNCTION("GoogleTranslate(C82, ""en"", ""es"")"),"Azimut")</f>
        <v>Azimut</v>
      </c>
      <c r="E82" s="3" t="str">
        <f>IFERROR(__xludf.DUMMYFUNCTION("GoogleTranslate(C82, ""en"", ""ar"")"),"السمت")</f>
        <v>السمت</v>
      </c>
      <c r="F82" s="3" t="str">
        <f>IFERROR(__xludf.DUMMYFUNCTION("GoogleTranslate(C82, ""en"", ""hy"")"),"Ազիմուտ")</f>
        <v>Ազիմուտ</v>
      </c>
      <c r="G82" s="3" t="str">
        <f>IFERROR(__xludf.DUMMYFUNCTION("GoogleTranslate(C82, ""en"", ""vi"")"),"Phương vị")</f>
        <v>Phương vị</v>
      </c>
      <c r="H82" s="3" t="str">
        <f>IFERROR(__xludf.DUMMYFUNCTION("GoogleTranslate(C82, ""en"", ""az"")"),"Azimut")</f>
        <v>Azimut</v>
      </c>
      <c r="I82" s="3" t="str">
        <f>IFERROR(__xludf.DUMMYFUNCTION("GoogleTranslate(C82, ""en"", ""eu"")"),"Azimutua")</f>
        <v>Azimutua</v>
      </c>
      <c r="J82" s="3" t="str">
        <f>IFERROR(__xludf.DUMMYFUNCTION("GoogleTranslate(C82, ""en"", ""be"")"),"Азімут")</f>
        <v>Азімут</v>
      </c>
      <c r="K82" s="3" t="str">
        <f>IFERROR(__xludf.DUMMYFUNCTION("GoogleTranslate(C82, ""en"", ""bn"")"),"আজিমুথ")</f>
        <v>আজিমুথ</v>
      </c>
      <c r="L82" s="3" t="str">
        <f>IFERROR(__xludf.DUMMYFUNCTION("GoogleTranslate(C82, ""en"", ""bg"")"),"Азимут")</f>
        <v>Азимут</v>
      </c>
      <c r="M82" s="3" t="str">
        <f>IFERROR(__xludf.DUMMYFUNCTION("GoogleTranslate(C82, ""en"", ""my"")"),"Azimuth")</f>
        <v>Azimuth</v>
      </c>
      <c r="N82" s="3" t="str">
        <f>IFERROR(__xludf.DUMMYFUNCTION("GoogleTranslate(C82, ""en"", ""ca"")"),"Azimut")</f>
        <v>Azimut</v>
      </c>
      <c r="O82" s="3" t="str">
        <f>IFERROR(__xludf.DUMMYFUNCTION("GoogleTranslate(C82, ""en"", ""zh-cn"")"),"方位角")</f>
        <v>方位角</v>
      </c>
      <c r="P82" s="3" t="str">
        <f>IFERROR(__xludf.DUMMYFUNCTION("GoogleTranslate(C82, ""en"", ""zh-TW"")"),"方位角")</f>
        <v>方位角</v>
      </c>
      <c r="Q82" s="3" t="str">
        <f>IFERROR(__xludf.DUMMYFUNCTION("GoogleTranslate(C82, ""en"", ""hr"")"),"Azimut")</f>
        <v>Azimut</v>
      </c>
      <c r="R82" s="3" t="str">
        <f>IFERROR(__xludf.DUMMYFUNCTION("GoogleTranslate(C82, ""en"", ""cs"")"),"Azimut")</f>
        <v>Azimut</v>
      </c>
      <c r="S82" s="3" t="str">
        <f>IFERROR(__xludf.DUMMYFUNCTION("GoogleTranslate(C82, ""en"", ""da"")"),"Azimuth")</f>
        <v>Azimuth</v>
      </c>
      <c r="T82" s="3" t="str">
        <f>IFERROR(__xludf.DUMMYFUNCTION("GoogleTranslate(C82, ""en"", ""nl"")"),"Azimut")</f>
        <v>Azimut</v>
      </c>
      <c r="U82" s="3" t="str">
        <f>IFERROR(__xludf.DUMMYFUNCTION("GoogleTranslate(C82, ""en"", ""et"")"),"Asimuut")</f>
        <v>Asimuut</v>
      </c>
      <c r="V82" s="1" t="str">
        <f t="shared" si="3"/>
        <v>Azimuth</v>
      </c>
      <c r="W82" s="3" t="str">
        <f>IFERROR(__xludf.DUMMYFUNCTION("GoogleTranslate(C82, ""en"", ""fi"")"),"Atsimuutti")</f>
        <v>Atsimuutti</v>
      </c>
      <c r="X82" s="3" t="str">
        <f>IFERROR(__xludf.DUMMYFUNCTION("GoogleTranslate(C82, ""en"", ""fr"")"),"Azimut")</f>
        <v>Azimut</v>
      </c>
      <c r="Y82" s="3" t="str">
        <f>IFERROR(__xludf.DUMMYFUNCTION("GoogleTranslate(C82, ""en"", ""de"")"),"Azimut")</f>
        <v>Azimut</v>
      </c>
      <c r="Z82" s="3" t="str">
        <f>IFERROR(__xludf.DUMMYFUNCTION("GoogleTranslate(C82, ""en"", ""el"")"),"Αζιμούθιο")</f>
        <v>Αζιμούθιο</v>
      </c>
      <c r="AA82" s="3" t="str">
        <f>IFERROR(__xludf.DUMMYFUNCTION("GoogleTranslate(C82, ""en"", ""iw"")"),"אַזִימוּט")</f>
        <v>אַזִימוּט</v>
      </c>
      <c r="AB82" s="3" t="str">
        <f>IFERROR(__xludf.DUMMYFUNCTION("GoogleTranslate(C82, ""en"", ""hi"")"),"दिगंश")</f>
        <v>दिगंश</v>
      </c>
      <c r="AC82" s="3" t="str">
        <f>IFERROR(__xludf.DUMMYFUNCTION("GoogleTranslate(C82, ""en"", ""hu"")"),"Azimut")</f>
        <v>Azimut</v>
      </c>
      <c r="AD82" s="3" t="str">
        <f>IFERROR(__xludf.DUMMYFUNCTION("GoogleTranslate(C82, ""en"", ""is"")"),"Asímút")</f>
        <v>Asímút</v>
      </c>
      <c r="AE82" s="3" t="str">
        <f>IFERROR(__xludf.DUMMYFUNCTION("GoogleTranslate(C82, ""en"", ""id"")"),"Azimut")</f>
        <v>Azimut</v>
      </c>
      <c r="AF82" s="3" t="str">
        <f>IFERROR(__xludf.DUMMYFUNCTION("GoogleTranslate(C82, ""en"", ""in"")"),"Azimut")</f>
        <v>Azimut</v>
      </c>
      <c r="AG82" s="3" t="str">
        <f>IFERROR(__xludf.DUMMYFUNCTION("GoogleTranslate(C82, ""en"", ""it"")"),"Azimut")</f>
        <v>Azimut</v>
      </c>
      <c r="AH82" s="3" t="str">
        <f>IFERROR(__xludf.DUMMYFUNCTION("GoogleTranslate(C82, ""en"", ""ja"")"),"方位角")</f>
        <v>方位角</v>
      </c>
      <c r="AI82" s="3" t="str">
        <f>IFERROR(__xludf.DUMMYFUNCTION("GoogleTranslate(C82, ""en"", ""kn"")"),"ಅಜೀಮುತ್")</f>
        <v>ಅಜೀಮುತ್</v>
      </c>
      <c r="AJ82" s="3" t="str">
        <f>IFERROR(__xludf.DUMMYFUNCTION("GoogleTranslate(C82, ""en"", ""km"")"),"អាហ្សីមុត")</f>
        <v>អាហ្សីមុត</v>
      </c>
      <c r="AK82" s="3" t="str">
        <f>IFERROR(__xludf.DUMMYFUNCTION("GoogleTranslate(C82, ""en"", ""ko"")"),"방위각")</f>
        <v>방위각</v>
      </c>
      <c r="AL82" s="3" t="str">
        <f>IFERROR(__xludf.DUMMYFUNCTION("GoogleTranslate(C82, ""en"", ""lo"")"),"Azimuth")</f>
        <v>Azimuth</v>
      </c>
      <c r="AM82" s="3" t="str">
        <f>IFERROR(__xludf.DUMMYFUNCTION("GoogleTranslate(C82, ""en"", ""lv"")"),"Azimuts")</f>
        <v>Azimuts</v>
      </c>
      <c r="AN82" s="3" t="str">
        <f>IFERROR(__xludf.DUMMYFUNCTION("GoogleTranslate(C82, ""en"", ""lt"")"),"Azimutas")</f>
        <v>Azimutas</v>
      </c>
      <c r="AO82" s="3" t="str">
        <f>IFERROR(__xludf.DUMMYFUNCTION("GoogleTranslate(C82, ""en"", ""mk"")"),"Азимут")</f>
        <v>Азимут</v>
      </c>
      <c r="AP82" s="3" t="str">
        <f>IFERROR(__xludf.DUMMYFUNCTION("GoogleTranslate(C82, ""en"", ""ms"")"),"Azimuth")</f>
        <v>Azimuth</v>
      </c>
      <c r="AQ82" s="3" t="str">
        <f>IFERROR(__xludf.DUMMYFUNCTION("GoogleTranslate(C82, ""en"", ""ml"")"),"അസിമുത്ത്")</f>
        <v>അസിമുത്ത്</v>
      </c>
      <c r="AR82" s="3" t="str">
        <f>IFERROR(__xludf.DUMMYFUNCTION("GoogleTranslate(C82, ""en"", ""mr"")"),"अजिमथ")</f>
        <v>अजिमथ</v>
      </c>
      <c r="AS82" s="3" t="str">
        <f>IFERROR(__xludf.DUMMYFUNCTION("GoogleTranslate(C82, ""en"", ""mn"")"),"Азимут")</f>
        <v>Азимут</v>
      </c>
      <c r="AT82" s="3" t="str">
        <f>IFERROR(__xludf.DUMMYFUNCTION("GoogleTranslate(C82, ""en"", ""ne"")"),"अजमुथ")</f>
        <v>अजमुथ</v>
      </c>
      <c r="AU82" s="3" t="str">
        <f>IFERROR(__xludf.DUMMYFUNCTION("GoogleTranslate(C82, ""en"", ""nb"")"),"Azimut")</f>
        <v>Azimut</v>
      </c>
      <c r="AV82" s="3" t="str">
        <f>IFERROR(__xludf.DUMMYFUNCTION("GoogleTranslate(C82, ""en"", ""fa"")"),"آزیموت")</f>
        <v>آزیموت</v>
      </c>
      <c r="AW82" s="3" t="str">
        <f>IFERROR(__xludf.DUMMYFUNCTION("GoogleTranslate(C82, ""en"", ""pl"")"),"Azymut")</f>
        <v>Azymut</v>
      </c>
      <c r="AX82" s="3" t="str">
        <f>IFERROR(__xludf.DUMMYFUNCTION("GoogleTranslate(C82, ""en"", ""pt"")"),"Azimute")</f>
        <v>Azimute</v>
      </c>
      <c r="AY82" s="3" t="str">
        <f>IFERROR(__xludf.DUMMYFUNCTION("GoogleTranslate(C82, ""en"", ""ro"")"),"Azimut")</f>
        <v>Azimut</v>
      </c>
      <c r="AZ82" s="3" t="str">
        <f>IFERROR(__xludf.DUMMYFUNCTION("GoogleTranslate(C82, ""en"", ""ru"")"),"Азимут")</f>
        <v>Азимут</v>
      </c>
      <c r="BA82" s="3" t="str">
        <f>IFERROR(__xludf.DUMMYFUNCTION("GoogleTranslate(C82, ""en"", ""sr"")"),"Азимут")</f>
        <v>Азимут</v>
      </c>
      <c r="BB82" s="3" t="str">
        <f>IFERROR(__xludf.DUMMYFUNCTION("GoogleTranslate(C82, ""en"", ""si"")"),"අසිමුත්")</f>
        <v>අසිමුත්</v>
      </c>
      <c r="BC82" s="3" t="str">
        <f>IFERROR(__xludf.DUMMYFUNCTION("GoogleTranslate(C82, ""en"", ""sk"")"),"Azimut")</f>
        <v>Azimut</v>
      </c>
      <c r="BD82" s="3" t="str">
        <f>IFERROR(__xludf.DUMMYFUNCTION("GoogleTranslate(C82, ""en"", ""sl"")"),"Azimut")</f>
        <v>Azimut</v>
      </c>
      <c r="BE82" s="3" t="str">
        <f>IFERROR(__xludf.DUMMYFUNCTION("GoogleTranslate(C82, ""en"", ""es"")"),"Azimut")</f>
        <v>Azimut</v>
      </c>
      <c r="BF82" s="3" t="str">
        <f>IFERROR(__xludf.DUMMYFUNCTION("GoogleTranslate(C82, ""en"", ""sw"")"),"Azimuth")</f>
        <v>Azimuth</v>
      </c>
      <c r="BG82" s="3" t="str">
        <f>IFERROR(__xludf.DUMMYFUNCTION("GoogleTranslate(C82, ""en"", ""sv"")"),"Azimut")</f>
        <v>Azimut</v>
      </c>
      <c r="BH82" s="3" t="str">
        <f>IFERROR(__xludf.DUMMYFUNCTION("GoogleTranslate(C82, ""en"", ""te"")"),"అజిముత్")</f>
        <v>అజిముత్</v>
      </c>
      <c r="BI82" s="3" t="str">
        <f>IFERROR(__xludf.DUMMYFUNCTION("GoogleTranslate(C82, ""en"", ""th"")"),"ราบ")</f>
        <v>ราบ</v>
      </c>
      <c r="BJ82" s="3" t="str">
        <f>IFERROR(__xludf.DUMMYFUNCTION("GoogleTranslate(C82, ""en"", ""tr"")"),"Azimut")</f>
        <v>Azimut</v>
      </c>
      <c r="BK82" s="3" t="str">
        <f>IFERROR(__xludf.DUMMYFUNCTION("GoogleTranslate(C82, ""en"", ""uk"")"),"Азимут")</f>
        <v>Азимут</v>
      </c>
      <c r="BL82" s="3" t="str">
        <f>IFERROR(__xludf.DUMMYFUNCTION("GoogleTranslate(C82, ""en"", ""zu"")"),"I-Azimuth")</f>
        <v>I-Azimuth</v>
      </c>
    </row>
    <row r="83">
      <c r="A83" s="1" t="str">
        <f t="shared" si="1"/>
        <v>Time</v>
      </c>
      <c r="B83" s="4" t="s">
        <v>141</v>
      </c>
      <c r="C83" s="1" t="str">
        <f t="shared" si="2"/>
        <v>Time</v>
      </c>
      <c r="D83" s="3" t="str">
        <f>IFERROR(__xludf.DUMMYFUNCTION("GoogleTranslate(C83, ""en"", ""es"")"),"Tiempo")</f>
        <v>Tiempo</v>
      </c>
      <c r="E83" s="3" t="str">
        <f>IFERROR(__xludf.DUMMYFUNCTION("GoogleTranslate(C83, ""en"", ""ar"")"),"وقت")</f>
        <v>وقت</v>
      </c>
      <c r="F83" s="3" t="str">
        <f>IFERROR(__xludf.DUMMYFUNCTION("GoogleTranslate(C83, ""en"", ""hy"")"),"Ժամանակը")</f>
        <v>Ժամանակը</v>
      </c>
      <c r="G83" s="3" t="str">
        <f>IFERROR(__xludf.DUMMYFUNCTION("GoogleTranslate(C83, ""en"", ""vi"")"),"Thời gian")</f>
        <v>Thời gian</v>
      </c>
      <c r="H83" s="3" t="str">
        <f>IFERROR(__xludf.DUMMYFUNCTION("GoogleTranslate(C83, ""en"", ""az"")"),"Vaxt")</f>
        <v>Vaxt</v>
      </c>
      <c r="I83" s="3" t="str">
        <f>IFERROR(__xludf.DUMMYFUNCTION("GoogleTranslate(C83, ""en"", ""eu"")"),"Denbora")</f>
        <v>Denbora</v>
      </c>
      <c r="J83" s="3" t="str">
        <f>IFERROR(__xludf.DUMMYFUNCTION("GoogleTranslate(C83, ""en"", ""be"")"),"Час")</f>
        <v>Час</v>
      </c>
      <c r="K83" s="3" t="str">
        <f>IFERROR(__xludf.DUMMYFUNCTION("GoogleTranslate(C83, ""en"", ""bn"")"),"সময়")</f>
        <v>সময়</v>
      </c>
      <c r="L83" s="3" t="str">
        <f>IFERROR(__xludf.DUMMYFUNCTION("GoogleTranslate(C83, ""en"", ""bg"")"),"време")</f>
        <v>време</v>
      </c>
      <c r="M83" s="3" t="str">
        <f>IFERROR(__xludf.DUMMYFUNCTION("GoogleTranslate(C83, ""en"", ""my"")"),"အချိန်")</f>
        <v>အချိန်</v>
      </c>
      <c r="N83" s="3" t="str">
        <f>IFERROR(__xludf.DUMMYFUNCTION("GoogleTranslate(C83, ""en"", ""ca"")"),"Temps")</f>
        <v>Temps</v>
      </c>
      <c r="O83" s="3" t="str">
        <f>IFERROR(__xludf.DUMMYFUNCTION("GoogleTranslate(C83, ""en"", ""zh-cn"")"),"时间")</f>
        <v>时间</v>
      </c>
      <c r="P83" s="3" t="str">
        <f>IFERROR(__xludf.DUMMYFUNCTION("GoogleTranslate(C83, ""en"", ""zh-TW"")"),"時間")</f>
        <v>時間</v>
      </c>
      <c r="Q83" s="3" t="str">
        <f>IFERROR(__xludf.DUMMYFUNCTION("GoogleTranslate(C83, ""en"", ""hr"")"),"Vrijeme")</f>
        <v>Vrijeme</v>
      </c>
      <c r="R83" s="3" t="str">
        <f>IFERROR(__xludf.DUMMYFUNCTION("GoogleTranslate(C83, ""en"", ""cs"")"),"Čas")</f>
        <v>Čas</v>
      </c>
      <c r="S83" s="3" t="str">
        <f>IFERROR(__xludf.DUMMYFUNCTION("GoogleTranslate(C83, ""en"", ""da"")"),"Tid")</f>
        <v>Tid</v>
      </c>
      <c r="T83" s="3" t="str">
        <f>IFERROR(__xludf.DUMMYFUNCTION("GoogleTranslate(C83, ""en"", ""nl"")"),"Tijd")</f>
        <v>Tijd</v>
      </c>
      <c r="U83" s="3" t="str">
        <f>IFERROR(__xludf.DUMMYFUNCTION("GoogleTranslate(C83, ""en"", ""et"")"),"Aeg")</f>
        <v>Aeg</v>
      </c>
      <c r="V83" s="1" t="str">
        <f t="shared" si="3"/>
        <v>Time</v>
      </c>
      <c r="W83" s="3" t="str">
        <f>IFERROR(__xludf.DUMMYFUNCTION("GoogleTranslate(C83, ""en"", ""fi"")"),"Aika")</f>
        <v>Aika</v>
      </c>
      <c r="X83" s="3" t="str">
        <f>IFERROR(__xludf.DUMMYFUNCTION("GoogleTranslate(C83, ""en"", ""fr"")"),"Temps")</f>
        <v>Temps</v>
      </c>
      <c r="Y83" s="3" t="str">
        <f>IFERROR(__xludf.DUMMYFUNCTION("GoogleTranslate(C83, ""en"", ""de"")"),"Zeit")</f>
        <v>Zeit</v>
      </c>
      <c r="Z83" s="3" t="str">
        <f>IFERROR(__xludf.DUMMYFUNCTION("GoogleTranslate(C83, ""en"", ""el"")"),"Φορά")</f>
        <v>Φορά</v>
      </c>
      <c r="AA83" s="3" t="str">
        <f>IFERROR(__xludf.DUMMYFUNCTION("GoogleTranslate(C83, ""en"", ""iw"")"),"זְמַן")</f>
        <v>זְמַן</v>
      </c>
      <c r="AB83" s="3" t="str">
        <f>IFERROR(__xludf.DUMMYFUNCTION("GoogleTranslate(C83, ""en"", ""hi"")"),"समय")</f>
        <v>समय</v>
      </c>
      <c r="AC83" s="3" t="str">
        <f>IFERROR(__xludf.DUMMYFUNCTION("GoogleTranslate(C83, ""en"", ""hu"")"),"Idő")</f>
        <v>Idő</v>
      </c>
      <c r="AD83" s="3" t="str">
        <f>IFERROR(__xludf.DUMMYFUNCTION("GoogleTranslate(C83, ""en"", ""is"")"),"Tími")</f>
        <v>Tími</v>
      </c>
      <c r="AE83" s="3" t="str">
        <f>IFERROR(__xludf.DUMMYFUNCTION("GoogleTranslate(C83, ""en"", ""id"")"),"Waktu")</f>
        <v>Waktu</v>
      </c>
      <c r="AF83" s="3" t="str">
        <f>IFERROR(__xludf.DUMMYFUNCTION("GoogleTranslate(C83, ""en"", ""in"")"),"Waktu")</f>
        <v>Waktu</v>
      </c>
      <c r="AG83" s="3" t="str">
        <f>IFERROR(__xludf.DUMMYFUNCTION("GoogleTranslate(C83, ""en"", ""it"")"),"Tempo")</f>
        <v>Tempo</v>
      </c>
      <c r="AH83" s="3" t="str">
        <f>IFERROR(__xludf.DUMMYFUNCTION("GoogleTranslate(C83, ""en"", ""ja"")"),"時間")</f>
        <v>時間</v>
      </c>
      <c r="AI83" s="3" t="str">
        <f>IFERROR(__xludf.DUMMYFUNCTION("GoogleTranslate(C83, ""en"", ""kn"")"),"ಸಮಯ")</f>
        <v>ಸಮಯ</v>
      </c>
      <c r="AJ83" s="3" t="str">
        <f>IFERROR(__xludf.DUMMYFUNCTION("GoogleTranslate(C83, ""en"", ""km"")"),"ពេលវេលា")</f>
        <v>ពេលវេលា</v>
      </c>
      <c r="AK83" s="3" t="str">
        <f>IFERROR(__xludf.DUMMYFUNCTION("GoogleTranslate(C83, ""en"", ""ko"")"),"시간")</f>
        <v>시간</v>
      </c>
      <c r="AL83" s="3" t="str">
        <f>IFERROR(__xludf.DUMMYFUNCTION("GoogleTranslate(C83, ""en"", ""lo"")"),"ເວລາ")</f>
        <v>ເວລາ</v>
      </c>
      <c r="AM83" s="3" t="str">
        <f>IFERROR(__xludf.DUMMYFUNCTION("GoogleTranslate(C83, ""en"", ""lv"")"),"Laiks")</f>
        <v>Laiks</v>
      </c>
      <c r="AN83" s="3" t="str">
        <f>IFERROR(__xludf.DUMMYFUNCTION("GoogleTranslate(C83, ""en"", ""lt"")"),"Laikas")</f>
        <v>Laikas</v>
      </c>
      <c r="AO83" s="3" t="str">
        <f>IFERROR(__xludf.DUMMYFUNCTION("GoogleTranslate(C83, ""en"", ""mk"")"),"Време")</f>
        <v>Време</v>
      </c>
      <c r="AP83" s="3" t="str">
        <f>IFERROR(__xludf.DUMMYFUNCTION("GoogleTranslate(C83, ""en"", ""ms"")"),"Masa")</f>
        <v>Masa</v>
      </c>
      <c r="AQ83" s="3" t="str">
        <f>IFERROR(__xludf.DUMMYFUNCTION("GoogleTranslate(C83, ""en"", ""ml"")"),"സമയം")</f>
        <v>സമയം</v>
      </c>
      <c r="AR83" s="3" t="str">
        <f>IFERROR(__xludf.DUMMYFUNCTION("GoogleTranslate(C83, ""en"", ""mr"")"),"वेळ")</f>
        <v>वेळ</v>
      </c>
      <c r="AS83" s="3" t="str">
        <f>IFERROR(__xludf.DUMMYFUNCTION("GoogleTranslate(C83, ""en"", ""mn"")"),"Цаг хугацаа")</f>
        <v>Цаг хугацаа</v>
      </c>
      <c r="AT83" s="3" t="str">
        <f>IFERROR(__xludf.DUMMYFUNCTION("GoogleTranslate(C83, ""en"", ""ne"")"),"समय")</f>
        <v>समय</v>
      </c>
      <c r="AU83" s="3" t="str">
        <f>IFERROR(__xludf.DUMMYFUNCTION("GoogleTranslate(C83, ""en"", ""nb"")"),"Tid")</f>
        <v>Tid</v>
      </c>
      <c r="AV83" s="3" t="str">
        <f>IFERROR(__xludf.DUMMYFUNCTION("GoogleTranslate(C83, ""en"", ""fa"")"),"زمان")</f>
        <v>زمان</v>
      </c>
      <c r="AW83" s="3" t="str">
        <f>IFERROR(__xludf.DUMMYFUNCTION("GoogleTranslate(C83, ""en"", ""pl"")"),"Czas")</f>
        <v>Czas</v>
      </c>
      <c r="AX83" s="3" t="str">
        <f>IFERROR(__xludf.DUMMYFUNCTION("GoogleTranslate(C83, ""en"", ""pt"")"),"Tempo")</f>
        <v>Tempo</v>
      </c>
      <c r="AY83" s="3" t="str">
        <f>IFERROR(__xludf.DUMMYFUNCTION("GoogleTranslate(C83, ""en"", ""ro"")"),"Timp")</f>
        <v>Timp</v>
      </c>
      <c r="AZ83" s="3" t="str">
        <f>IFERROR(__xludf.DUMMYFUNCTION("GoogleTranslate(C83, ""en"", ""ru"")"),"Время")</f>
        <v>Время</v>
      </c>
      <c r="BA83" s="3" t="str">
        <f>IFERROR(__xludf.DUMMYFUNCTION("GoogleTranslate(C83, ""en"", ""sr"")"),"Време")</f>
        <v>Време</v>
      </c>
      <c r="BB83" s="3" t="str">
        <f>IFERROR(__xludf.DUMMYFUNCTION("GoogleTranslate(C83, ""en"", ""si"")"),"කාලය")</f>
        <v>කාලය</v>
      </c>
      <c r="BC83" s="3" t="str">
        <f>IFERROR(__xludf.DUMMYFUNCTION("GoogleTranslate(C83, ""en"", ""sk"")"),"Čas")</f>
        <v>Čas</v>
      </c>
      <c r="BD83" s="3" t="str">
        <f>IFERROR(__xludf.DUMMYFUNCTION("GoogleTranslate(C83, ""en"", ""sl"")"),"Čas")</f>
        <v>Čas</v>
      </c>
      <c r="BE83" s="3" t="str">
        <f>IFERROR(__xludf.DUMMYFUNCTION("GoogleTranslate(C83, ""en"", ""es"")"),"Tiempo")</f>
        <v>Tiempo</v>
      </c>
      <c r="BF83" s="3" t="str">
        <f>IFERROR(__xludf.DUMMYFUNCTION("GoogleTranslate(C83, ""en"", ""sw"")"),"Muda")</f>
        <v>Muda</v>
      </c>
      <c r="BG83" s="3" t="str">
        <f>IFERROR(__xludf.DUMMYFUNCTION("GoogleTranslate(C83, ""en"", ""sv"")"),"Tid")</f>
        <v>Tid</v>
      </c>
      <c r="BH83" s="3" t="str">
        <f>IFERROR(__xludf.DUMMYFUNCTION("GoogleTranslate(C83, ""en"", ""te"")"),"సమయం")</f>
        <v>సమయం</v>
      </c>
      <c r="BI83" s="3" t="str">
        <f>IFERROR(__xludf.DUMMYFUNCTION("GoogleTranslate(C83, ""en"", ""th"")"),"เวลา")</f>
        <v>เวลา</v>
      </c>
      <c r="BJ83" s="3" t="str">
        <f>IFERROR(__xludf.DUMMYFUNCTION("GoogleTranslate(C83, ""en"", ""tr"")"),"Zaman")</f>
        <v>Zaman</v>
      </c>
      <c r="BK83" s="3" t="str">
        <f>IFERROR(__xludf.DUMMYFUNCTION("GoogleTranslate(C83, ""en"", ""uk"")"),"час")</f>
        <v>час</v>
      </c>
      <c r="BL83" s="3" t="str">
        <f>IFERROR(__xludf.DUMMYFUNCTION("GoogleTranslate(C83, ""en"", ""zu"")"),"Isikhathi")</f>
        <v>Isikhathi</v>
      </c>
    </row>
    <row r="84">
      <c r="A84" s="1" t="str">
        <f t="shared" si="1"/>
        <v>Current_altitude</v>
      </c>
      <c r="B84" s="4" t="s">
        <v>142</v>
      </c>
      <c r="C84" s="1" t="str">
        <f t="shared" si="2"/>
        <v>Current altitude</v>
      </c>
      <c r="D84" s="3" t="str">
        <f>IFERROR(__xludf.DUMMYFUNCTION("GoogleTranslate(C84, ""en"", ""es"")"),"Altitud actual")</f>
        <v>Altitud actual</v>
      </c>
      <c r="E84" s="3" t="str">
        <f>IFERROR(__xludf.DUMMYFUNCTION("GoogleTranslate(C84, ""en"", ""ar"")"),"الارتفاع الحالي")</f>
        <v>الارتفاع الحالي</v>
      </c>
      <c r="F84" s="3" t="str">
        <f>IFERROR(__xludf.DUMMYFUNCTION("GoogleTranslate(C84, ""en"", ""hy"")"),"Ընթացիկ բարձրությունը")</f>
        <v>Ընթացիկ բարձրությունը</v>
      </c>
      <c r="G84" s="3" t="str">
        <f>IFERROR(__xludf.DUMMYFUNCTION("GoogleTranslate(C84, ""en"", ""vi"")"),"Độ cao hiện tại")</f>
        <v>Độ cao hiện tại</v>
      </c>
      <c r="H84" s="3" t="str">
        <f>IFERROR(__xludf.DUMMYFUNCTION("GoogleTranslate(C84, ""en"", ""az"")"),"Cari hündürlük")</f>
        <v>Cari hündürlük</v>
      </c>
      <c r="I84" s="3" t="str">
        <f>IFERROR(__xludf.DUMMYFUNCTION("GoogleTranslate(C84, ""en"", ""eu"")"),"Gaur egungo altitudea")</f>
        <v>Gaur egungo altitudea</v>
      </c>
      <c r="J84" s="3" t="str">
        <f>IFERROR(__xludf.DUMMYFUNCTION("GoogleTranslate(C84, ""en"", ""be"")"),"Бягучая вышыня")</f>
        <v>Бягучая вышыня</v>
      </c>
      <c r="K84" s="3" t="str">
        <f>IFERROR(__xludf.DUMMYFUNCTION("GoogleTranslate(C84, ""en"", ""bn"")"),"বর্তমান উচ্চতা")</f>
        <v>বর্তমান উচ্চতা</v>
      </c>
      <c r="L84" s="3" t="str">
        <f>IFERROR(__xludf.DUMMYFUNCTION("GoogleTranslate(C84, ""en"", ""bg"")"),"Текуща надморска височина")</f>
        <v>Текуща надморска височина</v>
      </c>
      <c r="M84" s="3" t="str">
        <f>IFERROR(__xludf.DUMMYFUNCTION("GoogleTranslate(C84, ""en"", ""my"")"),"လက်ရှိ အမြင့်ပေ")</f>
        <v>လက်ရှိ အမြင့်ပေ</v>
      </c>
      <c r="N84" s="3" t="str">
        <f>IFERROR(__xludf.DUMMYFUNCTION("GoogleTranslate(C84, ""en"", ""ca"")"),"Altitud actual")</f>
        <v>Altitud actual</v>
      </c>
      <c r="O84" s="3" t="str">
        <f>IFERROR(__xludf.DUMMYFUNCTION("GoogleTranslate(C84, ""en"", ""zh-cn"")"),"当前海拔高度")</f>
        <v>当前海拔高度</v>
      </c>
      <c r="P84" s="3" t="str">
        <f>IFERROR(__xludf.DUMMYFUNCTION("GoogleTranslate(C84, ""en"", ""zh-TW"")"),"目前海拔高度")</f>
        <v>目前海拔高度</v>
      </c>
      <c r="Q84" s="3" t="str">
        <f>IFERROR(__xludf.DUMMYFUNCTION("GoogleTranslate(C84, ""en"", ""hr"")"),"Trenutna nadmorska visina")</f>
        <v>Trenutna nadmorska visina</v>
      </c>
      <c r="R84" s="3" t="str">
        <f>IFERROR(__xludf.DUMMYFUNCTION("GoogleTranslate(C84, ""en"", ""cs"")"),"Aktuální nadmořská výška")</f>
        <v>Aktuální nadmořská výška</v>
      </c>
      <c r="S84" s="3" t="str">
        <f>IFERROR(__xludf.DUMMYFUNCTION("GoogleTranslate(C84, ""en"", ""da"")"),"Nuværende højde")</f>
        <v>Nuværende højde</v>
      </c>
      <c r="T84" s="3" t="str">
        <f>IFERROR(__xludf.DUMMYFUNCTION("GoogleTranslate(C84, ""en"", ""nl"")"),"Huidige hoogte")</f>
        <v>Huidige hoogte</v>
      </c>
      <c r="U84" s="3" t="str">
        <f>IFERROR(__xludf.DUMMYFUNCTION("GoogleTranslate(C84, ""en"", ""et"")"),"Praegune kõrgus merepinnast")</f>
        <v>Praegune kõrgus merepinnast</v>
      </c>
      <c r="V84" s="1" t="str">
        <f t="shared" si="3"/>
        <v>Current altitude</v>
      </c>
      <c r="W84" s="3" t="str">
        <f>IFERROR(__xludf.DUMMYFUNCTION("GoogleTranslate(C84, ""en"", ""fi"")"),"Nykyinen korkeus")</f>
        <v>Nykyinen korkeus</v>
      </c>
      <c r="X84" s="3" t="str">
        <f>IFERROR(__xludf.DUMMYFUNCTION("GoogleTranslate(C84, ""en"", ""fr"")"),"Altitude actuelle")</f>
        <v>Altitude actuelle</v>
      </c>
      <c r="Y84" s="3" t="str">
        <f>IFERROR(__xludf.DUMMYFUNCTION("GoogleTranslate(C84, ""en"", ""de"")"),"Aktuelle Höhe")</f>
        <v>Aktuelle Höhe</v>
      </c>
      <c r="Z84" s="3" t="str">
        <f>IFERROR(__xludf.DUMMYFUNCTION("GoogleTranslate(C84, ""en"", ""el"")"),"Τρέχον υψόμετρο")</f>
        <v>Τρέχον υψόμετρο</v>
      </c>
      <c r="AA84" s="3" t="str">
        <f>IFERROR(__xludf.DUMMYFUNCTION("GoogleTranslate(C84, ""en"", ""iw"")"),"גובה נוכחי")</f>
        <v>גובה נוכחי</v>
      </c>
      <c r="AB84" s="3" t="str">
        <f>IFERROR(__xludf.DUMMYFUNCTION("GoogleTranslate(C84, ""en"", ""hi"")"),"वर्तमान ऊंचाई")</f>
        <v>वर्तमान ऊंचाई</v>
      </c>
      <c r="AC84" s="3" t="str">
        <f>IFERROR(__xludf.DUMMYFUNCTION("GoogleTranslate(C84, ""en"", ""hu"")"),"Jelenlegi magasság")</f>
        <v>Jelenlegi magasság</v>
      </c>
      <c r="AD84" s="3" t="str">
        <f>IFERROR(__xludf.DUMMYFUNCTION("GoogleTranslate(C84, ""en"", ""is"")"),"Núverandi hæð")</f>
        <v>Núverandi hæð</v>
      </c>
      <c r="AE84" s="3" t="str">
        <f>IFERROR(__xludf.DUMMYFUNCTION("GoogleTranslate(C84, ""en"", ""id"")"),"Ketinggian saat ini")</f>
        <v>Ketinggian saat ini</v>
      </c>
      <c r="AF84" s="3" t="str">
        <f>IFERROR(__xludf.DUMMYFUNCTION("GoogleTranslate(C84, ""en"", ""in"")"),"Ketinggian saat ini")</f>
        <v>Ketinggian saat ini</v>
      </c>
      <c r="AG84" s="3" t="str">
        <f>IFERROR(__xludf.DUMMYFUNCTION("GoogleTranslate(C84, ""en"", ""it"")"),"Altitudine attuale")</f>
        <v>Altitudine attuale</v>
      </c>
      <c r="AH84" s="3" t="str">
        <f>IFERROR(__xludf.DUMMYFUNCTION("GoogleTranslate(C84, ""en"", ""ja"")"),"現在の高度")</f>
        <v>現在の高度</v>
      </c>
      <c r="AI84" s="3" t="str">
        <f>IFERROR(__xludf.DUMMYFUNCTION("GoogleTranslate(C84, ""en"", ""kn"")"),"ಪ್ರಸ್ತುತ ಎತ್ತರ")</f>
        <v>ಪ್ರಸ್ತುತ ಎತ್ತರ</v>
      </c>
      <c r="AJ84" s="3" t="str">
        <f>IFERROR(__xludf.DUMMYFUNCTION("GoogleTranslate(C84, ""en"", ""km"")"),"កម្ពស់បច្ចុប្បន្ន")</f>
        <v>កម្ពស់បច្ចុប្បន្ន</v>
      </c>
      <c r="AK84" s="3" t="str">
        <f>IFERROR(__xludf.DUMMYFUNCTION("GoogleTranslate(C84, ""en"", ""ko"")"),"현재 고도")</f>
        <v>현재 고도</v>
      </c>
      <c r="AL84" s="3" t="str">
        <f>IFERROR(__xludf.DUMMYFUNCTION("GoogleTranslate(C84, ""en"", ""lo"")"),"ລະດັບຄວາມສູງໃນປະຈຸບັນ")</f>
        <v>ລະດັບຄວາມສູງໃນປະຈຸບັນ</v>
      </c>
      <c r="AM84" s="3" t="str">
        <f>IFERROR(__xludf.DUMMYFUNCTION("GoogleTranslate(C84, ""en"", ""lv"")"),"Pašreizējais augstums")</f>
        <v>Pašreizējais augstums</v>
      </c>
      <c r="AN84" s="3" t="str">
        <f>IFERROR(__xludf.DUMMYFUNCTION("GoogleTranslate(C84, ""en"", ""lt"")"),"Dabartinis aukštis")</f>
        <v>Dabartinis aukštis</v>
      </c>
      <c r="AO84" s="3" t="str">
        <f>IFERROR(__xludf.DUMMYFUNCTION("GoogleTranslate(C84, ""en"", ""mk"")"),"Моментална надморска височина")</f>
        <v>Моментална надморска височина</v>
      </c>
      <c r="AP84" s="3" t="str">
        <f>IFERROR(__xludf.DUMMYFUNCTION("GoogleTranslate(C84, ""en"", ""ms"")"),"Ketinggian semasa")</f>
        <v>Ketinggian semasa</v>
      </c>
      <c r="AQ84" s="3" t="str">
        <f>IFERROR(__xludf.DUMMYFUNCTION("GoogleTranslate(C84, ""en"", ""ml"")"),"നിലവിലെ ഉയരം")</f>
        <v>നിലവിലെ ഉയരം</v>
      </c>
      <c r="AR84" s="3" t="str">
        <f>IFERROR(__xludf.DUMMYFUNCTION("GoogleTranslate(C84, ""en"", ""mr"")"),"वर्तमान उंची")</f>
        <v>वर्तमान उंची</v>
      </c>
      <c r="AS84" s="3" t="str">
        <f>IFERROR(__xludf.DUMMYFUNCTION("GoogleTranslate(C84, ""en"", ""mn"")"),"Одоогийн өндөр")</f>
        <v>Одоогийн өндөр</v>
      </c>
      <c r="AT84" s="3" t="str">
        <f>IFERROR(__xludf.DUMMYFUNCTION("GoogleTranslate(C84, ""en"", ""ne"")"),"हालको उचाइ")</f>
        <v>हालको उचाइ</v>
      </c>
      <c r="AU84" s="3" t="str">
        <f>IFERROR(__xludf.DUMMYFUNCTION("GoogleTranslate(C84, ""en"", ""nb"")"),"Nåværende høyde")</f>
        <v>Nåværende høyde</v>
      </c>
      <c r="AV84" s="3" t="str">
        <f>IFERROR(__xludf.DUMMYFUNCTION("GoogleTranslate(C84, ""en"", ""fa"")"),"ارتفاع فعلی")</f>
        <v>ارتفاع فعلی</v>
      </c>
      <c r="AW84" s="3" t="str">
        <f>IFERROR(__xludf.DUMMYFUNCTION("GoogleTranslate(C84, ""en"", ""pl"")"),"Aktualna wysokość")</f>
        <v>Aktualna wysokość</v>
      </c>
      <c r="AX84" s="3" t="str">
        <f>IFERROR(__xludf.DUMMYFUNCTION("GoogleTranslate(C84, ""en"", ""pt"")"),"Altitude atual")</f>
        <v>Altitude atual</v>
      </c>
      <c r="AY84" s="3" t="str">
        <f>IFERROR(__xludf.DUMMYFUNCTION("GoogleTranslate(C84, ""en"", ""ro"")"),"Altitudinea actuală")</f>
        <v>Altitudinea actuală</v>
      </c>
      <c r="AZ84" s="3" t="str">
        <f>IFERROR(__xludf.DUMMYFUNCTION("GoogleTranslate(C84, ""en"", ""ru"")"),"Текущая высота")</f>
        <v>Текущая высота</v>
      </c>
      <c r="BA84" s="3" t="str">
        <f>IFERROR(__xludf.DUMMYFUNCTION("GoogleTranslate(C84, ""en"", ""sr"")"),"Тренутна висина")</f>
        <v>Тренутна висина</v>
      </c>
      <c r="BB84" s="3" t="str">
        <f>IFERROR(__xludf.DUMMYFUNCTION("GoogleTranslate(C84, ""en"", ""si"")"),"වත්මන් උන්නතාංශය")</f>
        <v>වත්මන් උන්නතාංශය</v>
      </c>
      <c r="BC84" s="3" t="str">
        <f>IFERROR(__xludf.DUMMYFUNCTION("GoogleTranslate(C84, ""en"", ""sk"")"),"Aktuálna nadmorská výška")</f>
        <v>Aktuálna nadmorská výška</v>
      </c>
      <c r="BD84" s="3" t="str">
        <f>IFERROR(__xludf.DUMMYFUNCTION("GoogleTranslate(C84, ""en"", ""sl"")"),"Trenutna nadmorska višina")</f>
        <v>Trenutna nadmorska višina</v>
      </c>
      <c r="BE84" s="3" t="str">
        <f>IFERROR(__xludf.DUMMYFUNCTION("GoogleTranslate(C84, ""en"", ""es"")"),"Altitud actual")</f>
        <v>Altitud actual</v>
      </c>
      <c r="BF84" s="3" t="str">
        <f>IFERROR(__xludf.DUMMYFUNCTION("GoogleTranslate(C84, ""en"", ""sw"")"),"Urefu wa sasa")</f>
        <v>Urefu wa sasa</v>
      </c>
      <c r="BG84" s="3" t="str">
        <f>IFERROR(__xludf.DUMMYFUNCTION("GoogleTranslate(C84, ""en"", ""sv"")"),"Aktuell höjd")</f>
        <v>Aktuell höjd</v>
      </c>
      <c r="BH84" s="3" t="str">
        <f>IFERROR(__xludf.DUMMYFUNCTION("GoogleTranslate(C84, ""en"", ""te"")"),"ప్రస్తుత ఎత్తు")</f>
        <v>ప్రస్తుత ఎత్తు</v>
      </c>
      <c r="BI84" s="3" t="str">
        <f>IFERROR(__xludf.DUMMYFUNCTION("GoogleTranslate(C84, ""en"", ""th"")"),"ระดับความสูงปัจจุบัน")</f>
        <v>ระดับความสูงปัจจุบัน</v>
      </c>
      <c r="BJ84" s="3" t="str">
        <f>IFERROR(__xludf.DUMMYFUNCTION("GoogleTranslate(C84, ""en"", ""tr"")"),"Mevcut yükseklik")</f>
        <v>Mevcut yükseklik</v>
      </c>
      <c r="BK84" s="3" t="str">
        <f>IFERROR(__xludf.DUMMYFUNCTION("GoogleTranslate(C84, ""en"", ""uk"")"),"Поточна висота")</f>
        <v>Поточна висота</v>
      </c>
      <c r="BL84" s="3" t="str">
        <f>IFERROR(__xludf.DUMMYFUNCTION("GoogleTranslate(C84, ""en"", ""zu"")"),"Ukuphakama kwamanje")</f>
        <v>Ukuphakama kwamanje</v>
      </c>
    </row>
    <row r="85">
      <c r="A85" s="1" t="str">
        <f t="shared" si="1"/>
        <v>Current_Azimuth</v>
      </c>
      <c r="B85" s="4" t="s">
        <v>143</v>
      </c>
      <c r="C85" s="1" t="str">
        <f t="shared" si="2"/>
        <v>Current Azimuth</v>
      </c>
      <c r="D85" s="3" t="str">
        <f>IFERROR(__xludf.DUMMYFUNCTION("GoogleTranslate(C85, ""en"", ""es"")"),"Azimut actual")</f>
        <v>Azimut actual</v>
      </c>
      <c r="E85" s="3" t="str">
        <f>IFERROR(__xludf.DUMMYFUNCTION("GoogleTranslate(C85, ""en"", ""ar"")"),"السمت الحالي")</f>
        <v>السمت الحالي</v>
      </c>
      <c r="F85" s="3" t="str">
        <f>IFERROR(__xludf.DUMMYFUNCTION("GoogleTranslate(C85, ""en"", ""hy"")"),"Ընթացիկ ազիմուտ")</f>
        <v>Ընթացիկ ազիմուտ</v>
      </c>
      <c r="G85" s="3" t="str">
        <f>IFERROR(__xludf.DUMMYFUNCTION("GoogleTranslate(C85, ""en"", ""vi"")"),"Phương vị hiện tại")</f>
        <v>Phương vị hiện tại</v>
      </c>
      <c r="H85" s="3" t="str">
        <f>IFERROR(__xludf.DUMMYFUNCTION("GoogleTranslate(C85, ""en"", ""az"")"),"Cari Azimut")</f>
        <v>Cari Azimut</v>
      </c>
      <c r="I85" s="3" t="str">
        <f>IFERROR(__xludf.DUMMYFUNCTION("GoogleTranslate(C85, ""en"", ""eu"")"),"Egungo azimutua")</f>
        <v>Egungo azimutua</v>
      </c>
      <c r="J85" s="3" t="str">
        <f>IFERROR(__xludf.DUMMYFUNCTION("GoogleTranslate(C85, ""en"", ""be"")"),"Бягучы азімут")</f>
        <v>Бягучы азімут</v>
      </c>
      <c r="K85" s="3" t="str">
        <f>IFERROR(__xludf.DUMMYFUNCTION("GoogleTranslate(C85, ""en"", ""bn"")"),"বর্তমান আজিমুথ")</f>
        <v>বর্তমান আজিমুথ</v>
      </c>
      <c r="L85" s="3" t="str">
        <f>IFERROR(__xludf.DUMMYFUNCTION("GoogleTranslate(C85, ""en"", ""bg"")"),"Текущ азимут")</f>
        <v>Текущ азимут</v>
      </c>
      <c r="M85" s="3" t="str">
        <f>IFERROR(__xludf.DUMMYFUNCTION("GoogleTranslate(C85, ""en"", ""my"")"),"လက်ရှိ Azimuth")</f>
        <v>လက်ရှိ Azimuth</v>
      </c>
      <c r="N85" s="3" t="str">
        <f>IFERROR(__xludf.DUMMYFUNCTION("GoogleTranslate(C85, ""en"", ""ca"")"),"Azimut actual")</f>
        <v>Azimut actual</v>
      </c>
      <c r="O85" s="3" t="str">
        <f>IFERROR(__xludf.DUMMYFUNCTION("GoogleTranslate(C85, ""en"", ""zh-cn"")"),"当前方位角")</f>
        <v>当前方位角</v>
      </c>
      <c r="P85" s="3" t="str">
        <f>IFERROR(__xludf.DUMMYFUNCTION("GoogleTranslate(C85, ""en"", ""zh-TW"")"),"當前方位角")</f>
        <v>當前方位角</v>
      </c>
      <c r="Q85" s="3" t="str">
        <f>IFERROR(__xludf.DUMMYFUNCTION("GoogleTranslate(C85, ""en"", ""hr"")"),"Trenutni azimut")</f>
        <v>Trenutni azimut</v>
      </c>
      <c r="R85" s="3" t="str">
        <f>IFERROR(__xludf.DUMMYFUNCTION("GoogleTranslate(C85, ""en"", ""cs"")"),"Aktuální azimut")</f>
        <v>Aktuální azimut</v>
      </c>
      <c r="S85" s="3" t="str">
        <f>IFERROR(__xludf.DUMMYFUNCTION("GoogleTranslate(C85, ""en"", ""da"")"),"Nuværende azimut")</f>
        <v>Nuværende azimut</v>
      </c>
      <c r="T85" s="3" t="str">
        <f>IFERROR(__xludf.DUMMYFUNCTION("GoogleTranslate(C85, ""en"", ""nl"")"),"Huidige Azimut")</f>
        <v>Huidige Azimut</v>
      </c>
      <c r="U85" s="3" t="str">
        <f>IFERROR(__xludf.DUMMYFUNCTION("GoogleTranslate(C85, ""en"", ""et"")"),"Praegune asimuut")</f>
        <v>Praegune asimuut</v>
      </c>
      <c r="V85" s="1" t="str">
        <f t="shared" si="3"/>
        <v>Current Azimuth</v>
      </c>
      <c r="W85" s="3" t="str">
        <f>IFERROR(__xludf.DUMMYFUNCTION("GoogleTranslate(C85, ""en"", ""fi"")"),"Nykyinen atsimuutti")</f>
        <v>Nykyinen atsimuutti</v>
      </c>
      <c r="X85" s="3" t="str">
        <f>IFERROR(__xludf.DUMMYFUNCTION("GoogleTranslate(C85, ""en"", ""fr"")"),"Azimut actuel")</f>
        <v>Azimut actuel</v>
      </c>
      <c r="Y85" s="3" t="str">
        <f>IFERROR(__xludf.DUMMYFUNCTION("GoogleTranslate(C85, ""en"", ""de"")"),"Aktueller Azimut")</f>
        <v>Aktueller Azimut</v>
      </c>
      <c r="Z85" s="3" t="str">
        <f>IFERROR(__xludf.DUMMYFUNCTION("GoogleTranslate(C85, ""en"", ""el"")"),"Τρέχον αζιμούθιο")</f>
        <v>Τρέχον αζιμούθιο</v>
      </c>
      <c r="AA85" s="3" t="str">
        <f>IFERROR(__xludf.DUMMYFUNCTION("GoogleTranslate(C85, ""en"", ""iw"")"),"אזימוט נוכחי")</f>
        <v>אזימוט נוכחי</v>
      </c>
      <c r="AB85" s="3" t="str">
        <f>IFERROR(__xludf.DUMMYFUNCTION("GoogleTranslate(C85, ""en"", ""hi"")"),"वर्तमान अज़ीमुथ")</f>
        <v>वर्तमान अज़ीमुथ</v>
      </c>
      <c r="AC85" s="3" t="str">
        <f>IFERROR(__xludf.DUMMYFUNCTION("GoogleTranslate(C85, ""en"", ""hu"")"),"Jelenlegi azimut")</f>
        <v>Jelenlegi azimut</v>
      </c>
      <c r="AD85" s="3" t="str">
        <f>IFERROR(__xludf.DUMMYFUNCTION("GoogleTranslate(C85, ""en"", ""is"")"),"Núverandi Azimuth")</f>
        <v>Núverandi Azimuth</v>
      </c>
      <c r="AE85" s="3" t="str">
        <f>IFERROR(__xludf.DUMMYFUNCTION("GoogleTranslate(C85, ""en"", ""id"")"),"Azimuth saat ini")</f>
        <v>Azimuth saat ini</v>
      </c>
      <c r="AF85" s="3" t="str">
        <f>IFERROR(__xludf.DUMMYFUNCTION("GoogleTranslate(C85, ""en"", ""in"")"),"Azimuth saat ini")</f>
        <v>Azimuth saat ini</v>
      </c>
      <c r="AG85" s="3" t="str">
        <f>IFERROR(__xludf.DUMMYFUNCTION("GoogleTranslate(C85, ""en"", ""it"")"),"Azimut attuale")</f>
        <v>Azimut attuale</v>
      </c>
      <c r="AH85" s="3" t="str">
        <f>IFERROR(__xludf.DUMMYFUNCTION("GoogleTranslate(C85, ""en"", ""ja"")"),"現在の方位角")</f>
        <v>現在の方位角</v>
      </c>
      <c r="AI85" s="3" t="str">
        <f>IFERROR(__xludf.DUMMYFUNCTION("GoogleTranslate(C85, ""en"", ""kn"")"),"ಪ್ರಸ್ತುತ ಅಜಿಮುತ್")</f>
        <v>ಪ್ರಸ್ತುತ ಅಜಿಮುತ್</v>
      </c>
      <c r="AJ85" s="3" t="str">
        <f>IFERROR(__xludf.DUMMYFUNCTION("GoogleTranslate(C85, ""en"", ""km"")"),"Azimuth បច្ចុប្បន្ន")</f>
        <v>Azimuth បច្ចុប្បន្ន</v>
      </c>
      <c r="AK85" s="3" t="str">
        <f>IFERROR(__xludf.DUMMYFUNCTION("GoogleTranslate(C85, ""en"", ""ko"")"),"현재 방위각")</f>
        <v>현재 방위각</v>
      </c>
      <c r="AL85" s="3" t="str">
        <f>IFERROR(__xludf.DUMMYFUNCTION("GoogleTranslate(C85, ""en"", ""lo"")"),"Azimuth ປະຈຸບັນ")</f>
        <v>Azimuth ປະຈຸບັນ</v>
      </c>
      <c r="AM85" s="3" t="str">
        <f>IFERROR(__xludf.DUMMYFUNCTION("GoogleTranslate(C85, ""en"", ""lv"")"),"Pašreizējais azimuts")</f>
        <v>Pašreizējais azimuts</v>
      </c>
      <c r="AN85" s="3" t="str">
        <f>IFERROR(__xludf.DUMMYFUNCTION("GoogleTranslate(C85, ""en"", ""lt"")"),"Dabartinis azimutas")</f>
        <v>Dabartinis azimutas</v>
      </c>
      <c r="AO85" s="3" t="str">
        <f>IFERROR(__xludf.DUMMYFUNCTION("GoogleTranslate(C85, ""en"", ""mk"")"),"Тековен азимут")</f>
        <v>Тековен азимут</v>
      </c>
      <c r="AP85" s="3" t="str">
        <f>IFERROR(__xludf.DUMMYFUNCTION("GoogleTranslate(C85, ""en"", ""ms"")"),"Azimuth semasa")</f>
        <v>Azimuth semasa</v>
      </c>
      <c r="AQ85" s="3" t="str">
        <f>IFERROR(__xludf.DUMMYFUNCTION("GoogleTranslate(C85, ""en"", ""ml"")"),"നിലവിലെ അസിമുത്ത്")</f>
        <v>നിലവിലെ അസിമുത്ത്</v>
      </c>
      <c r="AR85" s="3" t="str">
        <f>IFERROR(__xludf.DUMMYFUNCTION("GoogleTranslate(C85, ""en"", ""mr"")"),"वर्तमान अजिमथ")</f>
        <v>वर्तमान अजिमथ</v>
      </c>
      <c r="AS85" s="3" t="str">
        <f>IFERROR(__xludf.DUMMYFUNCTION("GoogleTranslate(C85, ""en"", ""mn"")"),"Одоогийн Азимут")</f>
        <v>Одоогийн Азимут</v>
      </c>
      <c r="AT85" s="3" t="str">
        <f>IFERROR(__xludf.DUMMYFUNCTION("GoogleTranslate(C85, ""en"", ""ne"")"),"वर्तमान Azimuth")</f>
        <v>वर्तमान Azimuth</v>
      </c>
      <c r="AU85" s="3" t="str">
        <f>IFERROR(__xludf.DUMMYFUNCTION("GoogleTranslate(C85, ""en"", ""nb"")"),"Nåværende azimut")</f>
        <v>Nåværende azimut</v>
      </c>
      <c r="AV85" s="3" t="str">
        <f>IFERROR(__xludf.DUMMYFUNCTION("GoogleTranslate(C85, ""en"", ""fa"")"),"آزیموت فعلی")</f>
        <v>آزیموت فعلی</v>
      </c>
      <c r="AW85" s="3" t="str">
        <f>IFERROR(__xludf.DUMMYFUNCTION("GoogleTranslate(C85, ""en"", ""pl"")"),"Aktualny azymut")</f>
        <v>Aktualny azymut</v>
      </c>
      <c r="AX85" s="3" t="str">
        <f>IFERROR(__xludf.DUMMYFUNCTION("GoogleTranslate(C85, ""en"", ""pt"")"),"Azimute atual")</f>
        <v>Azimute atual</v>
      </c>
      <c r="AY85" s="3" t="str">
        <f>IFERROR(__xludf.DUMMYFUNCTION("GoogleTranslate(C85, ""en"", ""ro"")"),"Azimut curent")</f>
        <v>Azimut curent</v>
      </c>
      <c r="AZ85" s="3" t="str">
        <f>IFERROR(__xludf.DUMMYFUNCTION("GoogleTranslate(C85, ""en"", ""ru"")"),"Текущий азимут")</f>
        <v>Текущий азимут</v>
      </c>
      <c r="BA85" s="3" t="str">
        <f>IFERROR(__xludf.DUMMYFUNCTION("GoogleTranslate(C85, ""en"", ""sr"")"),"Тренутни азимут")</f>
        <v>Тренутни азимут</v>
      </c>
      <c r="BB85" s="3" t="str">
        <f>IFERROR(__xludf.DUMMYFUNCTION("GoogleTranslate(C85, ""en"", ""si"")"),"වත්මන් අසිමුත්")</f>
        <v>වත්මන් අසිමුත්</v>
      </c>
      <c r="BC85" s="3" t="str">
        <f>IFERROR(__xludf.DUMMYFUNCTION("GoogleTranslate(C85, ""en"", ""sk"")"),"Aktuálny azimut")</f>
        <v>Aktuálny azimut</v>
      </c>
      <c r="BD85" s="3" t="str">
        <f>IFERROR(__xludf.DUMMYFUNCTION("GoogleTranslate(C85, ""en"", ""sl"")"),"Trenutni azimut")</f>
        <v>Trenutni azimut</v>
      </c>
      <c r="BE85" s="3" t="str">
        <f>IFERROR(__xludf.DUMMYFUNCTION("GoogleTranslate(C85, ""en"", ""es"")"),"Azimut actual")</f>
        <v>Azimut actual</v>
      </c>
      <c r="BF85" s="3" t="str">
        <f>IFERROR(__xludf.DUMMYFUNCTION("GoogleTranslate(C85, ""en"", ""sw"")"),"Azimuth ya sasa")</f>
        <v>Azimuth ya sasa</v>
      </c>
      <c r="BG85" s="3" t="str">
        <f>IFERROR(__xludf.DUMMYFUNCTION("GoogleTranslate(C85, ""en"", ""sv"")"),"Nuvarande azimut")</f>
        <v>Nuvarande azimut</v>
      </c>
      <c r="BH85" s="3" t="str">
        <f>IFERROR(__xludf.DUMMYFUNCTION("GoogleTranslate(C85, ""en"", ""te"")"),"ప్రస్తుత అజిముత్")</f>
        <v>ప్రస్తుత అజిముత్</v>
      </c>
      <c r="BI85" s="3" t="str">
        <f>IFERROR(__xludf.DUMMYFUNCTION("GoogleTranslate(C85, ""en"", ""th"")"),"ราบปัจจุบัน")</f>
        <v>ราบปัจจุบัน</v>
      </c>
      <c r="BJ85" s="3" t="str">
        <f>IFERROR(__xludf.DUMMYFUNCTION("GoogleTranslate(C85, ""en"", ""tr"")"),"Mevcut Azimut")</f>
        <v>Mevcut Azimut</v>
      </c>
      <c r="BK85" s="3" t="str">
        <f>IFERROR(__xludf.DUMMYFUNCTION("GoogleTranslate(C85, ""en"", ""uk"")"),"Поточний азимут")</f>
        <v>Поточний азимут</v>
      </c>
      <c r="BL85" s="3" t="str">
        <f>IFERROR(__xludf.DUMMYFUNCTION("GoogleTranslate(C85, ""en"", ""zu"")"),"I-Azimuth yamanje")</f>
        <v>I-Azimuth yamanje</v>
      </c>
    </row>
    <row r="86">
      <c r="A86" s="1" t="str">
        <f t="shared" si="1"/>
        <v>Total_daylight</v>
      </c>
      <c r="B86" s="4" t="s">
        <v>144</v>
      </c>
      <c r="C86" s="1" t="str">
        <f t="shared" si="2"/>
        <v>Total daylight</v>
      </c>
      <c r="D86" s="3" t="str">
        <f>IFERROR(__xludf.DUMMYFUNCTION("GoogleTranslate(C86, ""en"", ""es"")"),"Luz diurna total")</f>
        <v>Luz diurna total</v>
      </c>
      <c r="E86" s="3" t="str">
        <f>IFERROR(__xludf.DUMMYFUNCTION("GoogleTranslate(C86, ""en"", ""ar"")"),"إجمالي ضوء النهار")</f>
        <v>إجمالي ضوء النهار</v>
      </c>
      <c r="F86" s="3" t="str">
        <f>IFERROR(__xludf.DUMMYFUNCTION("GoogleTranslate(C86, ""en"", ""hy"")"),"Ընդհանուր ցերեկային լույս")</f>
        <v>Ընդհանուր ցերեկային լույս</v>
      </c>
      <c r="G86" s="3" t="str">
        <f>IFERROR(__xludf.DUMMYFUNCTION("GoogleTranslate(C86, ""en"", ""vi"")"),"Tổng ánh sáng ban ngày")</f>
        <v>Tổng ánh sáng ban ngày</v>
      </c>
      <c r="H86" s="3" t="str">
        <f>IFERROR(__xludf.DUMMYFUNCTION("GoogleTranslate(C86, ""en"", ""az"")"),"Ümumi gün işığı")</f>
        <v>Ümumi gün işığı</v>
      </c>
      <c r="I86" s="3" t="str">
        <f>IFERROR(__xludf.DUMMYFUNCTION("GoogleTranslate(C86, ""en"", ""eu"")"),"Eguneko argi osoa")</f>
        <v>Eguneko argi osoa</v>
      </c>
      <c r="J86" s="3" t="str">
        <f>IFERROR(__xludf.DUMMYFUNCTION("GoogleTranslate(C86, ""en"", ""be"")"),"Агульны светлавы дзень")</f>
        <v>Агульны светлавы дзень</v>
      </c>
      <c r="K86" s="3" t="str">
        <f>IFERROR(__xludf.DUMMYFUNCTION("GoogleTranslate(C86, ""en"", ""bn"")"),"মোট দিনের আলো")</f>
        <v>মোট দিনের আলো</v>
      </c>
      <c r="L86" s="3" t="str">
        <f>IFERROR(__xludf.DUMMYFUNCTION("GoogleTranslate(C86, ""en"", ""bg"")"),"Пълна дневна светлина")</f>
        <v>Пълна дневна светлина</v>
      </c>
      <c r="M86" s="3" t="str">
        <f>IFERROR(__xludf.DUMMYFUNCTION("GoogleTranslate(C86, ""en"", ""my"")"),"စုစုပေါင်း နေ့အလင်းရောင်")</f>
        <v>စုစုပေါင်း နေ့အလင်းရောင်</v>
      </c>
      <c r="N86" s="3" t="str">
        <f>IFERROR(__xludf.DUMMYFUNCTION("GoogleTranslate(C86, ""en"", ""ca"")"),"Llum diürna total")</f>
        <v>Llum diürna total</v>
      </c>
      <c r="O86" s="3" t="str">
        <f>IFERROR(__xludf.DUMMYFUNCTION("GoogleTranslate(C86, ""en"", ""zh-cn"")"),"总日光")</f>
        <v>总日光</v>
      </c>
      <c r="P86" s="3" t="str">
        <f>IFERROR(__xludf.DUMMYFUNCTION("GoogleTranslate(C86, ""en"", ""zh-TW"")"),"總日光")</f>
        <v>總日光</v>
      </c>
      <c r="Q86" s="3" t="str">
        <f>IFERROR(__xludf.DUMMYFUNCTION("GoogleTranslate(C86, ""en"", ""hr"")"),"Ukupno dnevno svjetlo")</f>
        <v>Ukupno dnevno svjetlo</v>
      </c>
      <c r="R86" s="3" t="str">
        <f>IFERROR(__xludf.DUMMYFUNCTION("GoogleTranslate(C86, ""en"", ""cs"")"),"Úplné denní světlo")</f>
        <v>Úplné denní světlo</v>
      </c>
      <c r="S86" s="3" t="str">
        <f>IFERROR(__xludf.DUMMYFUNCTION("GoogleTranslate(C86, ""en"", ""da"")"),"Total dagslys")</f>
        <v>Total dagslys</v>
      </c>
      <c r="T86" s="3" t="str">
        <f>IFERROR(__xludf.DUMMYFUNCTION("GoogleTranslate(C86, ""en"", ""nl"")"),"Totaal daglicht")</f>
        <v>Totaal daglicht</v>
      </c>
      <c r="U86" s="3" t="str">
        <f>IFERROR(__xludf.DUMMYFUNCTION("GoogleTranslate(C86, ""en"", ""et"")"),"Täielik päevavalgus")</f>
        <v>Täielik päevavalgus</v>
      </c>
      <c r="V86" s="1" t="str">
        <f t="shared" si="3"/>
        <v>Total daylight</v>
      </c>
      <c r="W86" s="3" t="str">
        <f>IFERROR(__xludf.DUMMYFUNCTION("GoogleTranslate(C86, ""en"", ""fi"")"),"Koko päivänvalo")</f>
        <v>Koko päivänvalo</v>
      </c>
      <c r="X86" s="3" t="str">
        <f>IFERROR(__xludf.DUMMYFUNCTION("GoogleTranslate(C86, ""en"", ""fr"")"),"Lumière du jour totale")</f>
        <v>Lumière du jour totale</v>
      </c>
      <c r="Y86" s="3" t="str">
        <f>IFERROR(__xludf.DUMMYFUNCTION("GoogleTranslate(C86, ""en"", ""de"")"),"Totales Tageslicht")</f>
        <v>Totales Tageslicht</v>
      </c>
      <c r="Z86" s="3" t="str">
        <f>IFERROR(__xludf.DUMMYFUNCTION("GoogleTranslate(C86, ""en"", ""el"")"),"Συνολικό φως της ημέρας")</f>
        <v>Συνολικό φως της ημέρας</v>
      </c>
      <c r="AA86" s="3" t="str">
        <f>IFERROR(__xludf.DUMMYFUNCTION("GoogleTranslate(C86, ""en"", ""iw"")"),"אור יום מוחלט")</f>
        <v>אור יום מוחלט</v>
      </c>
      <c r="AB86" s="3" t="str">
        <f>IFERROR(__xludf.DUMMYFUNCTION("GoogleTranslate(C86, ""en"", ""hi"")"),"कुल दिन का प्रकाश")</f>
        <v>कुल दिन का प्रकाश</v>
      </c>
      <c r="AC86" s="3" t="str">
        <f>IFERROR(__xludf.DUMMYFUNCTION("GoogleTranslate(C86, ""en"", ""hu"")"),"Teljes nappali fény")</f>
        <v>Teljes nappali fény</v>
      </c>
      <c r="AD86" s="3" t="str">
        <f>IFERROR(__xludf.DUMMYFUNCTION("GoogleTranslate(C86, ""en"", ""is"")"),"Algjör dagsbirta")</f>
        <v>Algjör dagsbirta</v>
      </c>
      <c r="AE86" s="3" t="str">
        <f>IFERROR(__xludf.DUMMYFUNCTION("GoogleTranslate(C86, ""en"", ""id"")"),"Siang hari total")</f>
        <v>Siang hari total</v>
      </c>
      <c r="AF86" s="3" t="str">
        <f>IFERROR(__xludf.DUMMYFUNCTION("GoogleTranslate(C86, ""en"", ""in"")"),"Siang hari total")</f>
        <v>Siang hari total</v>
      </c>
      <c r="AG86" s="3" t="str">
        <f>IFERROR(__xludf.DUMMYFUNCTION("GoogleTranslate(C86, ""en"", ""it"")"),"Luce del giorno totale")</f>
        <v>Luce del giorno totale</v>
      </c>
      <c r="AH86" s="3" t="str">
        <f>IFERROR(__xludf.DUMMYFUNCTION("GoogleTranslate(C86, ""en"", ""ja"")"),"総昼光量")</f>
        <v>総昼光量</v>
      </c>
      <c r="AI86" s="3" t="str">
        <f>IFERROR(__xludf.DUMMYFUNCTION("GoogleTranslate(C86, ""en"", ""kn"")"),"ಒಟ್ಟು ಹಗಲು")</f>
        <v>ಒಟ್ಟು ಹಗಲು</v>
      </c>
      <c r="AJ86" s="3" t="str">
        <f>IFERROR(__xludf.DUMMYFUNCTION("GoogleTranslate(C86, ""en"", ""km"")"),"ពន្លឺថ្ងៃសរុប")</f>
        <v>ពន្លឺថ្ងៃសរុប</v>
      </c>
      <c r="AK86" s="3" t="str">
        <f>IFERROR(__xludf.DUMMYFUNCTION("GoogleTranslate(C86, ""en"", ""ko"")"),"총 일광")</f>
        <v>총 일광</v>
      </c>
      <c r="AL86" s="3" t="str">
        <f>IFERROR(__xludf.DUMMYFUNCTION("GoogleTranslate(C86, ""en"", ""lo"")"),"ກາງເວັນທັງໝົດ")</f>
        <v>ກາງເວັນທັງໝົດ</v>
      </c>
      <c r="AM86" s="3" t="str">
        <f>IFERROR(__xludf.DUMMYFUNCTION("GoogleTranslate(C86, ""en"", ""lv"")"),"Kopējā dienasgaisma")</f>
        <v>Kopējā dienasgaisma</v>
      </c>
      <c r="AN86" s="3" t="str">
        <f>IFERROR(__xludf.DUMMYFUNCTION("GoogleTranslate(C86, ""en"", ""lt"")"),"Visiška dienos šviesa")</f>
        <v>Visiška dienos šviesa</v>
      </c>
      <c r="AO86" s="3" t="str">
        <f>IFERROR(__xludf.DUMMYFUNCTION("GoogleTranslate(C86, ""en"", ""mk"")"),"Вкупна дневна светлина")</f>
        <v>Вкупна дневна светлина</v>
      </c>
      <c r="AP86" s="3" t="str">
        <f>IFERROR(__xludf.DUMMYFUNCTION("GoogleTranslate(C86, ""en"", ""ms"")"),"Jumlah siang hari")</f>
        <v>Jumlah siang hari</v>
      </c>
      <c r="AQ86" s="3" t="str">
        <f>IFERROR(__xludf.DUMMYFUNCTION("GoogleTranslate(C86, ""en"", ""ml"")"),"ആകെ പകൽ വെളിച്ചം")</f>
        <v>ആകെ പകൽ വെളിച്ചം</v>
      </c>
      <c r="AR86" s="3" t="str">
        <f>IFERROR(__xludf.DUMMYFUNCTION("GoogleTranslate(C86, ""en"", ""mr"")"),"एकूण दिवसाचा प्रकाश")</f>
        <v>एकूण दिवसाचा प्रकाश</v>
      </c>
      <c r="AS86" s="3" t="str">
        <f>IFERROR(__xludf.DUMMYFUNCTION("GoogleTranslate(C86, ""en"", ""mn"")"),"Нийт өдрийн гэрэл")</f>
        <v>Нийт өдрийн гэрэл</v>
      </c>
      <c r="AT86" s="3" t="str">
        <f>IFERROR(__xludf.DUMMYFUNCTION("GoogleTranslate(C86, ""en"", ""ne"")"),"कुल दिनको उज्यालो")</f>
        <v>कुल दिनको उज्यालो</v>
      </c>
      <c r="AU86" s="3" t="str">
        <f>IFERROR(__xludf.DUMMYFUNCTION("GoogleTranslate(C86, ""en"", ""nb"")"),"Totalt dagslys")</f>
        <v>Totalt dagslys</v>
      </c>
      <c r="AV86" s="3" t="str">
        <f>IFERROR(__xludf.DUMMYFUNCTION("GoogleTranslate(C86, ""en"", ""fa"")"),"کل نور روز")</f>
        <v>کل نور روز</v>
      </c>
      <c r="AW86" s="3" t="str">
        <f>IFERROR(__xludf.DUMMYFUNCTION("GoogleTranslate(C86, ""en"", ""pl"")"),"Całkowite światło dzienne")</f>
        <v>Całkowite światło dzienne</v>
      </c>
      <c r="AX86" s="3" t="str">
        <f>IFERROR(__xludf.DUMMYFUNCTION("GoogleTranslate(C86, ""en"", ""pt"")"),"Luz do dia total")</f>
        <v>Luz do dia total</v>
      </c>
      <c r="AY86" s="3" t="str">
        <f>IFERROR(__xludf.DUMMYFUNCTION("GoogleTranslate(C86, ""en"", ""ro"")"),"Lumina zilei totala")</f>
        <v>Lumina zilei totala</v>
      </c>
      <c r="AZ86" s="3" t="str">
        <f>IFERROR(__xludf.DUMMYFUNCTION("GoogleTranslate(C86, ""en"", ""ru"")"),"Общий дневной свет")</f>
        <v>Общий дневной свет</v>
      </c>
      <c r="BA86" s="3" t="str">
        <f>IFERROR(__xludf.DUMMYFUNCTION("GoogleTranslate(C86, ""en"", ""sr"")"),"Укупна дневна светлост")</f>
        <v>Укупна дневна светлост</v>
      </c>
      <c r="BB86" s="3" t="str">
        <f>IFERROR(__xludf.DUMMYFUNCTION("GoogleTranslate(C86, ""en"", ""si"")"),"මුළු දිවා ආලෝකය")</f>
        <v>මුළු දිවා ආලෝකය</v>
      </c>
      <c r="BC86" s="3" t="str">
        <f>IFERROR(__xludf.DUMMYFUNCTION("GoogleTranslate(C86, ""en"", ""sk"")"),"Úplné denné svetlo")</f>
        <v>Úplné denné svetlo</v>
      </c>
      <c r="BD86" s="3" t="str">
        <f>IFERROR(__xludf.DUMMYFUNCTION("GoogleTranslate(C86, ""en"", ""sl"")"),"Popolna dnevna svetloba")</f>
        <v>Popolna dnevna svetloba</v>
      </c>
      <c r="BE86" s="3" t="str">
        <f>IFERROR(__xludf.DUMMYFUNCTION("GoogleTranslate(C86, ""en"", ""es"")"),"Luz diurna total")</f>
        <v>Luz diurna total</v>
      </c>
      <c r="BF86" s="3" t="str">
        <f>IFERROR(__xludf.DUMMYFUNCTION("GoogleTranslate(C86, ""en"", ""sw"")"),"Jumla ya mchana")</f>
        <v>Jumla ya mchana</v>
      </c>
      <c r="BG86" s="3" t="str">
        <f>IFERROR(__xludf.DUMMYFUNCTION("GoogleTranslate(C86, ""en"", ""sv"")"),"Totalt dagsljus")</f>
        <v>Totalt dagsljus</v>
      </c>
      <c r="BH86" s="3" t="str">
        <f>IFERROR(__xludf.DUMMYFUNCTION("GoogleTranslate(C86, ""en"", ""te"")"),"మొత్తం పగటి వెలుతురు")</f>
        <v>మొత్తం పగటి వెలుతురు</v>
      </c>
      <c r="BI86" s="3" t="str">
        <f>IFERROR(__xludf.DUMMYFUNCTION("GoogleTranslate(C86, ""en"", ""th"")"),"แสงสว่างรวม")</f>
        <v>แสงสว่างรวม</v>
      </c>
      <c r="BJ86" s="3" t="str">
        <f>IFERROR(__xludf.DUMMYFUNCTION("GoogleTranslate(C86, ""en"", ""tr"")"),"Toplam gün ışığı")</f>
        <v>Toplam gün ışığı</v>
      </c>
      <c r="BK86" s="3" t="str">
        <f>IFERROR(__xludf.DUMMYFUNCTION("GoogleTranslate(C86, ""en"", ""uk"")"),"Загальний світловий день")</f>
        <v>Загальний світловий день</v>
      </c>
      <c r="BL86" s="3" t="str">
        <f>IFERROR(__xludf.DUMMYFUNCTION("GoogleTranslate(C86, ""en"", ""zu"")"),"Ukukhanya kwemini okuphelele")</f>
        <v>Ukukhanya kwemini okuphelele</v>
      </c>
    </row>
    <row r="87">
      <c r="A87" s="1" t="str">
        <f t="shared" si="1"/>
        <v>hours</v>
      </c>
      <c r="B87" s="4" t="s">
        <v>145</v>
      </c>
      <c r="C87" s="1" t="str">
        <f t="shared" si="2"/>
        <v>hours</v>
      </c>
      <c r="D87" s="3" t="str">
        <f>IFERROR(__xludf.DUMMYFUNCTION("GoogleTranslate(C87, ""en"", ""es"")"),"horas")</f>
        <v>horas</v>
      </c>
      <c r="E87" s="3" t="str">
        <f>IFERROR(__xludf.DUMMYFUNCTION("GoogleTranslate(C87, ""en"", ""ar"")"),"ساعات")</f>
        <v>ساعات</v>
      </c>
      <c r="F87" s="3" t="str">
        <f>IFERROR(__xludf.DUMMYFUNCTION("GoogleTranslate(C87, ""en"", ""hy"")"),"ժամեր")</f>
        <v>ժամեր</v>
      </c>
      <c r="G87" s="3" t="str">
        <f>IFERROR(__xludf.DUMMYFUNCTION("GoogleTranslate(C87, ""en"", ""vi"")"),"giờ")</f>
        <v>giờ</v>
      </c>
      <c r="H87" s="3" t="str">
        <f>IFERROR(__xludf.DUMMYFUNCTION("GoogleTranslate(C87, ""en"", ""az"")"),"saat")</f>
        <v>saat</v>
      </c>
      <c r="I87" s="3" t="str">
        <f>IFERROR(__xludf.DUMMYFUNCTION("GoogleTranslate(C87, ""en"", ""eu"")"),"orduak")</f>
        <v>orduak</v>
      </c>
      <c r="J87" s="3" t="str">
        <f>IFERROR(__xludf.DUMMYFUNCTION("GoogleTranslate(C87, ""en"", ""be"")"),"гадзіны")</f>
        <v>гадзіны</v>
      </c>
      <c r="K87" s="3" t="str">
        <f>IFERROR(__xludf.DUMMYFUNCTION("GoogleTranslate(C87, ""en"", ""bn"")"),"ঘন্টা")</f>
        <v>ঘন্টা</v>
      </c>
      <c r="L87" s="3" t="str">
        <f>IFERROR(__xludf.DUMMYFUNCTION("GoogleTranslate(C87, ""en"", ""bg"")"),"часове")</f>
        <v>часове</v>
      </c>
      <c r="M87" s="3" t="str">
        <f>IFERROR(__xludf.DUMMYFUNCTION("GoogleTranslate(C87, ""en"", ""my"")"),"နာရီ")</f>
        <v>နာရီ</v>
      </c>
      <c r="N87" s="3" t="str">
        <f>IFERROR(__xludf.DUMMYFUNCTION("GoogleTranslate(C87, ""en"", ""ca"")"),"hores")</f>
        <v>hores</v>
      </c>
      <c r="O87" s="3" t="str">
        <f>IFERROR(__xludf.DUMMYFUNCTION("GoogleTranslate(C87, ""en"", ""zh-cn"")"),"小时")</f>
        <v>小时</v>
      </c>
      <c r="P87" s="3" t="str">
        <f>IFERROR(__xludf.DUMMYFUNCTION("GoogleTranslate(C87, ""en"", ""zh-TW"")"),"小時")</f>
        <v>小時</v>
      </c>
      <c r="Q87" s="3" t="str">
        <f>IFERROR(__xludf.DUMMYFUNCTION("GoogleTranslate(C87, ""en"", ""hr"")"),"sati")</f>
        <v>sati</v>
      </c>
      <c r="R87" s="3" t="str">
        <f>IFERROR(__xludf.DUMMYFUNCTION("GoogleTranslate(C87, ""en"", ""cs"")"),"hodin")</f>
        <v>hodin</v>
      </c>
      <c r="S87" s="3" t="str">
        <f>IFERROR(__xludf.DUMMYFUNCTION("GoogleTranslate(C87, ""en"", ""da"")"),"timer")</f>
        <v>timer</v>
      </c>
      <c r="T87" s="3" t="str">
        <f>IFERROR(__xludf.DUMMYFUNCTION("GoogleTranslate(C87, ""en"", ""nl"")"),"uur")</f>
        <v>uur</v>
      </c>
      <c r="U87" s="3" t="str">
        <f>IFERROR(__xludf.DUMMYFUNCTION("GoogleTranslate(C87, ""en"", ""et"")"),"tundi")</f>
        <v>tundi</v>
      </c>
      <c r="V87" s="1" t="str">
        <f t="shared" si="3"/>
        <v>hours</v>
      </c>
      <c r="W87" s="3" t="str">
        <f>IFERROR(__xludf.DUMMYFUNCTION("GoogleTranslate(C87, ""en"", ""fi"")"),"tuntia")</f>
        <v>tuntia</v>
      </c>
      <c r="X87" s="3" t="str">
        <f>IFERROR(__xludf.DUMMYFUNCTION("GoogleTranslate(C87, ""en"", ""fr"")"),"heures")</f>
        <v>heures</v>
      </c>
      <c r="Y87" s="3" t="str">
        <f>IFERROR(__xludf.DUMMYFUNCTION("GoogleTranslate(C87, ""en"", ""de"")"),"Std.")</f>
        <v>Std.</v>
      </c>
      <c r="Z87" s="3" t="str">
        <f>IFERROR(__xludf.DUMMYFUNCTION("GoogleTranslate(C87, ""en"", ""el"")"),"ώρες")</f>
        <v>ώρες</v>
      </c>
      <c r="AA87" s="3" t="str">
        <f>IFERROR(__xludf.DUMMYFUNCTION("GoogleTranslate(C87, ""en"", ""iw"")"),"שעות")</f>
        <v>שעות</v>
      </c>
      <c r="AB87" s="3" t="str">
        <f>IFERROR(__xludf.DUMMYFUNCTION("GoogleTranslate(C87, ""en"", ""hi"")"),"घंटे")</f>
        <v>घंटे</v>
      </c>
      <c r="AC87" s="3" t="str">
        <f>IFERROR(__xludf.DUMMYFUNCTION("GoogleTranslate(C87, ""en"", ""hu"")"),"óra")</f>
        <v>óra</v>
      </c>
      <c r="AD87" s="3" t="str">
        <f>IFERROR(__xludf.DUMMYFUNCTION("GoogleTranslate(C87, ""en"", ""is"")"),"klukkustundir")</f>
        <v>klukkustundir</v>
      </c>
      <c r="AE87" s="3" t="str">
        <f>IFERROR(__xludf.DUMMYFUNCTION("GoogleTranslate(C87, ""en"", ""id"")"),"jam")</f>
        <v>jam</v>
      </c>
      <c r="AF87" s="3" t="str">
        <f>IFERROR(__xludf.DUMMYFUNCTION("GoogleTranslate(C87, ""en"", ""in"")"),"jam")</f>
        <v>jam</v>
      </c>
      <c r="AG87" s="3" t="str">
        <f>IFERROR(__xludf.DUMMYFUNCTION("GoogleTranslate(C87, ""en"", ""it"")"),"ore")</f>
        <v>ore</v>
      </c>
      <c r="AH87" s="3" t="str">
        <f>IFERROR(__xludf.DUMMYFUNCTION("GoogleTranslate(C87, ""en"", ""ja"")"),"時間")</f>
        <v>時間</v>
      </c>
      <c r="AI87" s="3" t="str">
        <f>IFERROR(__xludf.DUMMYFUNCTION("GoogleTranslate(C87, ""en"", ""kn"")"),"ಗಂಟೆಗಳು")</f>
        <v>ಗಂಟೆಗಳು</v>
      </c>
      <c r="AJ87" s="3" t="str">
        <f>IFERROR(__xludf.DUMMYFUNCTION("GoogleTranslate(C87, ""en"", ""km"")"),"ម៉ោង")</f>
        <v>ម៉ោង</v>
      </c>
      <c r="AK87" s="3" t="str">
        <f>IFERROR(__xludf.DUMMYFUNCTION("GoogleTranslate(C87, ""en"", ""ko"")"),"시간")</f>
        <v>시간</v>
      </c>
      <c r="AL87" s="3" t="str">
        <f>IFERROR(__xludf.DUMMYFUNCTION("GoogleTranslate(C87, ""en"", ""lo"")"),"ຊົ່ວໂມງ")</f>
        <v>ຊົ່ວໂມງ</v>
      </c>
      <c r="AM87" s="3" t="str">
        <f>IFERROR(__xludf.DUMMYFUNCTION("GoogleTranslate(C87, ""en"", ""lv"")"),"stundas")</f>
        <v>stundas</v>
      </c>
      <c r="AN87" s="3" t="str">
        <f>IFERROR(__xludf.DUMMYFUNCTION("GoogleTranslate(C87, ""en"", ""lt"")"),"valandų")</f>
        <v>valandų</v>
      </c>
      <c r="AO87" s="3" t="str">
        <f>IFERROR(__xludf.DUMMYFUNCTION("GoogleTranslate(C87, ""en"", ""mk"")"),"часови")</f>
        <v>часови</v>
      </c>
      <c r="AP87" s="3" t="str">
        <f>IFERROR(__xludf.DUMMYFUNCTION("GoogleTranslate(C87, ""en"", ""ms"")"),"jam")</f>
        <v>jam</v>
      </c>
      <c r="AQ87" s="3" t="str">
        <f>IFERROR(__xludf.DUMMYFUNCTION("GoogleTranslate(C87, ""en"", ""ml"")"),"മണിക്കൂറുകൾ")</f>
        <v>മണിക്കൂറുകൾ</v>
      </c>
      <c r="AR87" s="3" t="str">
        <f>IFERROR(__xludf.DUMMYFUNCTION("GoogleTranslate(C87, ""en"", ""mr"")"),"तास")</f>
        <v>तास</v>
      </c>
      <c r="AS87" s="3" t="str">
        <f>IFERROR(__xludf.DUMMYFUNCTION("GoogleTranslate(C87, ""en"", ""mn"")"),"цаг")</f>
        <v>цаг</v>
      </c>
      <c r="AT87" s="3" t="str">
        <f>IFERROR(__xludf.DUMMYFUNCTION("GoogleTranslate(C87, ""en"", ""ne"")"),"घण्टा")</f>
        <v>घण्टा</v>
      </c>
      <c r="AU87" s="3" t="str">
        <f>IFERROR(__xludf.DUMMYFUNCTION("GoogleTranslate(C87, ""en"", ""nb"")"),"timer")</f>
        <v>timer</v>
      </c>
      <c r="AV87" s="3" t="str">
        <f>IFERROR(__xludf.DUMMYFUNCTION("GoogleTranslate(C87, ""en"", ""fa"")"),"ساعت")</f>
        <v>ساعت</v>
      </c>
      <c r="AW87" s="3" t="str">
        <f>IFERROR(__xludf.DUMMYFUNCTION("GoogleTranslate(C87, ""en"", ""pl"")"),"godziny")</f>
        <v>godziny</v>
      </c>
      <c r="AX87" s="3" t="str">
        <f>IFERROR(__xludf.DUMMYFUNCTION("GoogleTranslate(C87, ""en"", ""pt"")"),"horas")</f>
        <v>horas</v>
      </c>
      <c r="AY87" s="3" t="str">
        <f>IFERROR(__xludf.DUMMYFUNCTION("GoogleTranslate(C87, ""en"", ""ro"")"),"ore")</f>
        <v>ore</v>
      </c>
      <c r="AZ87" s="3" t="str">
        <f>IFERROR(__xludf.DUMMYFUNCTION("GoogleTranslate(C87, ""en"", ""ru"")"),"часы")</f>
        <v>часы</v>
      </c>
      <c r="BA87" s="3" t="str">
        <f>IFERROR(__xludf.DUMMYFUNCTION("GoogleTranslate(C87, ""en"", ""sr"")"),"сати")</f>
        <v>сати</v>
      </c>
      <c r="BB87" s="3" t="str">
        <f>IFERROR(__xludf.DUMMYFUNCTION("GoogleTranslate(C87, ""en"", ""si"")"),"පැය")</f>
        <v>පැය</v>
      </c>
      <c r="BC87" s="3" t="str">
        <f>IFERROR(__xludf.DUMMYFUNCTION("GoogleTranslate(C87, ""en"", ""sk"")"),"hodiny")</f>
        <v>hodiny</v>
      </c>
      <c r="BD87" s="3" t="str">
        <f>IFERROR(__xludf.DUMMYFUNCTION("GoogleTranslate(C87, ""en"", ""sl"")"),"ure")</f>
        <v>ure</v>
      </c>
      <c r="BE87" s="3" t="str">
        <f>IFERROR(__xludf.DUMMYFUNCTION("GoogleTranslate(C87, ""en"", ""es"")"),"horas")</f>
        <v>horas</v>
      </c>
      <c r="BF87" s="3" t="str">
        <f>IFERROR(__xludf.DUMMYFUNCTION("GoogleTranslate(C87, ""en"", ""sw"")"),"masaa")</f>
        <v>masaa</v>
      </c>
      <c r="BG87" s="3" t="str">
        <f>IFERROR(__xludf.DUMMYFUNCTION("GoogleTranslate(C87, ""en"", ""sv"")"),"timmar")</f>
        <v>timmar</v>
      </c>
      <c r="BH87" s="3" t="str">
        <f>IFERROR(__xludf.DUMMYFUNCTION("GoogleTranslate(C87, ""en"", ""te"")"),"గంటలు")</f>
        <v>గంటలు</v>
      </c>
      <c r="BI87" s="3" t="str">
        <f>IFERROR(__xludf.DUMMYFUNCTION("GoogleTranslate(C87, ""en"", ""th"")"),"ชั่วโมง")</f>
        <v>ชั่วโมง</v>
      </c>
      <c r="BJ87" s="3" t="str">
        <f>IFERROR(__xludf.DUMMYFUNCTION("GoogleTranslate(C87, ""en"", ""tr"")"),"saat")</f>
        <v>saat</v>
      </c>
      <c r="BK87" s="3" t="str">
        <f>IFERROR(__xludf.DUMMYFUNCTION("GoogleTranslate(C87, ""en"", ""uk"")"),"години")</f>
        <v>години</v>
      </c>
      <c r="BL87" s="3" t="str">
        <f>IFERROR(__xludf.DUMMYFUNCTION("GoogleTranslate(C87, ""en"", ""zu"")"),"amahora")</f>
        <v>amahora</v>
      </c>
    </row>
    <row r="88">
      <c r="A88" s="1" t="str">
        <f t="shared" si="1"/>
        <v>minute</v>
      </c>
      <c r="B88" s="4" t="s">
        <v>146</v>
      </c>
      <c r="C88" s="1" t="str">
        <f t="shared" si="2"/>
        <v>minute</v>
      </c>
      <c r="D88" s="3" t="str">
        <f>IFERROR(__xludf.DUMMYFUNCTION("GoogleTranslate(C88, ""en"", ""es"")"),"minuto")</f>
        <v>minuto</v>
      </c>
      <c r="E88" s="3" t="str">
        <f>IFERROR(__xludf.DUMMYFUNCTION("GoogleTranslate(C88, ""en"", ""ar"")"),"دقيقة")</f>
        <v>دقيقة</v>
      </c>
      <c r="F88" s="3" t="str">
        <f>IFERROR(__xludf.DUMMYFUNCTION("GoogleTranslate(C88, ""en"", ""hy"")"),"րոպե")</f>
        <v>րոպե</v>
      </c>
      <c r="G88" s="3" t="str">
        <f>IFERROR(__xludf.DUMMYFUNCTION("GoogleTranslate(C88, ""en"", ""vi"")"),"phút")</f>
        <v>phút</v>
      </c>
      <c r="H88" s="3" t="str">
        <f>IFERROR(__xludf.DUMMYFUNCTION("GoogleTranslate(C88, ""en"", ""az"")"),"dəqiqə")</f>
        <v>dəqiqə</v>
      </c>
      <c r="I88" s="3" t="str">
        <f>IFERROR(__xludf.DUMMYFUNCTION("GoogleTranslate(C88, ""en"", ""eu"")"),"minutua")</f>
        <v>minutua</v>
      </c>
      <c r="J88" s="3" t="str">
        <f>IFERROR(__xludf.DUMMYFUNCTION("GoogleTranslate(C88, ""en"", ""be"")"),"хвіліна")</f>
        <v>хвіліна</v>
      </c>
      <c r="K88" s="3" t="str">
        <f>IFERROR(__xludf.DUMMYFUNCTION("GoogleTranslate(C88, ""en"", ""bn"")"),"মিনিট")</f>
        <v>মিনিট</v>
      </c>
      <c r="L88" s="3" t="str">
        <f>IFERROR(__xludf.DUMMYFUNCTION("GoogleTranslate(C88, ""en"", ""bg"")"),"минута")</f>
        <v>минута</v>
      </c>
      <c r="M88" s="3" t="str">
        <f>IFERROR(__xludf.DUMMYFUNCTION("GoogleTranslate(C88, ""en"", ""my"")"),"မိနစ်")</f>
        <v>မိနစ်</v>
      </c>
      <c r="N88" s="3" t="str">
        <f>IFERROR(__xludf.DUMMYFUNCTION("GoogleTranslate(C88, ""en"", ""ca"")"),"minut")</f>
        <v>minut</v>
      </c>
      <c r="O88" s="3" t="str">
        <f>IFERROR(__xludf.DUMMYFUNCTION("GoogleTranslate(C88, ""en"", ""zh-cn"")"),"分钟")</f>
        <v>分钟</v>
      </c>
      <c r="P88" s="3" t="str">
        <f>IFERROR(__xludf.DUMMYFUNCTION("GoogleTranslate(C88, ""en"", ""zh-TW"")"),"分分鐘")</f>
        <v>分分鐘</v>
      </c>
      <c r="Q88" s="3" t="str">
        <f>IFERROR(__xludf.DUMMYFUNCTION("GoogleTranslate(C88, ""en"", ""hr"")"),"minuta")</f>
        <v>minuta</v>
      </c>
      <c r="R88" s="3" t="str">
        <f>IFERROR(__xludf.DUMMYFUNCTION("GoogleTranslate(C88, ""en"", ""cs"")"),"minuta")</f>
        <v>minuta</v>
      </c>
      <c r="S88" s="3" t="str">
        <f>IFERROR(__xludf.DUMMYFUNCTION("GoogleTranslate(C88, ""en"", ""da"")"),"minut")</f>
        <v>minut</v>
      </c>
      <c r="T88" s="3" t="str">
        <f>IFERROR(__xludf.DUMMYFUNCTION("GoogleTranslate(C88, ""en"", ""nl"")"),"minuut")</f>
        <v>minuut</v>
      </c>
      <c r="U88" s="3" t="str">
        <f>IFERROR(__xludf.DUMMYFUNCTION("GoogleTranslate(C88, ""en"", ""et"")"),"minut")</f>
        <v>minut</v>
      </c>
      <c r="V88" s="1" t="str">
        <f t="shared" si="3"/>
        <v>minute</v>
      </c>
      <c r="W88" s="3" t="str">
        <f>IFERROR(__xludf.DUMMYFUNCTION("GoogleTranslate(C88, ""en"", ""fi"")"),"minuutti")</f>
        <v>minuutti</v>
      </c>
      <c r="X88" s="3" t="str">
        <f>IFERROR(__xludf.DUMMYFUNCTION("GoogleTranslate(C88, ""en"", ""fr"")"),"minute")</f>
        <v>minute</v>
      </c>
      <c r="Y88" s="3" t="str">
        <f>IFERROR(__xludf.DUMMYFUNCTION("GoogleTranslate(C88, ""en"", ""de"")"),"Minute")</f>
        <v>Minute</v>
      </c>
      <c r="Z88" s="3" t="str">
        <f>IFERROR(__xludf.DUMMYFUNCTION("GoogleTranslate(C88, ""en"", ""el"")"),"λεπτό")</f>
        <v>λεπτό</v>
      </c>
      <c r="AA88" s="3" t="str">
        <f>IFERROR(__xludf.DUMMYFUNCTION("GoogleTranslate(C88, ""en"", ""iw"")"),"דַקָה")</f>
        <v>דַקָה</v>
      </c>
      <c r="AB88" s="3" t="str">
        <f>IFERROR(__xludf.DUMMYFUNCTION("GoogleTranslate(C88, ""en"", ""hi"")"),"मिनट")</f>
        <v>मिनट</v>
      </c>
      <c r="AC88" s="3" t="str">
        <f>IFERROR(__xludf.DUMMYFUNCTION("GoogleTranslate(C88, ""en"", ""hu"")"),"perc")</f>
        <v>perc</v>
      </c>
      <c r="AD88" s="3" t="str">
        <f>IFERROR(__xludf.DUMMYFUNCTION("GoogleTranslate(C88, ""en"", ""is"")"),"mínútu")</f>
        <v>mínútu</v>
      </c>
      <c r="AE88" s="3" t="str">
        <f>IFERROR(__xludf.DUMMYFUNCTION("GoogleTranslate(C88, ""en"", ""id"")"),"menit")</f>
        <v>menit</v>
      </c>
      <c r="AF88" s="3" t="str">
        <f>IFERROR(__xludf.DUMMYFUNCTION("GoogleTranslate(C88, ""en"", ""in"")"),"menit")</f>
        <v>menit</v>
      </c>
      <c r="AG88" s="3" t="str">
        <f>IFERROR(__xludf.DUMMYFUNCTION("GoogleTranslate(C88, ""en"", ""it"")"),"minuto")</f>
        <v>minuto</v>
      </c>
      <c r="AH88" s="3" t="str">
        <f>IFERROR(__xludf.DUMMYFUNCTION("GoogleTranslate(C88, ""en"", ""ja"")"),"分")</f>
        <v>分</v>
      </c>
      <c r="AI88" s="3" t="str">
        <f>IFERROR(__xludf.DUMMYFUNCTION("GoogleTranslate(C88, ""en"", ""kn"")"),"ನಿಮಿಷ")</f>
        <v>ನಿಮಿಷ</v>
      </c>
      <c r="AJ88" s="3" t="str">
        <f>IFERROR(__xludf.DUMMYFUNCTION("GoogleTranslate(C88, ""en"", ""km"")"),"នាទី")</f>
        <v>នាទី</v>
      </c>
      <c r="AK88" s="3" t="str">
        <f>IFERROR(__xludf.DUMMYFUNCTION("GoogleTranslate(C88, ""en"", ""ko"")"),"분")</f>
        <v>분</v>
      </c>
      <c r="AL88" s="3" t="str">
        <f>IFERROR(__xludf.DUMMYFUNCTION("GoogleTranslate(C88, ""en"", ""lo"")"),"ນາທີ")</f>
        <v>ນາທີ</v>
      </c>
      <c r="AM88" s="3" t="str">
        <f>IFERROR(__xludf.DUMMYFUNCTION("GoogleTranslate(C88, ""en"", ""lv"")"),"minūte")</f>
        <v>minūte</v>
      </c>
      <c r="AN88" s="3" t="str">
        <f>IFERROR(__xludf.DUMMYFUNCTION("GoogleTranslate(C88, ""en"", ""lt"")"),"minutę")</f>
        <v>minutę</v>
      </c>
      <c r="AO88" s="3" t="str">
        <f>IFERROR(__xludf.DUMMYFUNCTION("GoogleTranslate(C88, ""en"", ""mk"")"),"минута")</f>
        <v>минута</v>
      </c>
      <c r="AP88" s="3" t="str">
        <f>IFERROR(__xludf.DUMMYFUNCTION("GoogleTranslate(C88, ""en"", ""ms"")"),"minit")</f>
        <v>minit</v>
      </c>
      <c r="AQ88" s="3" t="str">
        <f>IFERROR(__xludf.DUMMYFUNCTION("GoogleTranslate(C88, ""en"", ""ml"")"),"മിനിറ്റ്")</f>
        <v>മിനിറ്റ്</v>
      </c>
      <c r="AR88" s="3" t="str">
        <f>IFERROR(__xludf.DUMMYFUNCTION("GoogleTranslate(C88, ""en"", ""mr"")"),"मिनिट")</f>
        <v>मिनिट</v>
      </c>
      <c r="AS88" s="3" t="str">
        <f>IFERROR(__xludf.DUMMYFUNCTION("GoogleTranslate(C88, ""en"", ""mn"")"),"минут")</f>
        <v>минут</v>
      </c>
      <c r="AT88" s="3" t="str">
        <f>IFERROR(__xludf.DUMMYFUNCTION("GoogleTranslate(C88, ""en"", ""ne"")"),"मिनेट")</f>
        <v>मिनेट</v>
      </c>
      <c r="AU88" s="3" t="str">
        <f>IFERROR(__xludf.DUMMYFUNCTION("GoogleTranslate(C88, ""en"", ""nb"")"),"minutt")</f>
        <v>minutt</v>
      </c>
      <c r="AV88" s="3" t="str">
        <f>IFERROR(__xludf.DUMMYFUNCTION("GoogleTranslate(C88, ""en"", ""fa"")"),"دقیقه")</f>
        <v>دقیقه</v>
      </c>
      <c r="AW88" s="3" t="str">
        <f>IFERROR(__xludf.DUMMYFUNCTION("GoogleTranslate(C88, ""en"", ""pl"")"),"chwila")</f>
        <v>chwila</v>
      </c>
      <c r="AX88" s="3" t="str">
        <f>IFERROR(__xludf.DUMMYFUNCTION("GoogleTranslate(C88, ""en"", ""pt"")"),"minuto")</f>
        <v>minuto</v>
      </c>
      <c r="AY88" s="3" t="str">
        <f>IFERROR(__xludf.DUMMYFUNCTION("GoogleTranslate(C88, ""en"", ""ro"")"),"minut")</f>
        <v>minut</v>
      </c>
      <c r="AZ88" s="3" t="str">
        <f>IFERROR(__xludf.DUMMYFUNCTION("GoogleTranslate(C88, ""en"", ""ru"")"),"минута")</f>
        <v>минута</v>
      </c>
      <c r="BA88" s="3" t="str">
        <f>IFERROR(__xludf.DUMMYFUNCTION("GoogleTranslate(C88, ""en"", ""sr"")"),"минут")</f>
        <v>минут</v>
      </c>
      <c r="BB88" s="3" t="str">
        <f>IFERROR(__xludf.DUMMYFUNCTION("GoogleTranslate(C88, ""en"", ""si"")"),"මිනිත්තුව")</f>
        <v>මිනිත්තුව</v>
      </c>
      <c r="BC88" s="3" t="str">
        <f>IFERROR(__xludf.DUMMYFUNCTION("GoogleTranslate(C88, ""en"", ""sk"")"),"minútu")</f>
        <v>minútu</v>
      </c>
      <c r="BD88" s="3" t="str">
        <f>IFERROR(__xludf.DUMMYFUNCTION("GoogleTranslate(C88, ""en"", ""sl"")"),"minuta")</f>
        <v>minuta</v>
      </c>
      <c r="BE88" s="3" t="str">
        <f>IFERROR(__xludf.DUMMYFUNCTION("GoogleTranslate(C88, ""en"", ""es"")"),"minuto")</f>
        <v>minuto</v>
      </c>
      <c r="BF88" s="3" t="str">
        <f>IFERROR(__xludf.DUMMYFUNCTION("GoogleTranslate(C88, ""en"", ""sw"")"),"dakika")</f>
        <v>dakika</v>
      </c>
      <c r="BG88" s="3" t="str">
        <f>IFERROR(__xludf.DUMMYFUNCTION("GoogleTranslate(C88, ""en"", ""sv"")"),"minut")</f>
        <v>minut</v>
      </c>
      <c r="BH88" s="3" t="str">
        <f>IFERROR(__xludf.DUMMYFUNCTION("GoogleTranslate(C88, ""en"", ""te"")"),"నిమిషం")</f>
        <v>నిమిషం</v>
      </c>
      <c r="BI88" s="3" t="str">
        <f>IFERROR(__xludf.DUMMYFUNCTION("GoogleTranslate(C88, ""en"", ""th"")"),"นาที")</f>
        <v>นาที</v>
      </c>
      <c r="BJ88" s="3" t="str">
        <f>IFERROR(__xludf.DUMMYFUNCTION("GoogleTranslate(C88, ""en"", ""tr"")"),"dakika")</f>
        <v>dakika</v>
      </c>
      <c r="BK88" s="3" t="str">
        <f>IFERROR(__xludf.DUMMYFUNCTION("GoogleTranslate(C88, ""en"", ""uk"")"),"хвилина")</f>
        <v>хвилина</v>
      </c>
      <c r="BL88" s="3" t="str">
        <f>IFERROR(__xludf.DUMMYFUNCTION("GoogleTranslate(C88, ""en"", ""zu"")"),"umzuzu")</f>
        <v>umzuzu</v>
      </c>
    </row>
    <row r="89">
      <c r="A89" s="1" t="str">
        <f t="shared" si="1"/>
        <v>Total_in_the_next_{number}_hours</v>
      </c>
      <c r="B89" s="4" t="s">
        <v>147</v>
      </c>
      <c r="C89" s="1" t="str">
        <f t="shared" si="2"/>
        <v>Total in the next {number} hours</v>
      </c>
      <c r="D89" s="3" t="str">
        <f>IFERROR(__xludf.DUMMYFUNCTION("GoogleTranslate(C89, ""en"", ""es"")"),"Total en las próximas {número} horas")</f>
        <v>Total en las próximas {número} horas</v>
      </c>
      <c r="E89" s="3" t="str">
        <f>IFERROR(__xludf.DUMMYFUNCTION("GoogleTranslate(C89, ""en"", ""ar"")"),"الإجمالي خلال الـ {number} من الساعات القادمة")</f>
        <v>الإجمالي خلال الـ {number} من الساعات القادمة</v>
      </c>
      <c r="F89" s="3" t="str">
        <f>IFERROR(__xludf.DUMMYFUNCTION("GoogleTranslate(C89, ""en"", ""hy"")"),"Ընդհանուր հաջորդ {թիվ} ժամվա ընթացքում")</f>
        <v>Ընդհանուր հաջորդ {թիվ} ժամվա ընթացքում</v>
      </c>
      <c r="G89" s="3" t="str">
        <f>IFERROR(__xludf.DUMMYFUNCTION("GoogleTranslate(C89, ""en"", ""vi"")"),"Tổng cộng trong {number} giờ tới")</f>
        <v>Tổng cộng trong {number} giờ tới</v>
      </c>
      <c r="H89" s="3" t="str">
        <f>IFERROR(__xludf.DUMMYFUNCTION("GoogleTranslate(C89, ""en"", ""az"")"),"Növbəti {number} saat ərzində cəmi")</f>
        <v>Növbəti {number} saat ərzində cəmi</v>
      </c>
      <c r="I89" s="3" t="str">
        <f>IFERROR(__xludf.DUMMYFUNCTION("GoogleTranslate(C89, ""en"", ""eu"")"),"Guztira hurrengo {number} orduetan")</f>
        <v>Guztira hurrengo {number} orduetan</v>
      </c>
      <c r="J89" s="3" t="str">
        <f>IFERROR(__xludf.DUMMYFUNCTION("GoogleTranslate(C89, ""en"", ""be"")"),"Усяго ў наступныя {number} гадзін")</f>
        <v>Усяго ў наступныя {number} гадзін</v>
      </c>
      <c r="K89" s="3" t="str">
        <f>IFERROR(__xludf.DUMMYFUNCTION("GoogleTranslate(C89, ""en"", ""bn"")"),"পরবর্তী {number} ঘণ্টায় মোট")</f>
        <v>পরবর্তী {number} ঘণ্টায় মোট</v>
      </c>
      <c r="L89" s="3" t="str">
        <f>IFERROR(__xludf.DUMMYFUNCTION("GoogleTranslate(C89, ""en"", ""bg"")"),"Общо през следващите {number} часа")</f>
        <v>Общо през следващите {number} часа</v>
      </c>
      <c r="M89" s="3" t="str">
        <f>IFERROR(__xludf.DUMMYFUNCTION("GoogleTranslate(C89, ""en"", ""my"")"),"နောက်ထပ် {number} နာရီအတွင်း စုစုပေါင်း")</f>
        <v>နောက်ထပ် {number} နာရီအတွင်း စုစုပေါင်း</v>
      </c>
      <c r="N89" s="3" t="str">
        <f>IFERROR(__xludf.DUMMYFUNCTION("GoogleTranslate(C89, ""en"", ""ca"")"),"Total en les properes {number} hores")</f>
        <v>Total en les properes {number} hores</v>
      </c>
      <c r="O89" s="3" t="str">
        <f>IFERROR(__xludf.DUMMYFUNCTION("GoogleTranslate(C89, ""en"", ""zh-cn"")"),"未来 {number} 小时内的总计")</f>
        <v>未来 {number} 小时内的总计</v>
      </c>
      <c r="P89" s="3" t="str">
        <f>IFERROR(__xludf.DUMMYFUNCTION("GoogleTranslate(C89, ""en"", ""zh-TW"")"),"未來 {number} 小時內的總計")</f>
        <v>未來 {number} 小時內的總計</v>
      </c>
      <c r="Q89" s="3" t="str">
        <f>IFERROR(__xludf.DUMMYFUNCTION("GoogleTranslate(C89, ""en"", ""hr"")"),"Ukupno u sljedećih {number} sati")</f>
        <v>Ukupno u sljedećih {number} sati</v>
      </c>
      <c r="R89" s="3" t="str">
        <f>IFERROR(__xludf.DUMMYFUNCTION("GoogleTranslate(C89, ""en"", ""cs"")"),"Celkem během následujících {number} hodin")</f>
        <v>Celkem během následujících {number} hodin</v>
      </c>
      <c r="S89" s="3" t="str">
        <f>IFERROR(__xludf.DUMMYFUNCTION("GoogleTranslate(C89, ""en"", ""da"")"),"I alt inden for de næste {number} timer")</f>
        <v>I alt inden for de næste {number} timer</v>
      </c>
      <c r="T89" s="3" t="str">
        <f>IFERROR(__xludf.DUMMYFUNCTION("GoogleTranslate(C89, ""en"", ""nl"")"),"Totaal in de komende {aantal} uur")</f>
        <v>Totaal in de komende {aantal} uur</v>
      </c>
      <c r="U89" s="3" t="str">
        <f>IFERROR(__xludf.DUMMYFUNCTION("GoogleTranslate(C89, ""en"", ""et"")"),"Kokku järgmise {number} tunni jooksul")</f>
        <v>Kokku järgmise {number} tunni jooksul</v>
      </c>
      <c r="V89" s="1" t="str">
        <f t="shared" si="3"/>
        <v>Total in the next {number} hours</v>
      </c>
      <c r="W89" s="3" t="str">
        <f>IFERROR(__xludf.DUMMYFUNCTION("GoogleTranslate(C89, ""en"", ""fi"")"),"Yhteensä seuraavan {number} tunnin aikana")</f>
        <v>Yhteensä seuraavan {number} tunnin aikana</v>
      </c>
      <c r="X89" s="3" t="str">
        <f>IFERROR(__xludf.DUMMYFUNCTION("GoogleTranslate(C89, ""en"", ""fr"")"),"Total dans les {nombre} prochaines heures")</f>
        <v>Total dans les {nombre} prochaines heures</v>
      </c>
      <c r="Y89" s="3" t="str">
        <f>IFERROR(__xludf.DUMMYFUNCTION("GoogleTranslate(C89, ""en"", ""de"")"),"Insgesamt in den nächsten {number} Stunden")</f>
        <v>Insgesamt in den nächsten {number} Stunden</v>
      </c>
      <c r="Z89" s="3" t="str">
        <f>IFERROR(__xludf.DUMMYFUNCTION("GoogleTranslate(C89, ""en"", ""el"")"),"Σύνολο τις επόμενες {number} ώρες")</f>
        <v>Σύνολο τις επόμενες {number} ώρες</v>
      </c>
      <c r="AA89" s="3" t="str">
        <f>IFERROR(__xludf.DUMMYFUNCTION("GoogleTranslate(C89, ""en"", ""iw"")"),"סך הכל ב-{number} השעות הבאות")</f>
        <v>סך הכל ב-{number} השעות הבאות</v>
      </c>
      <c r="AB89" s="3" t="str">
        <f>IFERROR(__xludf.DUMMYFUNCTION("GoogleTranslate(C89, ""en"", ""hi"")"),"अगले {संख्या} घंटों में कुल")</f>
        <v>अगले {संख्या} घंटों में कुल</v>
      </c>
      <c r="AC89" s="3" t="str">
        <f>IFERROR(__xludf.DUMMYFUNCTION("GoogleTranslate(C89, ""en"", ""hu"")"),"Összesen a következő {number} órában")</f>
        <v>Összesen a következő {number} órában</v>
      </c>
      <c r="AD89" s="3" t="str">
        <f>IFERROR(__xludf.DUMMYFUNCTION("GoogleTranslate(C89, ""en"", ""is"")"),"Samtals á næstu {number} klukkustundum")</f>
        <v>Samtals á næstu {number} klukkustundum</v>
      </c>
      <c r="AE89" s="3" t="str">
        <f>IFERROR(__xludf.DUMMYFUNCTION("GoogleTranslate(C89, ""en"", ""id"")"),"Total dalam {number} jam ke depan")</f>
        <v>Total dalam {number} jam ke depan</v>
      </c>
      <c r="AF89" s="3" t="str">
        <f>IFERROR(__xludf.DUMMYFUNCTION("GoogleTranslate(C89, ""en"", ""in"")"),"Total dalam {number} jam ke depan")</f>
        <v>Total dalam {number} jam ke depan</v>
      </c>
      <c r="AG89" s="3" t="str">
        <f>IFERROR(__xludf.DUMMYFUNCTION("GoogleTranslate(C89, ""en"", ""it"")"),"Totale nelle prossime {numero} ore")</f>
        <v>Totale nelle prossime {numero} ore</v>
      </c>
      <c r="AH89" s="3" t="str">
        <f>IFERROR(__xludf.DUMMYFUNCTION("GoogleTranslate(C89, ""en"", ""ja"")"),"今後 {number} 時間の合計")</f>
        <v>今後 {number} 時間の合計</v>
      </c>
      <c r="AI89" s="3" t="str">
        <f>IFERROR(__xludf.DUMMYFUNCTION("GoogleTranslate(C89, ""en"", ""kn"")"),"ಮುಂದಿನ {number} ಗಂಟೆಗಳಲ್ಲಿ ಒಟ್ಟು")</f>
        <v>ಮುಂದಿನ {number} ಗಂಟೆಗಳಲ್ಲಿ ಒಟ್ಟು</v>
      </c>
      <c r="AJ89" s="3" t="str">
        <f>IFERROR(__xludf.DUMMYFUNCTION("GoogleTranslate(C89, ""en"", ""km"")"),"សរុបក្នុងរយៈពេល {number} ម៉ោងបន្ទាប់")</f>
        <v>សរុបក្នុងរយៈពេល {number} ម៉ោងបន្ទាប់</v>
      </c>
      <c r="AK89" s="3" t="str">
        <f>IFERROR(__xludf.DUMMYFUNCTION("GoogleTranslate(C89, ""en"", ""ko"")"),"다음 {number}시간 동안의 합계")</f>
        <v>다음 {number}시간 동안의 합계</v>
      </c>
      <c r="AL89" s="3" t="str">
        <f>IFERROR(__xludf.DUMMYFUNCTION("GoogleTranslate(C89, ""en"", ""lo"")"),"ທັງໝົດໃນ {number} ຊົ່ວໂມງຕໍ່ໄປ")</f>
        <v>ທັງໝົດໃນ {number} ຊົ່ວໂມງຕໍ່ໄປ</v>
      </c>
      <c r="AM89" s="3" t="str">
        <f>IFERROR(__xludf.DUMMYFUNCTION("GoogleTranslate(C89, ""en"", ""lv"")"),"Kopā nākamajās {number} stundās")</f>
        <v>Kopā nākamajās {number} stundās</v>
      </c>
      <c r="AN89" s="3" t="str">
        <f>IFERROR(__xludf.DUMMYFUNCTION("GoogleTranslate(C89, ""en"", ""lt"")"),"Iš viso per kitas {number} valandas")</f>
        <v>Iš viso per kitas {number} valandas</v>
      </c>
      <c r="AO89" s="3" t="str">
        <f>IFERROR(__xludf.DUMMYFUNCTION("GoogleTranslate(C89, ""en"", ""mk"")"),"Вкупно во следните {number} часа")</f>
        <v>Вкупно во следните {number} часа</v>
      </c>
      <c r="AP89" s="3" t="str">
        <f>IFERROR(__xludf.DUMMYFUNCTION("GoogleTranslate(C89, ""en"", ""ms"")"),"Jumlah dalam {number} jam seterusnya")</f>
        <v>Jumlah dalam {number} jam seterusnya</v>
      </c>
      <c r="AQ89" s="3" t="str">
        <f>IFERROR(__xludf.DUMMYFUNCTION("GoogleTranslate(C89, ""en"", ""ml"")"),"അടുത്ത {number} മണിക്കൂറിനുള്ളിൽ ആകെ")</f>
        <v>അടുത്ത {number} മണിക്കൂറിനുള്ളിൽ ആകെ</v>
      </c>
      <c r="AR89" s="3" t="str">
        <f>IFERROR(__xludf.DUMMYFUNCTION("GoogleTranslate(C89, ""en"", ""mr"")"),"पुढील {number} तासांमध्ये एकूण")</f>
        <v>पुढील {number} तासांमध्ये एकूण</v>
      </c>
      <c r="AS89" s="3" t="str">
        <f>IFERROR(__xludf.DUMMYFUNCTION("GoogleTranslate(C89, ""en"", ""mn"")"),"Дараагийн {number} цагийн нийт дүн")</f>
        <v>Дараагийн {number} цагийн нийт дүн</v>
      </c>
      <c r="AT89" s="3" t="str">
        <f>IFERROR(__xludf.DUMMYFUNCTION("GoogleTranslate(C89, ""en"", ""ne"")"),"अर्को {number} घण्टामा कुल")</f>
        <v>अर्को {number} घण्टामा कुल</v>
      </c>
      <c r="AU89" s="3" t="str">
        <f>IFERROR(__xludf.DUMMYFUNCTION("GoogleTranslate(C89, ""en"", ""nb"")"),"Totalt i løpet av de neste {number} timene")</f>
        <v>Totalt i løpet av de neste {number} timene</v>
      </c>
      <c r="AV89" s="3" t="str">
        <f>IFERROR(__xludf.DUMMYFUNCTION("GoogleTranslate(C89, ""en"", ""fa"")"),"مجموع در {number} ساعت آینده")</f>
        <v>مجموع در {number} ساعت آینده</v>
      </c>
      <c r="AW89" s="3" t="str">
        <f>IFERROR(__xludf.DUMMYFUNCTION("GoogleTranslate(C89, ""en"", ""pl"")"),"Łącznie w ciągu następnych {number} godzin")</f>
        <v>Łącznie w ciągu następnych {number} godzin</v>
      </c>
      <c r="AX89" s="3" t="str">
        <f>IFERROR(__xludf.DUMMYFUNCTION("GoogleTranslate(C89, ""en"", ""pt"")"),"Total nas próximas {number} horas")</f>
        <v>Total nas próximas {number} horas</v>
      </c>
      <c r="AY89" s="3" t="str">
        <f>IFERROR(__xludf.DUMMYFUNCTION("GoogleTranslate(C89, ""en"", ""ro"")"),"Total în următoarele {number} ore")</f>
        <v>Total în următoarele {number} ore</v>
      </c>
      <c r="AZ89" s="3" t="str">
        <f>IFERROR(__xludf.DUMMYFUNCTION("GoogleTranslate(C89, ""en"", ""ru"")"),"Всего в ближайшие {number} часа")</f>
        <v>Всего в ближайшие {number} часа</v>
      </c>
      <c r="BA89" s="3" t="str">
        <f>IFERROR(__xludf.DUMMYFUNCTION("GoogleTranslate(C89, ""en"", ""sr"")"),"Укупно у наредних {нумбер} сати")</f>
        <v>Укупно у наредних {нумбер} сати</v>
      </c>
      <c r="BB89" s="3" t="str">
        <f>IFERROR(__xludf.DUMMYFUNCTION("GoogleTranslate(C89, ""en"", ""si"")"),"ඉදිරි පැය {number} තුළ එකතුව")</f>
        <v>ඉදිරි පැය {number} තුළ එකතුව</v>
      </c>
      <c r="BC89" s="3" t="str">
        <f>IFERROR(__xludf.DUMMYFUNCTION("GoogleTranslate(C89, ""en"", ""sk"")"),"Celkom počas nasledujúcich {number} hodín")</f>
        <v>Celkom počas nasledujúcich {number} hodín</v>
      </c>
      <c r="BD89" s="3" t="str">
        <f>IFERROR(__xludf.DUMMYFUNCTION("GoogleTranslate(C89, ""en"", ""sl"")"),"Skupaj v naslednjih {number} urah")</f>
        <v>Skupaj v naslednjih {number} urah</v>
      </c>
      <c r="BE89" s="3" t="str">
        <f>IFERROR(__xludf.DUMMYFUNCTION("GoogleTranslate(C89, ""en"", ""es"")"),"Total en las próximas {número} horas")</f>
        <v>Total en las próximas {número} horas</v>
      </c>
      <c r="BF89" s="3" t="str">
        <f>IFERROR(__xludf.DUMMYFUNCTION("GoogleTranslate(C89, ""en"", ""sw"")"),"Jumla katika saa {number} zijazo")</f>
        <v>Jumla katika saa {number} zijazo</v>
      </c>
      <c r="BG89" s="3" t="str">
        <f>IFERROR(__xludf.DUMMYFUNCTION("GoogleTranslate(C89, ""en"", ""sv"")"),"Totalt under de kommande {number} timmarna")</f>
        <v>Totalt under de kommande {number} timmarna</v>
      </c>
      <c r="BH89" s="3" t="str">
        <f>IFERROR(__xludf.DUMMYFUNCTION("GoogleTranslate(C89, ""en"", ""te"")"),"తదుపరి {number} గంటల్లో మొత్తం")</f>
        <v>తదుపరి {number} గంటల్లో మొత్తం</v>
      </c>
      <c r="BI89" s="3" t="str">
        <f>IFERROR(__xludf.DUMMYFUNCTION("GoogleTranslate(C89, ""en"", ""th"")"),"รวมในอีก {number} ชั่วโมงข้างหน้า")</f>
        <v>รวมในอีก {number} ชั่วโมงข้างหน้า</v>
      </c>
      <c r="BJ89" s="3" t="str">
        <f>IFERROR(__xludf.DUMMYFUNCTION("GoogleTranslate(C89, ""en"", ""tr"")"),"Önümüzdeki {number} saat içindeki toplam")</f>
        <v>Önümüzdeki {number} saat içindeki toplam</v>
      </c>
      <c r="BK89" s="3" t="str">
        <f>IFERROR(__xludf.DUMMYFUNCTION("GoogleTranslate(C89, ""en"", ""uk"")"),"Усього за наступні {number} год")</f>
        <v>Усього за наступні {number} год</v>
      </c>
      <c r="BL89" s="3" t="str">
        <f>IFERROR(__xludf.DUMMYFUNCTION("GoogleTranslate(C89, ""en"", ""zu"")"),"Isamba emahoreni angu-{number} alandelayo")</f>
        <v>Isamba emahoreni angu-{number} alandelayo</v>
      </c>
    </row>
    <row r="90">
      <c r="A90" s="1" t="str">
        <f t="shared" si="1"/>
        <v>Weather_forecast_{name}_tomorrow</v>
      </c>
      <c r="B90" s="4" t="s">
        <v>148</v>
      </c>
      <c r="C90" s="1" t="str">
        <f t="shared" si="2"/>
        <v>Weather forecast {name} tomorrow</v>
      </c>
      <c r="D90" s="3" t="str">
        <f>IFERROR(__xludf.DUMMYFUNCTION("GoogleTranslate(C90, ""en"", ""es"")"),"Pronóstico del tiempo para {nombre} mañana")</f>
        <v>Pronóstico del tiempo para {nombre} mañana</v>
      </c>
      <c r="E90" s="3" t="str">
        <f>IFERROR(__xludf.DUMMYFUNCTION("GoogleTranslate(C90, ""en"", ""ar"")"),"توقعات الطقس {الاسم} غدا")</f>
        <v>توقعات الطقس {الاسم} غدا</v>
      </c>
      <c r="F90" s="3" t="str">
        <f>IFERROR(__xludf.DUMMYFUNCTION("GoogleTranslate(C90, ""en"", ""hy"")"),"Եղանակի կանխատեսում {name} վաղը")</f>
        <v>Եղանակի կանխատեսում {name} վաղը</v>
      </c>
      <c r="G90" s="3" t="str">
        <f>IFERROR(__xludf.DUMMYFUNCTION("GoogleTranslate(C90, ""en"", ""vi"")"),"Dự báo thời tiết {name} ngày mai")</f>
        <v>Dự báo thời tiết {name} ngày mai</v>
      </c>
      <c r="H90" s="3" t="str">
        <f>IFERROR(__xludf.DUMMYFUNCTION("GoogleTranslate(C90, ""en"", ""az"")"),"Sabah {name} hava proqnozu")</f>
        <v>Sabah {name} hava proqnozu</v>
      </c>
      <c r="I90" s="3" t="str">
        <f>IFERROR(__xludf.DUMMYFUNCTION("GoogleTranslate(C90, ""en"", ""eu"")"),"{name} eguraldiaren iragarpena bihar")</f>
        <v>{name} eguraldiaren iragarpena bihar</v>
      </c>
      <c r="J90" s="3" t="str">
        <f>IFERROR(__xludf.DUMMYFUNCTION("GoogleTranslate(C90, ""en"", ""be"")"),"Прагноз надвор'я {name} на заўтра")</f>
        <v>Прагноз надвор'я {name} на заўтра</v>
      </c>
      <c r="K90" s="3" t="str">
        <f>IFERROR(__xludf.DUMMYFUNCTION("GoogleTranslate(C90, ""en"", ""bn"")"),"আগামীকাল আবহাওয়ার পূর্বাভাস {name}")</f>
        <v>আগামীকাল আবহাওয়ার পূর্বাভাস {name}</v>
      </c>
      <c r="L90" s="3" t="str">
        <f>IFERROR(__xludf.DUMMYFUNCTION("GoogleTranslate(C90, ""en"", ""bg"")"),"Прогноза за времето {name} утре")</f>
        <v>Прогноза за времето {name} утре</v>
      </c>
      <c r="M90" s="3" t="str">
        <f>IFERROR(__xludf.DUMMYFUNCTION("GoogleTranslate(C90, ""en"", ""my"")"),"မနက်ဖြန် မိုးလေဝသ ခန့်မှန်းချက် {name}")</f>
        <v>မနက်ဖြန် မိုးလေဝသ ခန့်မှန်းချက် {name}</v>
      </c>
      <c r="N90" s="3" t="str">
        <f>IFERROR(__xludf.DUMMYFUNCTION("GoogleTranslate(C90, ""en"", ""ca"")"),"Predicció del temps {name} demà")</f>
        <v>Predicció del temps {name} demà</v>
      </c>
      <c r="O90" s="3" t="str">
        <f>IFERROR(__xludf.DUMMYFUNCTION("GoogleTranslate(C90, ""en"", ""zh-cn"")"),"明天天气预报{name}")</f>
        <v>明天天气预报{name}</v>
      </c>
      <c r="P90" s="3" t="str">
        <f>IFERROR(__xludf.DUMMYFUNCTION("GoogleTranslate(C90, ""en"", ""zh-TW"")"),"明天天氣預報{name}")</f>
        <v>明天天氣預報{name}</v>
      </c>
      <c r="Q90" s="3" t="str">
        <f>IFERROR(__xludf.DUMMYFUNCTION("GoogleTranslate(C90, ""en"", ""hr"")"),"Vremenska prognoza {name} sutra")</f>
        <v>Vremenska prognoza {name} sutra</v>
      </c>
      <c r="R90" s="3" t="str">
        <f>IFERROR(__xludf.DUMMYFUNCTION("GoogleTranslate(C90, ""en"", ""cs"")"),"Předpověď počasí {name} zítra")</f>
        <v>Předpověď počasí {name} zítra</v>
      </c>
      <c r="S90" s="3" t="str">
        <f>IFERROR(__xludf.DUMMYFUNCTION("GoogleTranslate(C90, ""en"", ""da"")"),"Vejrudsigt {name} i morgen")</f>
        <v>Vejrudsigt {name} i morgen</v>
      </c>
      <c r="T90" s="3" t="str">
        <f>IFERROR(__xludf.DUMMYFUNCTION("GoogleTranslate(C90, ""en"", ""nl"")"),"Weersverwachting {naam} morgen")</f>
        <v>Weersverwachting {naam} morgen</v>
      </c>
      <c r="U90" s="3" t="str">
        <f>IFERROR(__xludf.DUMMYFUNCTION("GoogleTranslate(C90, ""en"", ""et"")"),"Ilmateade {name} homme")</f>
        <v>Ilmateade {name} homme</v>
      </c>
      <c r="V90" s="1" t="str">
        <f t="shared" si="3"/>
        <v>Weather forecast {name} tomorrow</v>
      </c>
      <c r="W90" s="3" t="str">
        <f>IFERROR(__xludf.DUMMYFUNCTION("GoogleTranslate(C90, ""en"", ""fi"")"),"Sääennuste {name} huomenna")</f>
        <v>Sääennuste {name} huomenna</v>
      </c>
      <c r="X90" s="3" t="str">
        <f>IFERROR(__xludf.DUMMYFUNCTION("GoogleTranslate(C90, ""en"", ""fr"")"),"Prévisions météo pour {name} demain")</f>
        <v>Prévisions météo pour {name} demain</v>
      </c>
      <c r="Y90" s="3" t="str">
        <f>IFERROR(__xludf.DUMMYFUNCTION("GoogleTranslate(C90, ""en"", ""de"")"),"Wettervorhersage {name} morgen")</f>
        <v>Wettervorhersage {name} morgen</v>
      </c>
      <c r="Z90" s="3" t="str">
        <f>IFERROR(__xludf.DUMMYFUNCTION("GoogleTranslate(C90, ""en"", ""el"")"),"Πρόγνωση καιρού {name} αύριο")</f>
        <v>Πρόγνωση καιρού {name} αύριο</v>
      </c>
      <c r="AA90" s="3" t="str">
        <f>IFERROR(__xludf.DUMMYFUNCTION("GoogleTranslate(C90, ""en"", ""iw"")"),"תחזית מזג האוויר {name} מחר")</f>
        <v>תחזית מזג האוויר {name} מחר</v>
      </c>
      <c r="AB90" s="3" t="str">
        <f>IFERROR(__xludf.DUMMYFUNCTION("GoogleTranslate(C90, ""en"", ""hi"")"),"कल मौसम का पूर्वानुमान {नाम}")</f>
        <v>कल मौसम का पूर्वानुमान {नाम}</v>
      </c>
      <c r="AC90" s="3" t="str">
        <f>IFERROR(__xludf.DUMMYFUNCTION("GoogleTranslate(C90, ""en"", ""hu"")"),"Időjárás előrejelzés holnapra: {name}")</f>
        <v>Időjárás előrejelzés holnapra: {name}</v>
      </c>
      <c r="AD90" s="3" t="str">
        <f>IFERROR(__xludf.DUMMYFUNCTION("GoogleTranslate(C90, ""en"", ""is"")"),"Veðurspá {name} á morgun")</f>
        <v>Veðurspá {name} á morgun</v>
      </c>
      <c r="AE90" s="3" t="str">
        <f>IFERROR(__xludf.DUMMYFUNCTION("GoogleTranslate(C90, ""en"", ""id"")"),"Prakiraan cuaca {name} besok")</f>
        <v>Prakiraan cuaca {name} besok</v>
      </c>
      <c r="AF90" s="3" t="str">
        <f>IFERROR(__xludf.DUMMYFUNCTION("GoogleTranslate(C90, ""en"", ""in"")"),"Prakiraan cuaca {name} besok")</f>
        <v>Prakiraan cuaca {name} besok</v>
      </c>
      <c r="AG90" s="3" t="str">
        <f>IFERROR(__xludf.DUMMYFUNCTION("GoogleTranslate(C90, ""en"", ""it"")"),"Previsioni del tempo {nome} domani")</f>
        <v>Previsioni del tempo {nome} domani</v>
      </c>
      <c r="AH90" s="3" t="str">
        <f>IFERROR(__xludf.DUMMYFUNCTION("GoogleTranslate(C90, ""en"", ""ja"")"),"明日の天気予報 {name}")</f>
        <v>明日の天気予報 {name}</v>
      </c>
      <c r="AI90" s="3" t="str">
        <f>IFERROR(__xludf.DUMMYFUNCTION("GoogleTranslate(C90, ""en"", ""kn"")"),"ನಾಳೆ {name} ಹವಾಮಾನ ಮುನ್ಸೂಚನೆ")</f>
        <v>ನಾಳೆ {name} ಹವಾಮಾನ ಮುನ್ಸೂಚನೆ</v>
      </c>
      <c r="AJ90" s="3" t="str">
        <f>IFERROR(__xludf.DUMMYFUNCTION("GoogleTranslate(C90, ""en"", ""km"")"),"ការព្យាករណ៍អាកាសធាតុ {name} ថ្ងៃស្អែក")</f>
        <v>ការព្យាករណ៍អាកាសធាតុ {name} ថ្ងៃស្អែក</v>
      </c>
      <c r="AK90" s="3" t="str">
        <f>IFERROR(__xludf.DUMMYFUNCTION("GoogleTranslate(C90, ""en"", ""ko"")"),"내일 일기 예보 {name}")</f>
        <v>내일 일기 예보 {name}</v>
      </c>
      <c r="AL90" s="3" t="str">
        <f>IFERROR(__xludf.DUMMYFUNCTION("GoogleTranslate(C90, ""en"", ""lo"")"),"ພະຍາກອນອາກາດ {name} ມື້ອື່ນ")</f>
        <v>ພະຍາກອນອາກາດ {name} ມື້ອື່ນ</v>
      </c>
      <c r="AM90" s="3" t="str">
        <f>IFERROR(__xludf.DUMMYFUNCTION("GoogleTranslate(C90, ""en"", ""lv"")"),"Laika prognoze {name} rīt")</f>
        <v>Laika prognoze {name} rīt</v>
      </c>
      <c r="AN90" s="3" t="str">
        <f>IFERROR(__xludf.DUMMYFUNCTION("GoogleTranslate(C90, ""en"", ""lt"")"),"Orų prognozė {name} rytoj")</f>
        <v>Orų prognozė {name} rytoj</v>
      </c>
      <c r="AO90" s="3" t="str">
        <f>IFERROR(__xludf.DUMMYFUNCTION("GoogleTranslate(C90, ""en"", ""mk"")"),"Временска прогноза {name} утре")</f>
        <v>Временска прогноза {name} утре</v>
      </c>
      <c r="AP90" s="3" t="str">
        <f>IFERROR(__xludf.DUMMYFUNCTION("GoogleTranslate(C90, ""en"", ""ms"")"),"Ramalan cuaca {name} esok")</f>
        <v>Ramalan cuaca {name} esok</v>
      </c>
      <c r="AQ90" s="3" t="str">
        <f>IFERROR(__xludf.DUMMYFUNCTION("GoogleTranslate(C90, ""en"", ""ml"")"),"നാളെ {name} കാലാവസ്ഥാ പ്രവചനം")</f>
        <v>നാളെ {name} കാലാവസ്ഥാ പ്രവചനം</v>
      </c>
      <c r="AR90" s="3" t="str">
        <f>IFERROR(__xludf.DUMMYFUNCTION("GoogleTranslate(C90, ""en"", ""mr"")"),"हवामानाचा अंदाज {name} उद्या")</f>
        <v>हवामानाचा अंदाज {name} उद्या</v>
      </c>
      <c r="AS90" s="3" t="str">
        <f>IFERROR(__xludf.DUMMYFUNCTION("GoogleTranslate(C90, ""en"", ""mn"")"),"Маргааш {name} цаг агаарын мэдээ")</f>
        <v>Маргааш {name} цаг агаарын мэдээ</v>
      </c>
      <c r="AT90" s="3" t="str">
        <f>IFERROR(__xludf.DUMMYFUNCTION("GoogleTranslate(C90, ""en"", ""ne"")"),"मौसम पूर्वानुमान {name} भोलि")</f>
        <v>मौसम पूर्वानुमान {name} भोलि</v>
      </c>
      <c r="AU90" s="3" t="str">
        <f>IFERROR(__xludf.DUMMYFUNCTION("GoogleTranslate(C90, ""en"", ""nb"")"),"Værmelding {name} i morgen")</f>
        <v>Værmelding {name} i morgen</v>
      </c>
      <c r="AV90" s="3" t="str">
        <f>IFERROR(__xludf.DUMMYFUNCTION("GoogleTranslate(C90, ""en"", ""fa"")"),"پیش بینی هوای فردا {name}")</f>
        <v>پیش بینی هوای فردا {name}</v>
      </c>
      <c r="AW90" s="3" t="str">
        <f>IFERROR(__xludf.DUMMYFUNCTION("GoogleTranslate(C90, ""en"", ""pl"")"),"Prognoza pogody {name} na jutro")</f>
        <v>Prognoza pogody {name} na jutro</v>
      </c>
      <c r="AX90" s="3" t="str">
        <f>IFERROR(__xludf.DUMMYFUNCTION("GoogleTranslate(C90, ""en"", ""pt"")"),"Previsão do tempo {nome} para amanhã")</f>
        <v>Previsão do tempo {nome} para amanhã</v>
      </c>
      <c r="AY90" s="3" t="str">
        <f>IFERROR(__xludf.DUMMYFUNCTION("GoogleTranslate(C90, ""en"", ""ro"")"),"Prognoza meteo {name} mâine")</f>
        <v>Prognoza meteo {name} mâine</v>
      </c>
      <c r="AZ90" s="3" t="str">
        <f>IFERROR(__xludf.DUMMYFUNCTION("GoogleTranslate(C90, ""en"", ""ru"")"),"Прогноз погоды {name} на завтра")</f>
        <v>Прогноз погоды {name} на завтра</v>
      </c>
      <c r="BA90" s="3" t="str">
        <f>IFERROR(__xludf.DUMMYFUNCTION("GoogleTranslate(C90, ""en"", ""sr"")"),"Временска прогноза {наме} за сутра")</f>
        <v>Временска прогноза {наме} за сутра</v>
      </c>
      <c r="BB90" s="3" t="str">
        <f>IFERROR(__xludf.DUMMYFUNCTION("GoogleTranslate(C90, ""en"", ""si"")"),"කාලගුණ අනාවැකිය {name} හෙට")</f>
        <v>කාලගුණ අනාවැකිය {name} හෙට</v>
      </c>
      <c r="BC90" s="3" t="str">
        <f>IFERROR(__xludf.DUMMYFUNCTION("GoogleTranslate(C90, ""en"", ""sk"")"),"Predpoveď počasia {name} zajtra")</f>
        <v>Predpoveď počasia {name} zajtra</v>
      </c>
      <c r="BD90" s="3" t="str">
        <f>IFERROR(__xludf.DUMMYFUNCTION("GoogleTranslate(C90, ""en"", ""sl"")"),"Vremenska napoved {name} za jutri")</f>
        <v>Vremenska napoved {name} za jutri</v>
      </c>
      <c r="BE90" s="3" t="str">
        <f>IFERROR(__xludf.DUMMYFUNCTION("GoogleTranslate(C90, ""en"", ""es"")"),"Pronóstico del tiempo para {nombre} mañana")</f>
        <v>Pronóstico del tiempo para {nombre} mañana</v>
      </c>
      <c r="BF90" s="3" t="str">
        <f>IFERROR(__xludf.DUMMYFUNCTION("GoogleTranslate(C90, ""en"", ""sw"")"),"Utabiri wa hali ya hewa {name} kesho")</f>
        <v>Utabiri wa hali ya hewa {name} kesho</v>
      </c>
      <c r="BG90" s="3" t="str">
        <f>IFERROR(__xludf.DUMMYFUNCTION("GoogleTranslate(C90, ""en"", ""sv"")"),"Väderprognos {name} imorgon")</f>
        <v>Väderprognos {name} imorgon</v>
      </c>
      <c r="BH90" s="3" t="str">
        <f>IFERROR(__xludf.DUMMYFUNCTION("GoogleTranslate(C90, ""en"", ""te"")"),"రేపు {name} వాతావరణ సూచన")</f>
        <v>రేపు {name} వాతావరణ సూచన</v>
      </c>
      <c r="BI90" s="3" t="str">
        <f>IFERROR(__xludf.DUMMYFUNCTION("GoogleTranslate(C90, ""en"", ""th"")"),"พยากรณ์อากาศ {name} พรุ่งนี้")</f>
        <v>พยากรณ์อากาศ {name} พรุ่งนี้</v>
      </c>
      <c r="BJ90" s="3" t="str">
        <f>IFERROR(__xludf.DUMMYFUNCTION("GoogleTranslate(C90, ""en"", ""tr"")"),"{name} için yarın hava tahmini")</f>
        <v>{name} için yarın hava tahmini</v>
      </c>
      <c r="BK90" s="3" t="str">
        <f>IFERROR(__xludf.DUMMYFUNCTION("GoogleTranslate(C90, ""en"", ""uk"")"),"Прогноз погоди {name} завтра")</f>
        <v>Прогноз погоди {name} завтра</v>
      </c>
      <c r="BL90" s="3" t="str">
        <f>IFERROR(__xludf.DUMMYFUNCTION("GoogleTranslate(C90, ""en"", ""zu"")"),"Isibikezelo sezulu se-{name} kusasa")</f>
        <v>Isibikezelo sezulu se-{name} kusasa</v>
      </c>
    </row>
    <row r="91">
      <c r="A91" s="1" t="str">
        <f t="shared" si="1"/>
        <v>Weather_{name}_tomorrow_hourly</v>
      </c>
      <c r="B91" s="4" t="s">
        <v>149</v>
      </c>
      <c r="C91" s="1" t="str">
        <f t="shared" si="2"/>
        <v>Weather {name} tomorrow hourly</v>
      </c>
      <c r="D91" s="3" t="str">
        <f>IFERROR(__xludf.DUMMYFUNCTION("GoogleTranslate(C91, ""en"", ""es"")"),"Tiempo {nombre} mañana cada hora")</f>
        <v>Tiempo {nombre} mañana cada hora</v>
      </c>
      <c r="E91" s="3" t="str">
        <f>IFERROR(__xludf.DUMMYFUNCTION("GoogleTranslate(C91, ""en"", ""ar"")"),"الطقس {الاسم} غدا كل ساعة")</f>
        <v>الطقس {الاسم} غدا كل ساعة</v>
      </c>
      <c r="F91" s="3" t="str">
        <f>IFERROR(__xludf.DUMMYFUNCTION("GoogleTranslate(C91, ""en"", ""hy"")"),"Եղանակը {name} վաղը ամեն ժամ")</f>
        <v>Եղանակը {name} վաղը ամեն ժամ</v>
      </c>
      <c r="G91" s="3" t="str">
        <f>IFERROR(__xludf.DUMMYFUNCTION("GoogleTranslate(C91, ""en"", ""vi"")"),"Thời tiết {name} ngày mai theo giờ")</f>
        <v>Thời tiết {name} ngày mai theo giờ</v>
      </c>
      <c r="H91" s="3" t="str">
        <f>IFERROR(__xludf.DUMMYFUNCTION("GoogleTranslate(C91, ""en"", ""az"")"),"Sabah saatlıq hava {name}")</f>
        <v>Sabah saatlıq hava {name}</v>
      </c>
      <c r="I91" s="3" t="str">
        <f>IFERROR(__xludf.DUMMYFUNCTION("GoogleTranslate(C91, ""en"", ""eu"")"),"{name} eguraldia bihar orduro")</f>
        <v>{name} eguraldia bihar orduro</v>
      </c>
      <c r="J91" s="3" t="str">
        <f>IFERROR(__xludf.DUMMYFUNCTION("GoogleTranslate(C91, ""en"", ""be"")"),"Надвор'е {name} заўтра кожную гадзіну")</f>
        <v>Надвор'е {name} заўтра кожную гадзіну</v>
      </c>
      <c r="K91" s="3" t="str">
        <f>IFERROR(__xludf.DUMMYFUNCTION("GoogleTranslate(C91, ""en"", ""bn"")"),"আগামীকাল প্রতি ঘণ্টায় আবহাওয়া {name}")</f>
        <v>আগামীকাল প্রতি ঘণ্টায় আবহাওয়া {name}</v>
      </c>
      <c r="L91" s="3" t="str">
        <f>IFERROR(__xludf.DUMMYFUNCTION("GoogleTranslate(C91, ""en"", ""bg"")"),"Времето {name} утре на всеки час")</f>
        <v>Времето {name} утре на всеки час</v>
      </c>
      <c r="M91" s="3" t="str">
        <f>IFERROR(__xludf.DUMMYFUNCTION("GoogleTranslate(C91, ""en"", ""my"")"),"မိုးလေဝသ {name} မနက်ဖြန် နာရီတိုင်း")</f>
        <v>မိုးလေဝသ {name} မနက်ဖြန် နာရီတိုင်း</v>
      </c>
      <c r="N91" s="3" t="str">
        <f>IFERROR(__xludf.DUMMYFUNCTION("GoogleTranslate(C91, ""en"", ""ca"")"),"El temps {name} demà cada hora")</f>
        <v>El temps {name} demà cada hora</v>
      </c>
      <c r="O91" s="3" t="str">
        <f>IFERROR(__xludf.DUMMYFUNCTION("GoogleTranslate(C91, ""en"", ""zh-cn"")"),"天气 {name} 明天每小时")</f>
        <v>天气 {name} 明天每小时</v>
      </c>
      <c r="P91" s="3" t="str">
        <f>IFERROR(__xludf.DUMMYFUNCTION("GoogleTranslate(C91, ""en"", ""zh-TW"")"),"天氣 {name} 明天每小時")</f>
        <v>天氣 {name} 明天每小時</v>
      </c>
      <c r="Q91" s="3" t="str">
        <f>IFERROR(__xludf.DUMMYFUNCTION("GoogleTranslate(C91, ""en"", ""hr"")"),"Vrijeme {name} sutra svaki sat")</f>
        <v>Vrijeme {name} sutra svaki sat</v>
      </c>
      <c r="R91" s="3" t="str">
        <f>IFERROR(__xludf.DUMMYFUNCTION("GoogleTranslate(C91, ""en"", ""cs"")"),"Počasí {name} zítra každou hodinu")</f>
        <v>Počasí {name} zítra každou hodinu</v>
      </c>
      <c r="S91" s="3" t="str">
        <f>IFERROR(__xludf.DUMMYFUNCTION("GoogleTranslate(C91, ""en"", ""da"")"),"Vejret {name} i morgen hver time")</f>
        <v>Vejret {name} i morgen hver time</v>
      </c>
      <c r="T91" s="3" t="str">
        <f>IFERROR(__xludf.DUMMYFUNCTION("GoogleTranslate(C91, ""en"", ""nl"")"),"Weer {naam} morgen elk uur")</f>
        <v>Weer {naam} morgen elk uur</v>
      </c>
      <c r="U91" s="3" t="str">
        <f>IFERROR(__xludf.DUMMYFUNCTION("GoogleTranslate(C91, ""en"", ""et"")"),"Ilm {name} homme tunnis")</f>
        <v>Ilm {name} homme tunnis</v>
      </c>
      <c r="V91" s="1" t="str">
        <f t="shared" si="3"/>
        <v>Weather {name} tomorrow hourly</v>
      </c>
      <c r="W91" s="3" t="str">
        <f>IFERROR(__xludf.DUMMYFUNCTION("GoogleTranslate(C91, ""en"", ""fi"")"),"Sää {name} huomenna tunnin välein")</f>
        <v>Sää {name} huomenna tunnin välein</v>
      </c>
      <c r="X91" s="3" t="str">
        <f>IFERROR(__xludf.DUMMYFUNCTION("GoogleTranslate(C91, ""en"", ""fr"")"),"Météo {name} demain horaire")</f>
        <v>Météo {name} demain horaire</v>
      </c>
      <c r="Y91" s="3" t="str">
        <f>IFERROR(__xludf.DUMMYFUNCTION("GoogleTranslate(C91, ""en"", ""de"")"),"Wetter {name} morgen stündlich")</f>
        <v>Wetter {name} morgen stündlich</v>
      </c>
      <c r="Z91" s="3" t="str">
        <f>IFERROR(__xludf.DUMMYFUNCTION("GoogleTranslate(C91, ""en"", ""el"")"),"Καιρός {name} αύριο κάθε ώρα")</f>
        <v>Καιρός {name} αύριο κάθε ώρα</v>
      </c>
      <c r="AA91" s="3" t="str">
        <f>IFERROR(__xludf.DUMMYFUNCTION("GoogleTranslate(C91, ""en"", ""iw"")"),"מזג האוויר {name} מחר מדי שעה")</f>
        <v>מזג האוויר {name} מחר מדי שעה</v>
      </c>
      <c r="AB91" s="3" t="str">
        <f>IFERROR(__xludf.DUMMYFUNCTION("GoogleTranslate(C91, ""en"", ""hi"")"),"मौसम {नाम} कल प्रति घंटा")</f>
        <v>मौसम {नाम} कल प्रति घंटा</v>
      </c>
      <c r="AC91" s="3" t="str">
        <f>IFERROR(__xludf.DUMMYFUNCTION("GoogleTranslate(C91, ""en"", ""hu"")"),"Időjárás {name} holnap óránként")</f>
        <v>Időjárás {name} holnap óránként</v>
      </c>
      <c r="AD91" s="3" t="str">
        <f>IFERROR(__xludf.DUMMYFUNCTION("GoogleTranslate(C91, ""en"", ""is"")"),"Veður {name} á morgun á klukkustundar fresti")</f>
        <v>Veður {name} á morgun á klukkustundar fresti</v>
      </c>
      <c r="AE91" s="3" t="str">
        <f>IFERROR(__xludf.DUMMYFUNCTION("GoogleTranslate(C91, ""en"", ""id"")"),"Cuaca {name} besok setiap jam")</f>
        <v>Cuaca {name} besok setiap jam</v>
      </c>
      <c r="AF91" s="3" t="str">
        <f>IFERROR(__xludf.DUMMYFUNCTION("GoogleTranslate(C91, ""en"", ""in"")"),"Cuaca {name} besok setiap jam")</f>
        <v>Cuaca {name} besok setiap jam</v>
      </c>
      <c r="AG91" s="3" t="str">
        <f>IFERROR(__xludf.DUMMYFUNCTION("GoogleTranslate(C91, ""en"", ""it"")"),"Meteo {nome} domani ogni ora")</f>
        <v>Meteo {nome} domani ogni ora</v>
      </c>
      <c r="AH91" s="3" t="str">
        <f>IFERROR(__xludf.DUMMYFUNCTION("GoogleTranslate(C91, ""en"", ""ja"")"),"明日の{名前}の時間別天気予報")</f>
        <v>明日の{名前}の時間別天気予報</v>
      </c>
      <c r="AI91" s="3" t="str">
        <f>IFERROR(__xludf.DUMMYFUNCTION("GoogleTranslate(C91, ""en"", ""kn"")"),"ಹವಾಮಾನ {name} ನಾಳೆ ಗಂಟೆಗೆ")</f>
        <v>ಹವಾಮಾನ {name} ನಾಳೆ ಗಂಟೆಗೆ</v>
      </c>
      <c r="AJ91" s="3" t="str">
        <f>IFERROR(__xludf.DUMMYFUNCTION("GoogleTranslate(C91, ""en"", ""km"")"),"អាកាសធាតុ {name} ថ្ងៃស្អែករៀងរាល់ម៉ោង")</f>
        <v>អាកាសធាតុ {name} ថ្ងៃស្អែករៀងរាល់ម៉ោង</v>
      </c>
      <c r="AK91" s="3" t="str">
        <f>IFERROR(__xludf.DUMMYFUNCTION("GoogleTranslate(C91, ""en"", ""ko"")"),"내일 시간별 날씨 {name}")</f>
        <v>내일 시간별 날씨 {name}</v>
      </c>
      <c r="AL91" s="3" t="str">
        <f>IFERROR(__xludf.DUMMYFUNCTION("GoogleTranslate(C91, ""en"", ""lo"")"),"ສະພາບອາກາດ {name} ມື້ອື່ນທຸກໆຊົ່ວໂມງ")</f>
        <v>ສະພາບອາກາດ {name} ມື້ອື່ນທຸກໆຊົ່ວໂມງ</v>
      </c>
      <c r="AM91" s="3" t="str">
        <f>IFERROR(__xludf.DUMMYFUNCTION("GoogleTranslate(C91, ""en"", ""lv"")"),"Laikapstākļi {name} rīt katru stundu")</f>
        <v>Laikapstākļi {name} rīt katru stundu</v>
      </c>
      <c r="AN91" s="3" t="str">
        <f>IFERROR(__xludf.DUMMYFUNCTION("GoogleTranslate(C91, ""en"", ""lt"")"),"Orai {name} rytoj kas valandą")</f>
        <v>Orai {name} rytoj kas valandą</v>
      </c>
      <c r="AO91" s="3" t="str">
        <f>IFERROR(__xludf.DUMMYFUNCTION("GoogleTranslate(C91, ""en"", ""mk"")"),"Времето {name} утре на час")</f>
        <v>Времето {name} утре на час</v>
      </c>
      <c r="AP91" s="3" t="str">
        <f>IFERROR(__xludf.DUMMYFUNCTION("GoogleTranslate(C91, ""en"", ""ms"")"),"Cuaca {name} esok setiap jam")</f>
        <v>Cuaca {name} esok setiap jam</v>
      </c>
      <c r="AQ91" s="3" t="str">
        <f>IFERROR(__xludf.DUMMYFUNCTION("GoogleTranslate(C91, ""en"", ""ml"")"),"നാളെ ഓരോ മണിക്കൂറിലും {name} കാലാവസ്ഥ")</f>
        <v>നാളെ ഓരോ മണിക്കൂറിലും {name} കാലാവസ്ഥ</v>
      </c>
      <c r="AR91" s="3" t="str">
        <f>IFERROR(__xludf.DUMMYFUNCTION("GoogleTranslate(C91, ""en"", ""mr"")"),"हवामान {name} उद्या तासाला")</f>
        <v>हवामान {name} उद्या तासाला</v>
      </c>
      <c r="AS91" s="3" t="str">
        <f>IFERROR(__xludf.DUMMYFUNCTION("GoogleTranslate(C91, ""en"", ""mn"")"),"{name} цаг агаар маргааш цаг тутамд")</f>
        <v>{name} цаг агаар маргааш цаг тутамд</v>
      </c>
      <c r="AT91" s="3" t="str">
        <f>IFERROR(__xludf.DUMMYFUNCTION("GoogleTranslate(C91, ""en"", ""ne"")"),"मौसम {name} भोलि प्रति घण्टा")</f>
        <v>मौसम {name} भोलि प्रति घण्टा</v>
      </c>
      <c r="AU91" s="3" t="str">
        <f>IFERROR(__xludf.DUMMYFUNCTION("GoogleTranslate(C91, ""en"", ""nb"")"),"Været {name} i morgen hver time")</f>
        <v>Været {name} i morgen hver time</v>
      </c>
      <c r="AV91" s="3" t="str">
        <f>IFERROR(__xludf.DUMMYFUNCTION("GoogleTranslate(C91, ""en"", ""fa"")"),"آب و هوا {name} فردا هر ساعت")</f>
        <v>آب و هوا {name} فردا هر ساعت</v>
      </c>
      <c r="AW91" s="3" t="str">
        <f>IFERROR(__xludf.DUMMYFUNCTION("GoogleTranslate(C91, ""en"", ""pl"")"),"Pogoda {name} jutro co godzinę")</f>
        <v>Pogoda {name} jutro co godzinę</v>
      </c>
      <c r="AX91" s="3" t="str">
        <f>IFERROR(__xludf.DUMMYFUNCTION("GoogleTranslate(C91, ""en"", ""pt"")"),"Tempo {nome} amanhã a cada hora")</f>
        <v>Tempo {nome} amanhã a cada hora</v>
      </c>
      <c r="AY91" s="3" t="str">
        <f>IFERROR(__xludf.DUMMYFUNCTION("GoogleTranslate(C91, ""en"", ""ro"")"),"Vremea {name} mâine la oră")</f>
        <v>Vremea {name} mâine la oră</v>
      </c>
      <c r="AZ91" s="3" t="str">
        <f>IFERROR(__xludf.DUMMYFUNCTION("GoogleTranslate(C91, ""en"", ""ru"")"),"Погода {name} завтра по часам")</f>
        <v>Погода {name} завтра по часам</v>
      </c>
      <c r="BA91" s="3" t="str">
        <f>IFERROR(__xludf.DUMMYFUNCTION("GoogleTranslate(C91, ""en"", ""sr"")"),"Време {наме} сутра по сату")</f>
        <v>Време {наме} сутра по сату</v>
      </c>
      <c r="BB91" s="3" t="str">
        <f>IFERROR(__xludf.DUMMYFUNCTION("GoogleTranslate(C91, ""en"", ""si"")"),"කාලගුණය {name} හෙට පැයට")</f>
        <v>කාලගුණය {name} හෙට පැයට</v>
      </c>
      <c r="BC91" s="3" t="str">
        <f>IFERROR(__xludf.DUMMYFUNCTION("GoogleTranslate(C91, ""en"", ""sk"")"),"Počasie {name} zajtra každú hodinu")</f>
        <v>Počasie {name} zajtra každú hodinu</v>
      </c>
      <c r="BD91" s="3" t="str">
        <f>IFERROR(__xludf.DUMMYFUNCTION("GoogleTranslate(C91, ""en"", ""sl"")"),"Vreme {name} jutri vsako uro")</f>
        <v>Vreme {name} jutri vsako uro</v>
      </c>
      <c r="BE91" s="3" t="str">
        <f>IFERROR(__xludf.DUMMYFUNCTION("GoogleTranslate(C91, ""en"", ""es"")"),"Tiempo {nombre} mañana cada hora")</f>
        <v>Tiempo {nombre} mañana cada hora</v>
      </c>
      <c r="BF91" s="3" t="str">
        <f>IFERROR(__xludf.DUMMYFUNCTION("GoogleTranslate(C91, ""en"", ""sw"")"),"Hali ya hewa {name} kesho kila saa")</f>
        <v>Hali ya hewa {name} kesho kila saa</v>
      </c>
      <c r="BG91" s="3" t="str">
        <f>IFERROR(__xludf.DUMMYFUNCTION("GoogleTranslate(C91, ""en"", ""sv"")"),"Väder {name} i morgon varje timme")</f>
        <v>Väder {name} i morgon varje timme</v>
      </c>
      <c r="BH91" s="3" t="str">
        <f>IFERROR(__xludf.DUMMYFUNCTION("GoogleTranslate(C91, ""en"", ""te"")"),"రేపు గంట వారీ వాతావరణం {name}")</f>
        <v>రేపు గంట వారీ వాతావరణం {name}</v>
      </c>
      <c r="BI91" s="3" t="str">
        <f>IFERROR(__xludf.DUMMYFUNCTION("GoogleTranslate(C91, ""en"", ""th"")"),"สภาพอากาศ {name} พรุ่งนี้ทุกชั่วโมง")</f>
        <v>สภาพอากาศ {name} พรุ่งนี้ทุกชั่วโมง</v>
      </c>
      <c r="BJ91" s="3" t="str">
        <f>IFERROR(__xludf.DUMMYFUNCTION("GoogleTranslate(C91, ""en"", ""tr"")"),"{name} için yarın saatlik hava durumu")</f>
        <v>{name} için yarın saatlik hava durumu</v>
      </c>
      <c r="BK91" s="3" t="str">
        <f>IFERROR(__xludf.DUMMYFUNCTION("GoogleTranslate(C91, ""en"", ""uk"")"),"Погода {name} завтра щогодини")</f>
        <v>Погода {name} завтра щогодини</v>
      </c>
      <c r="BL91" s="3" t="str">
        <f>IFERROR(__xludf.DUMMYFUNCTION("GoogleTranslate(C91, ""en"", ""zu"")"),"Isimo sezulu {name} kusasa njalo ngehora")</f>
        <v>Isimo sezulu {name} kusasa njalo ngehora</v>
      </c>
    </row>
    <row r="92">
      <c r="A92" s="1" t="str">
        <f t="shared" si="1"/>
        <v>Chance_of_rain_in_{name}_tomorrow_by_the_hour</v>
      </c>
      <c r="B92" s="4" t="s">
        <v>150</v>
      </c>
      <c r="C92" s="1" t="str">
        <f t="shared" si="2"/>
        <v>Chance of rain in {name} tomorrow by the hour</v>
      </c>
      <c r="D92" s="3" t="str">
        <f>IFERROR(__xludf.DUMMYFUNCTION("GoogleTranslate(C92, ""en"", ""es"")"),"Probabilidad de lluvia en {nombre} mañana por horas")</f>
        <v>Probabilidad de lluvia en {nombre} mañana por horas</v>
      </c>
      <c r="E92" s="3" t="str">
        <f>IFERROR(__xludf.DUMMYFUNCTION("GoogleTranslate(C92, ""en"", ""ar"")"),"فرصة هطول أمطار في {الاسم} غدا بعد الساعة")</f>
        <v>فرصة هطول أمطار في {الاسم} غدا بعد الساعة</v>
      </c>
      <c r="F92" s="3" t="str">
        <f>IFERROR(__xludf.DUMMYFUNCTION("GoogleTranslate(C92, ""en"", ""hy"")"),"Վաղը ժամ առ ժամ անձրևի հավանականություն կա {name}-ում")</f>
        <v>Վաղը ժամ առ ժամ անձրևի հավանականություն կա {name}-ում</v>
      </c>
      <c r="G92" s="3" t="str">
        <f>IFERROR(__xludf.DUMMYFUNCTION("GoogleTranslate(C92, ""en"", ""vi"")"),"Có thể có mưa ở {name} vào ngày mai theo giờ")</f>
        <v>Có thể có mưa ở {name} vào ngày mai theo giờ</v>
      </c>
      <c r="H92" s="3" t="str">
        <f>IFERROR(__xludf.DUMMYFUNCTION("GoogleTranslate(C92, ""en"", ""az"")"),"Sabah {name} ərazisində yağış ehtimalı")</f>
        <v>Sabah {name} ərazisində yağış ehtimalı</v>
      </c>
      <c r="I92" s="3" t="str">
        <f>IFERROR(__xludf.DUMMYFUNCTION("GoogleTranslate(C92, ""en"", ""eu"")"),"Euria egiteko aukera {name}n bihar ordurako")</f>
        <v>Euria egiteko aukera {name}n bihar ordurako</v>
      </c>
      <c r="J92" s="3" t="str">
        <f>IFERROR(__xludf.DUMMYFUNCTION("GoogleTranslate(C92, ""en"", ""be"")"),"У {name} заўтра па гадзінах магчымы дождж")</f>
        <v>У {name} заўтра па гадзінах магчымы дождж</v>
      </c>
      <c r="K92" s="3" t="str">
        <f>IFERROR(__xludf.DUMMYFUNCTION("GoogleTranslate(C92, ""en"", ""bn"")"),"আগামীকাল {name} এ ঘণ্টায় বৃষ্টির সম্ভাবনা")</f>
        <v>আগামীকাল {name} এ ঘণ্টায় বৃষ্টির সম্ভাবনা</v>
      </c>
      <c r="L92" s="3" t="str">
        <f>IFERROR(__xludf.DUMMYFUNCTION("GoogleTranslate(C92, ""en"", ""bg"")"),"Вероятност за дъжд в {name} утре на всеки час")</f>
        <v>Вероятност за дъжд в {name} утре на всеки час</v>
      </c>
      <c r="M92" s="3" t="str">
        <f>IFERROR(__xludf.DUMMYFUNCTION("GoogleTranslate(C92, ""en"", ""my"")"),"မနက်ဖြန်နာရီပိုင်းအတွင်း မိုးရွာနိုင်ခြေ")</f>
        <v>မနက်ဖြန်နာရီပိုင်းအတွင်း မိုးရွာနိုင်ခြေ</v>
      </c>
      <c r="N92" s="3" t="str">
        <f>IFERROR(__xludf.DUMMYFUNCTION("GoogleTranslate(C92, ""en"", ""ca"")"),"Possibilitat de pluja a {name} demà a l'hora")</f>
        <v>Possibilitat de pluja a {name} demà a l'hora</v>
      </c>
      <c r="O92" s="3" t="str">
        <f>IFERROR(__xludf.DUMMYFUNCTION("GoogleTranslate(C92, ""en"", ""zh-cn"")"),"明天{name}每小时有可能下雨")</f>
        <v>明天{name}每小时有可能下雨</v>
      </c>
      <c r="P92" s="3" t="str">
        <f>IFERROR(__xludf.DUMMYFUNCTION("GoogleTranslate(C92, ""en"", ""zh-TW"")"),"明天{name}每小時有可能下雨")</f>
        <v>明天{name}每小時有可能下雨</v>
      </c>
      <c r="Q92" s="3" t="str">
        <f>IFERROR(__xludf.DUMMYFUNCTION("GoogleTranslate(C92, ""en"", ""hr"")"),"Mogućnost kiše u {name} sutra na sat")</f>
        <v>Mogućnost kiše u {name} sutra na sat</v>
      </c>
      <c r="R92" s="3" t="str">
        <f>IFERROR(__xludf.DUMMYFUNCTION("GoogleTranslate(C92, ""en"", ""cs"")"),"Možnost deště v {name} zítra do hodiny")</f>
        <v>Možnost deště v {name} zítra do hodiny</v>
      </c>
      <c r="S92" s="3" t="str">
        <f>IFERROR(__xludf.DUMMYFUNCTION("GoogleTranslate(C92, ""en"", ""da"")"),"Mulighed for regn i {name} i morgen pr. time")</f>
        <v>Mulighed for regn i {name} i morgen pr. time</v>
      </c>
      <c r="T92" s="3" t="str">
        <f>IFERROR(__xludf.DUMMYFUNCTION("GoogleTranslate(C92, ""en"", ""nl"")"),"Morgen per uur kans op regen in {name}")</f>
        <v>Morgen per uur kans op regen in {name}</v>
      </c>
      <c r="U92" s="3" t="str">
        <f>IFERROR(__xludf.DUMMYFUNCTION("GoogleTranslate(C92, ""en"", ""et"")"),"Vihma võimalus kohas {name} homme iga tund")</f>
        <v>Vihma võimalus kohas {name} homme iga tund</v>
      </c>
      <c r="V92" s="1" t="str">
        <f t="shared" si="3"/>
        <v>Chance of rain in {name} tomorrow by the hour</v>
      </c>
      <c r="W92" s="3" t="str">
        <f>IFERROR(__xludf.DUMMYFUNCTION("GoogleTranslate(C92, ""en"", ""fi"")"),"Sateen mahdollisuus paikassa {name} huomenna tunnin välein")</f>
        <v>Sateen mahdollisuus paikassa {name} huomenna tunnin välein</v>
      </c>
      <c r="X92" s="3" t="str">
        <f>IFERROR(__xludf.DUMMYFUNCTION("GoogleTranslate(C92, ""en"", ""fr"")"),"Risque de pluie à {name} demain par heure")</f>
        <v>Risque de pluie à {name} demain par heure</v>
      </c>
      <c r="Y92" s="3" t="str">
        <f>IFERROR(__xludf.DUMMYFUNCTION("GoogleTranslate(C92, ""en"", ""de"")"),"Morgen kann es stundenweise regnen in {name}")</f>
        <v>Morgen kann es stundenweise regnen in {name}</v>
      </c>
      <c r="Z92" s="3" t="str">
        <f>IFERROR(__xludf.DUMMYFUNCTION("GoogleTranslate(C92, ""en"", ""el"")"),"Πιθανότητα βροχής στο {name} αύριο ανά ώρα")</f>
        <v>Πιθανότητα βροχής στο {name} αύριο ανά ώρα</v>
      </c>
      <c r="AA92" s="3" t="str">
        <f>IFERROR(__xludf.DUMMYFUNCTION("GoogleTranslate(C92, ""en"", ""iw"")"),"סיכוי לגשם ב{name} מחר לפי שעה")</f>
        <v>סיכוי לגשם ב{name} מחר לפי שעה</v>
      </c>
      <c r="AB92" s="3" t="str">
        <f>IFERROR(__xludf.DUMMYFUNCTION("GoogleTranslate(C92, ""en"", ""hi"")"),"कल {नाम} में घंटे के हिसाब से बारिश की संभावना")</f>
        <v>कल {नाम} में घंटे के हिसाब से बारिश की संभावना</v>
      </c>
      <c r="AC92" s="3" t="str">
        <f>IFERROR(__xludf.DUMMYFUNCTION("GoogleTranslate(C92, ""en"", ""hu"")"),"Eső valószínű holnap {name} helyen")</f>
        <v>Eső valószínű holnap {name} helyen</v>
      </c>
      <c r="AD92" s="3" t="str">
        <f>IFERROR(__xludf.DUMMYFUNCTION("GoogleTranslate(C92, ""en"", ""is"")"),"Líkur á rigningu í {name} á morgun eftir klukkustund")</f>
        <v>Líkur á rigningu í {name} á morgun eftir klukkustund</v>
      </c>
      <c r="AE92" s="3" t="str">
        <f>IFERROR(__xludf.DUMMYFUNCTION("GoogleTranslate(C92, ""en"", ""id"")"),"Kemungkinan hujan di {name} besok per jam")</f>
        <v>Kemungkinan hujan di {name} besok per jam</v>
      </c>
      <c r="AF92" s="3" t="str">
        <f>IFERROR(__xludf.DUMMYFUNCTION("GoogleTranslate(C92, ""en"", ""in"")"),"Kemungkinan hujan di {name} besok per jam")</f>
        <v>Kemungkinan hujan di {name} besok per jam</v>
      </c>
      <c r="AG92" s="3" t="str">
        <f>IFERROR(__xludf.DUMMYFUNCTION("GoogleTranslate(C92, ""en"", ""it"")"),"Possibilità di pioggia a {name} domani a ore")</f>
        <v>Possibilità di pioggia a {name} domani a ore</v>
      </c>
      <c r="AH92" s="3" t="str">
        <f>IFERROR(__xludf.DUMMYFUNCTION("GoogleTranslate(C92, ""en"", ""ja"")"),"明日の{name}の時間別の降水確率")</f>
        <v>明日の{name}の時間別の降水確率</v>
      </c>
      <c r="AI92" s="3" t="str">
        <f>IFERROR(__xludf.DUMMYFUNCTION("GoogleTranslate(C92, ""en"", ""kn"")"),"ನಾಳೆ {name} ನಲ್ಲಿ ಗಂಟೆಗೊಮ್ಮೆ ಮಳೆಯಾಗುವ ಸಾಧ್ಯತೆ")</f>
        <v>ನಾಳೆ {name} ನಲ್ಲಿ ಗಂಟೆಗೊಮ್ಮೆ ಮಳೆಯಾಗುವ ಸಾಧ್ಯತೆ</v>
      </c>
      <c r="AJ92" s="3" t="str">
        <f>IFERROR(__xludf.DUMMYFUNCTION("GoogleTranslate(C92, ""en"", ""km"")"),"ឱកាសមានភ្លៀងធ្លាក់ក្នុង {name} ថ្ងៃស្អែកត្រឹមម៉ោង")</f>
        <v>ឱកាសមានភ្លៀងធ្លាក់ក្នុង {name} ថ្ងៃស្អែកត្រឹមម៉ោង</v>
      </c>
      <c r="AK92" s="3" t="str">
        <f>IFERROR(__xludf.DUMMYFUNCTION("GoogleTranslate(C92, ""en"", ""ko"")"),"내일 시간별 {name}에 비가 올 확률")</f>
        <v>내일 시간별 {name}에 비가 올 확률</v>
      </c>
      <c r="AL92" s="3" t="str">
        <f>IFERROR(__xludf.DUMMYFUNCTION("GoogleTranslate(C92, ""en"", ""lo"")"),"ໂອກາດຝົນຕົກໃນ {name} ມື້ອື່ນໂດຍຊົ່ວໂມງ")</f>
        <v>ໂອກາດຝົນຕົກໃນ {name} ມື້ອື່ນໂດຍຊົ່ວໂມງ</v>
      </c>
      <c r="AM92" s="3" t="str">
        <f>IFERROR(__xludf.DUMMYFUNCTION("GoogleTranslate(C92, ""en"", ""lv"")"),"Rīt dienā {name} iespējams lietus")</f>
        <v>Rīt dienā {name} iespējams lietus</v>
      </c>
      <c r="AN92" s="3" t="str">
        <f>IFERROR(__xludf.DUMMYFUNCTION("GoogleTranslate(C92, ""en"", ""lt"")"),"Lietaus tikimybė rytoj {name} valandomis")</f>
        <v>Lietaus tikimybė rytoj {name} valandomis</v>
      </c>
      <c r="AO92" s="3" t="str">
        <f>IFERROR(__xludf.DUMMYFUNCTION("GoogleTranslate(C92, ""en"", ""mk"")"),"Можност за дожд во {name} утре по час")</f>
        <v>Можност за дожд во {name} утре по час</v>
      </c>
      <c r="AP92" s="3" t="str">
        <f>IFERROR(__xludf.DUMMYFUNCTION("GoogleTranslate(C92, ""en"", ""ms"")"),"Kemungkinan hujan di {name} esok mengikut jam")</f>
        <v>Kemungkinan hujan di {name} esok mengikut jam</v>
      </c>
      <c r="AQ92" s="3" t="str">
        <f>IFERROR(__xludf.DUMMYFUNCTION("GoogleTranslate(C92, ""en"", ""ml"")"),"നാളെ {name} എന്ന സ്ഥലത്ത് മണിക്കൂറിൽ മഴ പെയ്യാൻ സാധ്യതയുണ്ട്")</f>
        <v>നാളെ {name} എന്ന സ്ഥലത്ത് മണിക്കൂറിൽ മഴ പെയ്യാൻ സാധ്യതയുണ്ട്</v>
      </c>
      <c r="AR92" s="3" t="str">
        <f>IFERROR(__xludf.DUMMYFUNCTION("GoogleTranslate(C92, ""en"", ""mr"")"),"उद्या {name} मध्ये तासाभराने पावसाची शक्यता आहे")</f>
        <v>उद्या {name} मध्ये तासाभराने पावसाची शक्यता आहे</v>
      </c>
      <c r="AS92" s="3" t="str">
        <f>IFERROR(__xludf.DUMMYFUNCTION("GoogleTranslate(C92, ""en"", ""mn"")"),"Маргааш {name}-д цагт бороо орох магадлалтай")</f>
        <v>Маргааш {name}-д цагт бороо орох магадлалтай</v>
      </c>
      <c r="AT92" s="3" t="str">
        <f>IFERROR(__xludf.DUMMYFUNCTION("GoogleTranslate(C92, ""en"", ""ne"")"),"भोलि {name} मा एक घण्टासम्म पानी पर्ने सम्भावना छ")</f>
        <v>भोलि {name} मा एक घण्टासम्म पानी पर्ने सम्भावना छ</v>
      </c>
      <c r="AU92" s="3" t="str">
        <f>IFERROR(__xludf.DUMMYFUNCTION("GoogleTranslate(C92, ""en"", ""nb"")"),"Sjanse for regn i {name} i morgen hver time")</f>
        <v>Sjanse for regn i {name} i morgen hver time</v>
      </c>
      <c r="AV92" s="3" t="str">
        <f>IFERROR(__xludf.DUMMYFUNCTION("GoogleTranslate(C92, ""en"", ""fa"")"),"احتمال بارندگی در {name} فردا به ساعت")</f>
        <v>احتمال بارندگی در {name} فردا به ساعت</v>
      </c>
      <c r="AW92" s="3" t="str">
        <f>IFERROR(__xludf.DUMMYFUNCTION("GoogleTranslate(C92, ""en"", ""pl"")"),"Jutro prawdopodobieństwo deszczu w {name} do godziny")</f>
        <v>Jutro prawdopodobieństwo deszczu w {name} do godziny</v>
      </c>
      <c r="AX92" s="3" t="str">
        <f>IFERROR(__xludf.DUMMYFUNCTION("GoogleTranslate(C92, ""en"", ""pt"")"),"Possibilidade de chuva em {name} amanhã a cada hora")</f>
        <v>Possibilidade de chuva em {name} amanhã a cada hora</v>
      </c>
      <c r="AY92" s="3" t="str">
        <f>IFERROR(__xludf.DUMMYFUNCTION("GoogleTranslate(C92, ""en"", ""ro"")"),"Şanse de ploaie în {name} mâine la oră")</f>
        <v>Şanse de ploaie în {name} mâine la oră</v>
      </c>
      <c r="AZ92" s="3" t="str">
        <f>IFERROR(__xludf.DUMMYFUNCTION("GoogleTranslate(C92, ""en"", ""ru"")"),"Завтра в {name} возможен дождь, с точностью до часа.")</f>
        <v>Завтра в {name} возможен дождь, с точностью до часа.</v>
      </c>
      <c r="BA92" s="3" t="str">
        <f>IFERROR(__xludf.DUMMYFUNCTION("GoogleTranslate(C92, ""en"", ""sr"")"),"Могућа киша у {наме} сутра до сата")</f>
        <v>Могућа киша у {наме} сутра до сата</v>
      </c>
      <c r="BB92" s="3" t="str">
        <f>IFERROR(__xludf.DUMMYFUNCTION("GoogleTranslate(C92, ""en"", ""si"")"),"හෙට පැයෙන් {name} හි වැසි ඇති වීමට ඉඩ ඇත")</f>
        <v>හෙට පැයෙන් {name} හි වැසි ඇති වීමට ඉඩ ඇත</v>
      </c>
      <c r="BC92" s="3" t="str">
        <f>IFERROR(__xludf.DUMMYFUNCTION("GoogleTranslate(C92, ""en"", ""sk"")"),"Pravdepodobnosť dažďa v mieste {name} zajtra o hodinu")</f>
        <v>Pravdepodobnosť dažďa v mieste {name} zajtra o hodinu</v>
      </c>
      <c r="BD92" s="3" t="str">
        <f>IFERROR(__xludf.DUMMYFUNCTION("GoogleTranslate(C92, ""en"", ""sl"")"),"Možnost dežja v {name} jutri ob eni uri")</f>
        <v>Možnost dežja v {name} jutri ob eni uri</v>
      </c>
      <c r="BE92" s="3" t="str">
        <f>IFERROR(__xludf.DUMMYFUNCTION("GoogleTranslate(C92, ""en"", ""es"")"),"Probabilidad de lluvia en {nombre} mañana por horas")</f>
        <v>Probabilidad de lluvia en {nombre} mañana por horas</v>
      </c>
      <c r="BF92" s="3" t="str">
        <f>IFERROR(__xludf.DUMMYFUNCTION("GoogleTranslate(C92, ""en"", ""sw"")"),"Uwezekano wa mvua kunyesha katika {name} kesho saa moja")</f>
        <v>Uwezekano wa mvua kunyesha katika {name} kesho saa moja</v>
      </c>
      <c r="BG92" s="3" t="str">
        <f>IFERROR(__xludf.DUMMYFUNCTION("GoogleTranslate(C92, ""en"", ""sv"")"),"Risk för regn i {name} i morgon per timme")</f>
        <v>Risk för regn i {name} i morgon per timme</v>
      </c>
      <c r="BH92" s="3" t="str">
        <f>IFERROR(__xludf.DUMMYFUNCTION("GoogleTranslate(C92, ""en"", ""te"")"),"రేపు {name}లో గంట వారీగా వర్షం పడే అవకాశం")</f>
        <v>రేపు {name}లో గంట వారీగా వర్షం పడే అవకాశం</v>
      </c>
      <c r="BI92" s="3" t="str">
        <f>IFERROR(__xludf.DUMMYFUNCTION("GoogleTranslate(C92, ""en"", ""th"")"),"โอกาสที่ฝนจะตกใน {name} พรุ่งนี้ รายชั่วโมง")</f>
        <v>โอกาสที่ฝนจะตกใน {name} พรุ่งนี้ รายชั่วโมง</v>
      </c>
      <c r="BJ92" s="3" t="str">
        <f>IFERROR(__xludf.DUMMYFUNCTION("GoogleTranslate(C92, ""en"", ""tr"")"),"{name} için yarın saat başı yağmur ihtimali")</f>
        <v>{name} için yarın saat başı yağmur ihtimali</v>
      </c>
      <c r="BK92" s="3" t="str">
        <f>IFERROR(__xludf.DUMMYFUNCTION("GoogleTranslate(C92, ""en"", ""uk"")"),"Можливий дощ у {name} завтра на годину")</f>
        <v>Можливий дощ у {name} завтра на годину</v>
      </c>
      <c r="BL92" s="3" t="str">
        <f>IFERROR(__xludf.DUMMYFUNCTION("GoogleTranslate(C92, ""en"", ""zu"")"),"Ithuba lemvula e-{name} kusasa ngehora")</f>
        <v>Ithuba lemvula e-{name} kusasa ngehora</v>
      </c>
    </row>
    <row r="93">
      <c r="A93" s="1" t="str">
        <f t="shared" si="1"/>
        <v>Temperature_in_{name}_tomorrow_by_hour</v>
      </c>
      <c r="B93" s="4" t="s">
        <v>151</v>
      </c>
      <c r="C93" s="1" t="str">
        <f t="shared" si="2"/>
        <v>Temperature in {name} tomorrow by hour</v>
      </c>
      <c r="D93" s="3" t="str">
        <f>IFERROR(__xludf.DUMMYFUNCTION("GoogleTranslate(C93, ""en"", ""es"")"),"Temperatura en {nombre} mañana por hora")</f>
        <v>Temperatura en {nombre} mañana por hora</v>
      </c>
      <c r="E93" s="3" t="str">
        <f>IFERROR(__xludf.DUMMYFUNCTION("GoogleTranslate(C93, ""en"", ""ar"")"),"درجة الحرارة في {name} غدا بساعة")</f>
        <v>درجة الحرارة في {name} غدا بساعة</v>
      </c>
      <c r="F93" s="3" t="str">
        <f>IFERROR(__xludf.DUMMYFUNCTION("GoogleTranslate(C93, ""en"", ""hy"")"),"Ջերմաստիճանը {name}-ում վաղը ժամ առ ժամ")</f>
        <v>Ջերմաստիճանը {name}-ում վաղը ժամ առ ժամ</v>
      </c>
      <c r="G93" s="3" t="str">
        <f>IFERROR(__xludf.DUMMYFUNCTION("GoogleTranslate(C93, ""en"", ""vi"")"),"Nhiệt độ ở {name} ngày mai theo giờ")</f>
        <v>Nhiệt độ ở {name} ngày mai theo giờ</v>
      </c>
      <c r="H93" s="3" t="str">
        <f>IFERROR(__xludf.DUMMYFUNCTION("GoogleTranslate(C93, ""en"", ""az"")"),"Sabah {name} ərazisində temperatur")</f>
        <v>Sabah {name} ərazisində temperatur</v>
      </c>
      <c r="I93" s="3" t="str">
        <f>IFERROR(__xludf.DUMMYFUNCTION("GoogleTranslate(C93, ""en"", ""eu"")"),"{name}ko tenperatura bihar orduz")</f>
        <v>{name}ko tenperatura bihar orduz</v>
      </c>
      <c r="J93" s="3" t="str">
        <f>IFERROR(__xludf.DUMMYFUNCTION("GoogleTranslate(C93, ""en"", ""be"")"),"Тэмпература ў {name} заўтра па гадзінах")</f>
        <v>Тэмпература ў {name} заўтра па гадзінах</v>
      </c>
      <c r="K93" s="3" t="str">
        <f>IFERROR(__xludf.DUMMYFUNCTION("GoogleTranslate(C93, ""en"", ""bn"")"),"আগামীকাল ঘণ্টায় {name}-এ তাপমাত্রা")</f>
        <v>আগামীকাল ঘণ্টায় {name}-এ তাপমাত্রা</v>
      </c>
      <c r="L93" s="3" t="str">
        <f>IFERROR(__xludf.DUMMYFUNCTION("GoogleTranslate(C93, ""en"", ""bg"")"),"Температура в {name} утре по часове")</f>
        <v>Температура в {name} утре по часове</v>
      </c>
      <c r="M93" s="3" t="str">
        <f>IFERROR(__xludf.DUMMYFUNCTION("GoogleTranslate(C93, ""en"", ""my"")"),"မနက်ဖြန် {name} တွင် အပူချိန်")</f>
        <v>မနက်ဖြန် {name} တွင် အပူချိန်</v>
      </c>
      <c r="N93" s="3" t="str">
        <f>IFERROR(__xludf.DUMMYFUNCTION("GoogleTranslate(C93, ""en"", ""ca"")"),"Temperatura a {name} demà per hora")</f>
        <v>Temperatura a {name} demà per hora</v>
      </c>
      <c r="O93" s="3" t="str">
        <f>IFERROR(__xludf.DUMMYFUNCTION("GoogleTranslate(C93, ""en"", ""zh-cn"")"),"明天 {name} 每小时的气温")</f>
        <v>明天 {name} 每小时的气温</v>
      </c>
      <c r="P93" s="3" t="str">
        <f>IFERROR(__xludf.DUMMYFUNCTION("GoogleTranslate(C93, ""en"", ""zh-TW"")"),"明天 {name} 每小時的氣溫")</f>
        <v>明天 {name} 每小時的氣溫</v>
      </c>
      <c r="Q93" s="3" t="str">
        <f>IFERROR(__xludf.DUMMYFUNCTION("GoogleTranslate(C93, ""en"", ""hr"")"),"Temperatura u {name} sutra po satima")</f>
        <v>Temperatura u {name} sutra po satima</v>
      </c>
      <c r="R93" s="3" t="str">
        <f>IFERROR(__xludf.DUMMYFUNCTION("GoogleTranslate(C93, ""en"", ""cs"")"),"Teplota v {name} zítra za hodinu")</f>
        <v>Teplota v {name} zítra za hodinu</v>
      </c>
      <c r="S93" s="3" t="str">
        <f>IFERROR(__xludf.DUMMYFUNCTION("GoogleTranslate(C93, ""en"", ""da"")"),"Temperatur i {name} i morgen for time")</f>
        <v>Temperatur i {name} i morgen for time</v>
      </c>
      <c r="T93" s="3" t="str">
        <f>IFERROR(__xludf.DUMMYFUNCTION("GoogleTranslate(C93, ""en"", ""nl"")"),"Temperatuur in {name} morgen per uur")</f>
        <v>Temperatuur in {name} morgen per uur</v>
      </c>
      <c r="U93" s="3" t="str">
        <f>IFERROR(__xludf.DUMMYFUNCTION("GoogleTranslate(C93, ""en"", ""et"")"),"Temperatuur asukohas {name} homme tundide kaupa")</f>
        <v>Temperatuur asukohas {name} homme tundide kaupa</v>
      </c>
      <c r="V93" s="1" t="str">
        <f t="shared" si="3"/>
        <v>Temperature in {name} tomorrow by hour</v>
      </c>
      <c r="W93" s="3" t="str">
        <f>IFERROR(__xludf.DUMMYFUNCTION("GoogleTranslate(C93, ""en"", ""fi"")"),"Lämpötila paikassa {name} huomenna tunneittain")</f>
        <v>Lämpötila paikassa {name} huomenna tunneittain</v>
      </c>
      <c r="X93" s="3" t="str">
        <f>IFERROR(__xludf.DUMMYFUNCTION("GoogleTranslate(C93, ""en"", ""fr"")"),"Température à {name} demain par heure")</f>
        <v>Température à {name} demain par heure</v>
      </c>
      <c r="Y93" s="3" t="str">
        <f>IFERROR(__xludf.DUMMYFUNCTION("GoogleTranslate(C93, ""en"", ""de"")"),"Temperatur in {name} morgen stundenweise")</f>
        <v>Temperatur in {name} morgen stundenweise</v>
      </c>
      <c r="Z93" s="3" t="str">
        <f>IFERROR(__xludf.DUMMYFUNCTION("GoogleTranslate(C93, ""en"", ""el"")"),"Θερμοκρασία στο {name} αύριο προς ώρα")</f>
        <v>Θερμοκρασία στο {name} αύριο προς ώρα</v>
      </c>
      <c r="AA93" s="3" t="str">
        <f>IFERROR(__xludf.DUMMYFUNCTION("GoogleTranslate(C93, ""en"", ""iw"")"),"טמפרטורה ב{name} מחר לפי שעה")</f>
        <v>טמפרטורה ב{name} מחר לפי שעה</v>
      </c>
      <c r="AB93" s="3" t="str">
        <f>IFERROR(__xludf.DUMMYFUNCTION("GoogleTranslate(C93, ""en"", ""hi"")"),"कल {नाम} में तापमान घंटे के हिसाब से")</f>
        <v>कल {नाम} में तापमान घंटे के हिसाब से</v>
      </c>
      <c r="AC93" s="3" t="str">
        <f>IFERROR(__xludf.DUMMYFUNCTION("GoogleTranslate(C93, ""en"", ""hu"")"),"Hőmérséklet holnap: {name}")</f>
        <v>Hőmérséklet holnap: {name}</v>
      </c>
      <c r="AD93" s="3" t="str">
        <f>IFERROR(__xludf.DUMMYFUNCTION("GoogleTranslate(C93, ""en"", ""is"")"),"Hiti í {name} á morgun eftir klukkustund")</f>
        <v>Hiti í {name} á morgun eftir klukkustund</v>
      </c>
      <c r="AE93" s="3" t="str">
        <f>IFERROR(__xludf.DUMMYFUNCTION("GoogleTranslate(C93, ""en"", ""id"")"),"Suhu di {name} besok per jam")</f>
        <v>Suhu di {name} besok per jam</v>
      </c>
      <c r="AF93" s="3" t="str">
        <f>IFERROR(__xludf.DUMMYFUNCTION("GoogleTranslate(C93, ""en"", ""in"")"),"Suhu di {name} besok per jam")</f>
        <v>Suhu di {name} besok per jam</v>
      </c>
      <c r="AG93" s="3" t="str">
        <f>IFERROR(__xludf.DUMMYFUNCTION("GoogleTranslate(C93, ""en"", ""it"")"),"Temperatura a {name} domani ogni ora")</f>
        <v>Temperatura a {name} domani ogni ora</v>
      </c>
      <c r="AH93" s="3" t="str">
        <f>IFERROR(__xludf.DUMMYFUNCTION("GoogleTranslate(C93, ""en"", ""ja"")"),"明日の{name}の時間別気温")</f>
        <v>明日の{name}の時間別気温</v>
      </c>
      <c r="AI93" s="3" t="str">
        <f>IFERROR(__xludf.DUMMYFUNCTION("GoogleTranslate(C93, ""en"", ""kn"")"),"ನಾಳೆ {name} ನಲ್ಲಿ ತಾಪಮಾನವು ಗಂಟೆಗೆ")</f>
        <v>ನಾಳೆ {name} ನಲ್ಲಿ ತಾಪಮಾನವು ಗಂಟೆಗೆ</v>
      </c>
      <c r="AJ93" s="3" t="str">
        <f>IFERROR(__xludf.DUMMYFUNCTION("GoogleTranslate(C93, ""en"", ""km"")"),"សីតុណ្ហភាពក្នុង {name} ថ្ងៃស្អែកតាមម៉ោង")</f>
        <v>សីតុណ្ហភាពក្នុង {name} ថ្ងៃស្អែកតាមម៉ោង</v>
      </c>
      <c r="AK93" s="3" t="str">
        <f>IFERROR(__xludf.DUMMYFUNCTION("GoogleTranslate(C93, ""en"", ""ko"")"),"내일 {name}의 시간별 기온")</f>
        <v>내일 {name}의 시간별 기온</v>
      </c>
      <c r="AL93" s="3" t="str">
        <f>IFERROR(__xludf.DUMMYFUNCTION("GoogleTranslate(C93, ""en"", ""lo"")"),"ອຸນຫະພູມໃນ {name} ມື້ອື່ນໂດຍຊົ່ວໂມງ")</f>
        <v>ອຸນຫະພູມໃນ {name} ມື້ອື່ນໂດຍຊົ່ວໂມງ</v>
      </c>
      <c r="AM93" s="3" t="str">
        <f>IFERROR(__xludf.DUMMYFUNCTION("GoogleTranslate(C93, ""en"", ""lv"")"),"Temperatūra {name} rīt pa stundām")</f>
        <v>Temperatūra {name} rīt pa stundām</v>
      </c>
      <c r="AN93" s="3" t="str">
        <f>IFERROR(__xludf.DUMMYFUNCTION("GoogleTranslate(C93, ""en"", ""lt"")"),"Temperatūra rytoj {name} valandomis")</f>
        <v>Temperatūra rytoj {name} valandomis</v>
      </c>
      <c r="AO93" s="3" t="str">
        <f>IFERROR(__xludf.DUMMYFUNCTION("GoogleTranslate(C93, ""en"", ""mk"")"),"Температура во {name} утре по час")</f>
        <v>Температура во {name} утре по час</v>
      </c>
      <c r="AP93" s="3" t="str">
        <f>IFERROR(__xludf.DUMMYFUNCTION("GoogleTranslate(C93, ""en"", ""ms"")"),"Suhu dalam {name} esok mengikut jam")</f>
        <v>Suhu dalam {name} esok mengikut jam</v>
      </c>
      <c r="AQ93" s="3" t="str">
        <f>IFERROR(__xludf.DUMMYFUNCTION("GoogleTranslate(C93, ""en"", ""ml"")"),"നാളെ {name}-ലെ താപനില മണിക്കൂറിൽ")</f>
        <v>നാളെ {name}-ലെ താപനില മണിക്കൂറിൽ</v>
      </c>
      <c r="AR93" s="3" t="str">
        <f>IFERROR(__xludf.DUMMYFUNCTION("GoogleTranslate(C93, ""en"", ""mr"")"),"उद्या {name} मध्ये तासानुसार तापमान")</f>
        <v>उद्या {name} मध्ये तासानुसार तापमान</v>
      </c>
      <c r="AS93" s="3" t="str">
        <f>IFERROR(__xludf.DUMMYFUNCTION("GoogleTranslate(C93, ""en"", ""mn"")"),"{name}-д маргааш цагийн температур")</f>
        <v>{name}-д маргааш цагийн температур</v>
      </c>
      <c r="AT93" s="3" t="str">
        <f>IFERROR(__xludf.DUMMYFUNCTION("GoogleTranslate(C93, ""en"", ""ne"")"),"भोलि घन्टा अनुसार {name} मा तापक्रम")</f>
        <v>भोलि घन्टा अनुसार {name} मा तापक्रम</v>
      </c>
      <c r="AU93" s="3" t="str">
        <f>IFERROR(__xludf.DUMMYFUNCTION("GoogleTranslate(C93, ""en"", ""nb"")"),"Temperatur i {name} i morgen for time")</f>
        <v>Temperatur i {name} i morgen for time</v>
      </c>
      <c r="AV93" s="3" t="str">
        <f>IFERROR(__xludf.DUMMYFUNCTION("GoogleTranslate(C93, ""en"", ""fa"")"),"دما در {name} فردا به ساعت")</f>
        <v>دما در {name} فردا به ساعت</v>
      </c>
      <c r="AW93" s="3" t="str">
        <f>IFERROR(__xludf.DUMMYFUNCTION("GoogleTranslate(C93, ""en"", ""pl"")"),"Jutro temperatura w {name} według godzin")</f>
        <v>Jutro temperatura w {name} według godzin</v>
      </c>
      <c r="AX93" s="3" t="str">
        <f>IFERROR(__xludf.DUMMYFUNCTION("GoogleTranslate(C93, ""en"", ""pt"")"),"Temperatura em {name} amanhã por hora")</f>
        <v>Temperatura em {name} amanhã por hora</v>
      </c>
      <c r="AY93" s="3" t="str">
        <f>IFERROR(__xludf.DUMMYFUNCTION("GoogleTranslate(C93, ""en"", ""ro"")"),"Temperatura în {name} mâine după oră")</f>
        <v>Temperatura în {name} mâine după oră</v>
      </c>
      <c r="AZ93" s="3" t="str">
        <f>IFERROR(__xludf.DUMMYFUNCTION("GoogleTranslate(C93, ""en"", ""ru"")"),"Температура в {name} завтра по часам")</f>
        <v>Температура в {name} завтра по часам</v>
      </c>
      <c r="BA93" s="3" t="str">
        <f>IFERROR(__xludf.DUMMYFUNCTION("GoogleTranslate(C93, ""en"", ""sr"")"),"Температура у {наме} сутра по сатима")</f>
        <v>Температура у {наме} сутра по сатима</v>
      </c>
      <c r="BB93" s="3" t="str">
        <f>IFERROR(__xludf.DUMMYFUNCTION("GoogleTranslate(C93, ""en"", ""si"")"),"හෙට {name} හි උෂ්ණත්වය පැයෙන් පැය")</f>
        <v>හෙට {name} හි උෂ්ණත්වය පැයෙන් පැය</v>
      </c>
      <c r="BC93" s="3" t="str">
        <f>IFERROR(__xludf.DUMMYFUNCTION("GoogleTranslate(C93, ""en"", ""sk"")"),"Teplota v {name} zajtra o hodinu")</f>
        <v>Teplota v {name} zajtra o hodinu</v>
      </c>
      <c r="BD93" s="3" t="str">
        <f>IFERROR(__xludf.DUMMYFUNCTION("GoogleTranslate(C93, ""en"", ""sl"")"),"Temperatura v {name} jutri po urah")</f>
        <v>Temperatura v {name} jutri po urah</v>
      </c>
      <c r="BE93" s="3" t="str">
        <f>IFERROR(__xludf.DUMMYFUNCTION("GoogleTranslate(C93, ""en"", ""es"")"),"Temperatura en {nombre} mañana por hora")</f>
        <v>Temperatura en {nombre} mañana por hora</v>
      </c>
      <c r="BF93" s="3" t="str">
        <f>IFERROR(__xludf.DUMMYFUNCTION("GoogleTranslate(C93, ""en"", ""sw"")"),"Halijoto katika {name} kesho kwa saa")</f>
        <v>Halijoto katika {name} kesho kwa saa</v>
      </c>
      <c r="BG93" s="3" t="str">
        <f>IFERROR(__xludf.DUMMYFUNCTION("GoogleTranslate(C93, ""en"", ""sv"")"),"Temperatur i {name} i morgon för timme")</f>
        <v>Temperatur i {name} i morgon för timme</v>
      </c>
      <c r="BH93" s="3" t="str">
        <f>IFERROR(__xludf.DUMMYFUNCTION("GoogleTranslate(C93, ""en"", ""te"")"),"రేపు {name}లో ఉష్ణోగ్రత గంట వారీగా")</f>
        <v>రేపు {name}లో ఉష్ణోగ్రత గంట వారీగా</v>
      </c>
      <c r="BI93" s="3" t="str">
        <f>IFERROR(__xludf.DUMMYFUNCTION("GoogleTranslate(C93, ""en"", ""th"")"),"อุณหภูมิใน {name} พรุ่งนี้รายชั่วโมง")</f>
        <v>อุณหภูมิใน {name} พรุ่งนี้รายชั่วโมง</v>
      </c>
      <c r="BJ93" s="3" t="str">
        <f>IFERROR(__xludf.DUMMYFUNCTION("GoogleTranslate(C93, ""en"", ""tr"")"),"{name}'de yarın saat bazında sıcaklık")</f>
        <v>{name}'de yarın saat bazında sıcaklık</v>
      </c>
      <c r="BK93" s="3" t="str">
        <f>IFERROR(__xludf.DUMMYFUNCTION("GoogleTranslate(C93, ""en"", ""uk"")"),"Температура в {name} завтра по годинах")</f>
        <v>Температура в {name} завтра по годинах</v>
      </c>
      <c r="BL93" s="3" t="str">
        <f>IFERROR(__xludf.DUMMYFUNCTION("GoogleTranslate(C93, ""en"", ""zu"")"),"Izinga lokushisa e-{name} kusasa ngehora")</f>
        <v>Izinga lokushisa e-{name} kusasa ngehora</v>
      </c>
    </row>
    <row r="94">
      <c r="A94" s="1" t="str">
        <f t="shared" si="1"/>
        <v>Uv_index_{name}_tomorrow_hourly</v>
      </c>
      <c r="B94" s="4" t="s">
        <v>152</v>
      </c>
      <c r="C94" s="1" t="str">
        <f t="shared" si="2"/>
        <v>Uv index {name} tomorrow hourly</v>
      </c>
      <c r="D94" s="3" t="str">
        <f>IFERROR(__xludf.DUMMYFUNCTION("GoogleTranslate(C94, ""en"", ""es"")"),"Índice ultravioleta {nombre} mañana cada hora")</f>
        <v>Índice ultravioleta {nombre} mañana cada hora</v>
      </c>
      <c r="E94" s="3" t="str">
        <f>IFERROR(__xludf.DUMMYFUNCTION("GoogleTranslate(C94, ""en"", ""ar"")"),"مؤشر الأشعة فوق البنفسجية {الاسم} غدًا كل ساعة")</f>
        <v>مؤشر الأشعة فوق البنفسجية {الاسم} غدًا كل ساعة</v>
      </c>
      <c r="F94" s="3" t="str">
        <f>IFERROR(__xludf.DUMMYFUNCTION("GoogleTranslate(C94, ""en"", ""hy"")"),"Ուլտրամանուշակագույն ինդեքս {name} վաղը ամեն ժամ")</f>
        <v>Ուլտրամանուշակագույն ինդեքս {name} վաղը ամեն ժամ</v>
      </c>
      <c r="G94" s="3" t="str">
        <f>IFERROR(__xludf.DUMMYFUNCTION("GoogleTranslate(C94, ""en"", ""vi"")"),"Chỉ số Uv {name} ngày mai hàng giờ")</f>
        <v>Chỉ số Uv {name} ngày mai hàng giờ</v>
      </c>
      <c r="H94" s="3" t="str">
        <f>IFERROR(__xludf.DUMMYFUNCTION("GoogleTranslate(C94, ""en"", ""az"")"),"Sabah saatlıq UV indeksi {name}")</f>
        <v>Sabah saatlıq UV indeksi {name}</v>
      </c>
      <c r="I94" s="3" t="str">
        <f>IFERROR(__xludf.DUMMYFUNCTION("GoogleTranslate(C94, ""en"", ""eu"")"),"Uv indizea {izena} bihar orduro")</f>
        <v>Uv indizea {izena} bihar orduro</v>
      </c>
      <c r="J94" s="3" t="str">
        <f>IFERROR(__xludf.DUMMYFUNCTION("GoogleTranslate(C94, ""en"", ""be"")"),"УФ-індэкс {імя} заўтра кожную гадзіну")</f>
        <v>УФ-індэкс {імя} заўтра кожную гадзіну</v>
      </c>
      <c r="K94" s="3" t="str">
        <f>IFERROR(__xludf.DUMMYFUNCTION("GoogleTranslate(C94, ""en"", ""bn"")"),"Uv সূচক {name} আগামীকাল প্রতি ঘণ্টায়")</f>
        <v>Uv সূচক {name} আগামীকাল প্রতি ঘণ্টায়</v>
      </c>
      <c r="L94" s="3" t="str">
        <f>IFERROR(__xludf.DUMMYFUNCTION("GoogleTranslate(C94, ""en"", ""bg"")"),"Uv индекс {name} утре на всеки час")</f>
        <v>Uv индекс {name} утре на всеки час</v>
      </c>
      <c r="M94" s="3" t="str">
        <f>IFERROR(__xludf.DUMMYFUNCTION("GoogleTranslate(C94, ""en"", ""my"")"),"Uv အညွှန်း {name} မနက်ဖြန် နာရီတိုင်း")</f>
        <v>Uv အညွှန်း {name} မနက်ဖြန် နာရီတိုင်း</v>
      </c>
      <c r="N94" s="3" t="str">
        <f>IFERROR(__xludf.DUMMYFUNCTION("GoogleTranslate(C94, ""en"", ""ca"")"),"Índex UV {nom} demà cada hora")</f>
        <v>Índex UV {nom} demà cada hora</v>
      </c>
      <c r="O94" s="3" t="str">
        <f>IFERROR(__xludf.DUMMYFUNCTION("GoogleTranslate(C94, ""en"", ""zh-cn"")"),"紫外线指数 {name} 明天每小时")</f>
        <v>紫外线指数 {name} 明天每小时</v>
      </c>
      <c r="P94" s="3" t="str">
        <f>IFERROR(__xludf.DUMMYFUNCTION("GoogleTranslate(C94, ""en"", ""zh-TW"")"),"紫外線指數 {name} 明天每小時")</f>
        <v>紫外線指數 {name} 明天每小時</v>
      </c>
      <c r="Q94" s="3" t="str">
        <f>IFERROR(__xludf.DUMMYFUNCTION("GoogleTranslate(C94, ""en"", ""hr"")"),"Uv indeks {name} sutra svakog sata")</f>
        <v>Uv indeks {name} sutra svakog sata</v>
      </c>
      <c r="R94" s="3" t="str">
        <f>IFERROR(__xludf.DUMMYFUNCTION("GoogleTranslate(C94, ""en"", ""cs"")"),"UV index {name} zítra každou hodinu")</f>
        <v>UV index {name} zítra každou hodinu</v>
      </c>
      <c r="S94" s="3" t="str">
        <f>IFERROR(__xludf.DUMMYFUNCTION("GoogleTranslate(C94, ""en"", ""da"")"),"Uv-indeks {name} i morgen hver time")</f>
        <v>Uv-indeks {name} i morgen hver time</v>
      </c>
      <c r="T94" s="3" t="str">
        <f>IFERROR(__xludf.DUMMYFUNCTION("GoogleTranslate(C94, ""en"", ""nl"")"),"Uv-index {naam} morgen elk uur")</f>
        <v>Uv-index {naam} morgen elk uur</v>
      </c>
      <c r="U94" s="3" t="str">
        <f>IFERROR(__xludf.DUMMYFUNCTION("GoogleTranslate(C94, ""en"", ""et"")"),"UV-indeks {name} homme tunnis")</f>
        <v>UV-indeks {name} homme tunnis</v>
      </c>
      <c r="V94" s="1" t="str">
        <f t="shared" si="3"/>
        <v>Uv index {name} tomorrow hourly</v>
      </c>
      <c r="W94" s="3" t="str">
        <f>IFERROR(__xludf.DUMMYFUNCTION("GoogleTranslate(C94, ""en"", ""fi"")"),"UV-indeksi {name} huomenna tunnin välein")</f>
        <v>UV-indeksi {name} huomenna tunnin välein</v>
      </c>
      <c r="X94" s="3" t="str">
        <f>IFERROR(__xludf.DUMMYFUNCTION("GoogleTranslate(C94, ""en"", ""fr"")"),"Indice Uv {name} demain horaire")</f>
        <v>Indice Uv {name} demain horaire</v>
      </c>
      <c r="Y94" s="3" t="str">
        <f>IFERROR(__xludf.DUMMYFUNCTION("GoogleTranslate(C94, ""en"", ""de"")"),"UV-Index {Name} morgen stündlich")</f>
        <v>UV-Index {Name} morgen stündlich</v>
      </c>
      <c r="Z94" s="3" t="str">
        <f>IFERROR(__xludf.DUMMYFUNCTION("GoogleTranslate(C94, ""en"", ""el"")"),"Ευρετήριο UV {name} αύριο κάθε ώρα")</f>
        <v>Ευρετήριο UV {name} αύριο κάθε ώρα</v>
      </c>
      <c r="AA94" s="3" t="str">
        <f>IFERROR(__xludf.DUMMYFUNCTION("GoogleTranslate(C94, ""en"", ""iw"")"),"אינדקס UV {name} מחר לפי שעה")</f>
        <v>אינדקס UV {name} מחר לפי שעה</v>
      </c>
      <c r="AB94" s="3" t="str">
        <f>IFERROR(__xludf.DUMMYFUNCTION("GoogleTranslate(C94, ""en"", ""hi"")"),"यूवी सूचकांक {नाम} कल प्रति घंटा")</f>
        <v>यूवी सूचकांक {नाम} कल प्रति घंटा</v>
      </c>
      <c r="AC94" s="3" t="str">
        <f>IFERROR(__xludf.DUMMYFUNCTION("GoogleTranslate(C94, ""en"", ""hu"")"),"Uv index {name} holnap óránként")</f>
        <v>Uv index {name} holnap óránként</v>
      </c>
      <c r="AD94" s="3" t="str">
        <f>IFERROR(__xludf.DUMMYFUNCTION("GoogleTranslate(C94, ""en"", ""is"")"),"UV vísitala {name} á morgun á klukkutíma fresti")</f>
        <v>UV vísitala {name} á morgun á klukkutíma fresti</v>
      </c>
      <c r="AE94" s="3" t="str">
        <f>IFERROR(__xludf.DUMMYFUNCTION("GoogleTranslate(C94, ""en"", ""id"")"),"Indeks UV {name} besok setiap jam")</f>
        <v>Indeks UV {name} besok setiap jam</v>
      </c>
      <c r="AF94" s="3" t="str">
        <f>IFERROR(__xludf.DUMMYFUNCTION("GoogleTranslate(C94, ""en"", ""in"")"),"Indeks UV {name} besok setiap jam")</f>
        <v>Indeks UV {name} besok setiap jam</v>
      </c>
      <c r="AG94" s="3" t="str">
        <f>IFERROR(__xludf.DUMMYFUNCTION("GoogleTranslate(C94, ""en"", ""it"")"),"Indice Uv {nome} domani ogni ora")</f>
        <v>Indice Uv {nome} domani ogni ora</v>
      </c>
      <c r="AH94" s="3" t="str">
        <f>IFERROR(__xludf.DUMMYFUNCTION("GoogleTranslate(C94, ""en"", ""ja"")"),"明日の紫外線指数 {name} の時間別")</f>
        <v>明日の紫外線指数 {name} の時間別</v>
      </c>
      <c r="AI94" s="3" t="str">
        <f>IFERROR(__xludf.DUMMYFUNCTION("GoogleTranslate(C94, ""en"", ""kn"")"),"ಯುವಿ ಸೂಚ್ಯಂಕ {name} ನಾಳೆ ಗಂಟೆಗೆ")</f>
        <v>ಯುವಿ ಸೂಚ್ಯಂಕ {name} ನಾಳೆ ಗಂಟೆಗೆ</v>
      </c>
      <c r="AJ94" s="3" t="str">
        <f>IFERROR(__xludf.DUMMYFUNCTION("GoogleTranslate(C94, ""en"", ""km"")"),"Uv index {name} ថ្ងៃស្អែករៀងរាល់ម៉ោង")</f>
        <v>Uv index {name} ថ្ងៃស្អែករៀងរាល់ម៉ោង</v>
      </c>
      <c r="AK94" s="3" t="str">
        <f>IFERROR(__xludf.DUMMYFUNCTION("GoogleTranslate(C94, ""en"", ""ko"")"),"자외선 지수 {name} 내일 시간별")</f>
        <v>자외선 지수 {name} 내일 시간별</v>
      </c>
      <c r="AL94" s="3" t="str">
        <f>IFERROR(__xludf.DUMMYFUNCTION("GoogleTranslate(C94, ""en"", ""lo"")"),"Uv index {name} ມື້ອື່ນທຸກຊົ່ວໂມງ")</f>
        <v>Uv index {name} ມື້ອື່ນທຸກຊົ່ວໂມງ</v>
      </c>
      <c r="AM94" s="3" t="str">
        <f>IFERROR(__xludf.DUMMYFUNCTION("GoogleTranslate(C94, ""en"", ""lv"")"),"UV indekss {name} rīt reizi stundā")</f>
        <v>UV indekss {name} rīt reizi stundā</v>
      </c>
      <c r="AN94" s="3" t="str">
        <f>IFERROR(__xludf.DUMMYFUNCTION("GoogleTranslate(C94, ""en"", ""lt"")"),"UV indeksas {name} rytoj kas valandą")</f>
        <v>UV indeksas {name} rytoj kas valandą</v>
      </c>
      <c r="AO94" s="3" t="str">
        <f>IFERROR(__xludf.DUMMYFUNCTION("GoogleTranslate(C94, ""en"", ""mk"")"),"УВ индекс {име} утре секој час")</f>
        <v>УВ индекс {име} утре секој час</v>
      </c>
      <c r="AP94" s="3" t="str">
        <f>IFERROR(__xludf.DUMMYFUNCTION("GoogleTranslate(C94, ""en"", ""ms"")"),"Indeks UV {nama} esok setiap jam")</f>
        <v>Indeks UV {nama} esok setiap jam</v>
      </c>
      <c r="AQ94" s="3" t="str">
        <f>IFERROR(__xludf.DUMMYFUNCTION("GoogleTranslate(C94, ""en"", ""ml"")"),"Uv സൂചിക {name} നാളെ മണിക്കൂർ തോറും")</f>
        <v>Uv സൂചിക {name} നാളെ മണിക്കൂർ തോറും</v>
      </c>
      <c r="AR94" s="3" t="str">
        <f>IFERROR(__xludf.DUMMYFUNCTION("GoogleTranslate(C94, ""en"", ""mr"")"),"Uv इंडेक्स {name} उद्या तासाला")</f>
        <v>Uv इंडेक्स {name} उद्या तासाला</v>
      </c>
      <c r="AS94" s="3" t="str">
        <f>IFERROR(__xludf.DUMMYFUNCTION("GoogleTranslate(C94, ""en"", ""mn"")"),"Маргааш цаг тутамд UV индекс {name}")</f>
        <v>Маргааш цаг тутамд UV индекс {name}</v>
      </c>
      <c r="AT94" s="3" t="str">
        <f>IFERROR(__xludf.DUMMYFUNCTION("GoogleTranslate(C94, ""en"", ""ne"")"),"Uv अनुक्रमणिका {name} भोलि प्रति घण्टा")</f>
        <v>Uv अनुक्रमणिका {name} भोलि प्रति घण्टा</v>
      </c>
      <c r="AU94" s="3" t="str">
        <f>IFERROR(__xludf.DUMMYFUNCTION("GoogleTranslate(C94, ""en"", ""nb"")"),"Uv-indeks {name} i morgen hver time")</f>
        <v>Uv-indeks {name} i morgen hver time</v>
      </c>
      <c r="AV94" s="3" t="str">
        <f>IFERROR(__xludf.DUMMYFUNCTION("GoogleTranslate(C94, ""en"", ""fa"")"),"شاخص Uv {name} فردا هر ساعت")</f>
        <v>شاخص Uv {name} فردا هر ساعت</v>
      </c>
      <c r="AW94" s="3" t="str">
        <f>IFERROR(__xludf.DUMMYFUNCTION("GoogleTranslate(C94, ""en"", ""pl"")"),"Indeks UV {name} jutro co godzinę")</f>
        <v>Indeks UV {name} jutro co godzinę</v>
      </c>
      <c r="AX94" s="3" t="str">
        <f>IFERROR(__xludf.DUMMYFUNCTION("GoogleTranslate(C94, ""en"", ""pt"")"),"Índice UV {nome} amanhã de hora em hora")</f>
        <v>Índice UV {nome} amanhã de hora em hora</v>
      </c>
      <c r="AY94" s="3" t="str">
        <f>IFERROR(__xludf.DUMMYFUNCTION("GoogleTranslate(C94, ""en"", ""ro"")"),"Index UV {name} mâine la oră")</f>
        <v>Index UV {name} mâine la oră</v>
      </c>
      <c r="AZ94" s="3" t="str">
        <f>IFERROR(__xludf.DUMMYFUNCTION("GoogleTranslate(C94, ""en"", ""ru"")"),"УФ-индекс {имя} завтра каждый час")</f>
        <v>УФ-индекс {имя} завтра каждый час</v>
      </c>
      <c r="BA94" s="3" t="str">
        <f>IFERROR(__xludf.DUMMYFUNCTION("GoogleTranslate(C94, ""en"", ""sr"")"),"УВ индекс {наме} сутра сваког сата")</f>
        <v>УВ индекс {наме} сутра сваког сата</v>
      </c>
      <c r="BB94" s="3" t="str">
        <f>IFERROR(__xludf.DUMMYFUNCTION("GoogleTranslate(C94, ""en"", ""si"")"),"Uv දර්ශකය {name} හෙට පැයකට")</f>
        <v>Uv දර්ශකය {name} හෙට පැයකට</v>
      </c>
      <c r="BC94" s="3" t="str">
        <f>IFERROR(__xludf.DUMMYFUNCTION("GoogleTranslate(C94, ""en"", ""sk"")"),"UV index {name} zajtra každú hodinu")</f>
        <v>UV index {name} zajtra každú hodinu</v>
      </c>
      <c r="BD94" s="3" t="str">
        <f>IFERROR(__xludf.DUMMYFUNCTION("GoogleTranslate(C94, ""en"", ""sl"")"),"Uv indeks {name} jutri vsako uro")</f>
        <v>Uv indeks {name} jutri vsako uro</v>
      </c>
      <c r="BE94" s="3" t="str">
        <f>IFERROR(__xludf.DUMMYFUNCTION("GoogleTranslate(C94, ""en"", ""es"")"),"Índice ultravioleta {nombre} mañana cada hora")</f>
        <v>Índice ultravioleta {nombre} mañana cada hora</v>
      </c>
      <c r="BF94" s="3" t="str">
        <f>IFERROR(__xludf.DUMMYFUNCTION("GoogleTranslate(C94, ""en"", ""sw"")"),"Uv index {name} kesho kila saa")</f>
        <v>Uv index {name} kesho kila saa</v>
      </c>
      <c r="BG94" s="3" t="str">
        <f>IFERROR(__xludf.DUMMYFUNCTION("GoogleTranslate(C94, ""en"", ""sv"")"),"Uv-index {name} i morgon varje timme")</f>
        <v>Uv-index {name} i morgon varje timme</v>
      </c>
      <c r="BH94" s="3" t="str">
        <f>IFERROR(__xludf.DUMMYFUNCTION("GoogleTranslate(C94, ""en"", ""te"")"),"Uv సూచిక {name} రేపు గంటకు")</f>
        <v>Uv సూచిక {name} రేపు గంటకు</v>
      </c>
      <c r="BI94" s="3" t="str">
        <f>IFERROR(__xludf.DUMMYFUNCTION("GoogleTranslate(C94, ""en"", ""th"")"),"ดัชนี UV {name} พรุ่งนี้ ทุกชั่วโมง")</f>
        <v>ดัชนี UV {name} พรุ่งนี้ ทุกชั่วโมง</v>
      </c>
      <c r="BJ94" s="3" t="str">
        <f>IFERROR(__xludf.DUMMYFUNCTION("GoogleTranslate(C94, ""en"", ""tr"")"),"UV indeksi {name} yarın saatlik")</f>
        <v>UV indeksi {name} yarın saatlik</v>
      </c>
      <c r="BK94" s="3" t="str">
        <f>IFERROR(__xludf.DUMMYFUNCTION("GoogleTranslate(C94, ""en"", ""uk"")"),"УФ-індекс {name} завтра щогодини")</f>
        <v>УФ-індекс {name} завтра щогодини</v>
      </c>
      <c r="BL94" s="3" t="str">
        <f>IFERROR(__xludf.DUMMYFUNCTION("GoogleTranslate(C94, ""en"", ""zu"")"),"Inkomba ye-Uv {name} kusasa njalo ngehora")</f>
        <v>Inkomba ye-Uv {name} kusasa njalo ngehora</v>
      </c>
    </row>
    <row r="95">
      <c r="A95" s="1" t="str">
        <f t="shared" si="1"/>
        <v>Short</v>
      </c>
      <c r="B95" s="4" t="s">
        <v>153</v>
      </c>
      <c r="C95" s="1" t="str">
        <f t="shared" si="2"/>
        <v>Short</v>
      </c>
      <c r="D95" s="3" t="str">
        <f>IFERROR(__xludf.DUMMYFUNCTION("GoogleTranslate(C95, ""en"", ""es"")"),"Corto")</f>
        <v>Corto</v>
      </c>
      <c r="E95" s="3" t="str">
        <f>IFERROR(__xludf.DUMMYFUNCTION("GoogleTranslate(C95, ""en"", ""ar"")"),"قصير")</f>
        <v>قصير</v>
      </c>
      <c r="F95" s="3" t="str">
        <f>IFERROR(__xludf.DUMMYFUNCTION("GoogleTranslate(C95, ""en"", ""hy"")"),"Կարճ")</f>
        <v>Կարճ</v>
      </c>
      <c r="G95" s="3" t="str">
        <f>IFERROR(__xludf.DUMMYFUNCTION("GoogleTranslate(C95, ""en"", ""vi"")"),"Ngắn")</f>
        <v>Ngắn</v>
      </c>
      <c r="H95" s="3" t="str">
        <f>IFERROR(__xludf.DUMMYFUNCTION("GoogleTranslate(C95, ""en"", ""az"")"),"Qısa")</f>
        <v>Qısa</v>
      </c>
      <c r="I95" s="3" t="str">
        <f>IFERROR(__xludf.DUMMYFUNCTION("GoogleTranslate(C95, ""en"", ""eu"")"),"Laburra")</f>
        <v>Laburra</v>
      </c>
      <c r="J95" s="3" t="str">
        <f>IFERROR(__xludf.DUMMYFUNCTION("GoogleTranslate(C95, ""en"", ""be"")"),"Кароткі")</f>
        <v>Кароткі</v>
      </c>
      <c r="K95" s="3" t="str">
        <f>IFERROR(__xludf.DUMMYFUNCTION("GoogleTranslate(C95, ""en"", ""bn"")"),"সংক্ষিপ্ত")</f>
        <v>সংক্ষিপ্ত</v>
      </c>
      <c r="L95" s="3" t="str">
        <f>IFERROR(__xludf.DUMMYFUNCTION("GoogleTranslate(C95, ""en"", ""bg"")"),"Кратко")</f>
        <v>Кратко</v>
      </c>
      <c r="M95" s="3" t="str">
        <f>IFERROR(__xludf.DUMMYFUNCTION("GoogleTranslate(C95, ""en"", ""my"")"),"တိုတို")</f>
        <v>တိုတို</v>
      </c>
      <c r="N95" s="3" t="str">
        <f>IFERROR(__xludf.DUMMYFUNCTION("GoogleTranslate(C95, ""en"", ""ca"")"),"Curta")</f>
        <v>Curta</v>
      </c>
      <c r="O95" s="3" t="str">
        <f>IFERROR(__xludf.DUMMYFUNCTION("GoogleTranslate(C95, ""en"", ""zh-cn"")"),"短的")</f>
        <v>短的</v>
      </c>
      <c r="P95" s="3" t="str">
        <f>IFERROR(__xludf.DUMMYFUNCTION("GoogleTranslate(C95, ""en"", ""zh-TW"")"),"短的")</f>
        <v>短的</v>
      </c>
      <c r="Q95" s="3" t="str">
        <f>IFERROR(__xludf.DUMMYFUNCTION("GoogleTranslate(C95, ""en"", ""hr"")"),"Kratak")</f>
        <v>Kratak</v>
      </c>
      <c r="R95" s="3" t="str">
        <f>IFERROR(__xludf.DUMMYFUNCTION("GoogleTranslate(C95, ""en"", ""cs"")"),"Krátký")</f>
        <v>Krátký</v>
      </c>
      <c r="S95" s="3" t="str">
        <f>IFERROR(__xludf.DUMMYFUNCTION("GoogleTranslate(C95, ""en"", ""da"")"),"Kort")</f>
        <v>Kort</v>
      </c>
      <c r="T95" s="3" t="str">
        <f>IFERROR(__xludf.DUMMYFUNCTION("GoogleTranslate(C95, ""en"", ""nl"")"),"Kort")</f>
        <v>Kort</v>
      </c>
      <c r="U95" s="3" t="str">
        <f>IFERROR(__xludf.DUMMYFUNCTION("GoogleTranslate(C95, ""en"", ""et"")"),"Lühike")</f>
        <v>Lühike</v>
      </c>
      <c r="V95" s="1" t="str">
        <f t="shared" si="3"/>
        <v>Short</v>
      </c>
      <c r="W95" s="3" t="str">
        <f>IFERROR(__xludf.DUMMYFUNCTION("GoogleTranslate(C95, ""en"", ""fi"")"),"Lyhyt")</f>
        <v>Lyhyt</v>
      </c>
      <c r="X95" s="3" t="str">
        <f>IFERROR(__xludf.DUMMYFUNCTION("GoogleTranslate(C95, ""en"", ""fr"")"),"Court")</f>
        <v>Court</v>
      </c>
      <c r="Y95" s="3" t="str">
        <f>IFERROR(__xludf.DUMMYFUNCTION("GoogleTranslate(C95, ""en"", ""de"")"),"Kurz")</f>
        <v>Kurz</v>
      </c>
      <c r="Z95" s="3" t="str">
        <f>IFERROR(__xludf.DUMMYFUNCTION("GoogleTranslate(C95, ""en"", ""el"")"),"Μικρός")</f>
        <v>Μικρός</v>
      </c>
      <c r="AA95" s="3" t="str">
        <f>IFERROR(__xludf.DUMMYFUNCTION("GoogleTranslate(C95, ""en"", ""iw"")"),"קָצָר")</f>
        <v>קָצָר</v>
      </c>
      <c r="AB95" s="3" t="str">
        <f>IFERROR(__xludf.DUMMYFUNCTION("GoogleTranslate(C95, ""en"", ""hi"")"),"छोटा")</f>
        <v>छोटा</v>
      </c>
      <c r="AC95" s="3" t="str">
        <f>IFERROR(__xludf.DUMMYFUNCTION("GoogleTranslate(C95, ""en"", ""hu"")"),"Rövid")</f>
        <v>Rövid</v>
      </c>
      <c r="AD95" s="3" t="str">
        <f>IFERROR(__xludf.DUMMYFUNCTION("GoogleTranslate(C95, ""en"", ""is"")"),"Stutt")</f>
        <v>Stutt</v>
      </c>
      <c r="AE95" s="3" t="str">
        <f>IFERROR(__xludf.DUMMYFUNCTION("GoogleTranslate(C95, ""en"", ""id"")"),"Pendek")</f>
        <v>Pendek</v>
      </c>
      <c r="AF95" s="3" t="str">
        <f>IFERROR(__xludf.DUMMYFUNCTION("GoogleTranslate(C95, ""en"", ""in"")"),"Pendek")</f>
        <v>Pendek</v>
      </c>
      <c r="AG95" s="3" t="str">
        <f>IFERROR(__xludf.DUMMYFUNCTION("GoogleTranslate(C95, ""en"", ""it"")"),"Corto")</f>
        <v>Corto</v>
      </c>
      <c r="AH95" s="3" t="str">
        <f>IFERROR(__xludf.DUMMYFUNCTION("GoogleTranslate(C95, ""en"", ""ja"")"),"短い")</f>
        <v>短い</v>
      </c>
      <c r="AI95" s="3" t="str">
        <f>IFERROR(__xludf.DUMMYFUNCTION("GoogleTranslate(C95, ""en"", ""kn"")"),"ಚಿಕ್ಕದು")</f>
        <v>ಚಿಕ್ಕದು</v>
      </c>
      <c r="AJ95" s="3" t="str">
        <f>IFERROR(__xludf.DUMMYFUNCTION("GoogleTranslate(C95, ""en"", ""km"")"),"ខ្លី")</f>
        <v>ខ្លី</v>
      </c>
      <c r="AK95" s="3" t="str">
        <f>IFERROR(__xludf.DUMMYFUNCTION("GoogleTranslate(C95, ""en"", ""ko"")"),"짧은")</f>
        <v>짧은</v>
      </c>
      <c r="AL95" s="3" t="str">
        <f>IFERROR(__xludf.DUMMYFUNCTION("GoogleTranslate(C95, ""en"", ""lo"")"),"ສັ້ນ")</f>
        <v>ສັ້ນ</v>
      </c>
      <c r="AM95" s="3" t="str">
        <f>IFERROR(__xludf.DUMMYFUNCTION("GoogleTranslate(C95, ""en"", ""lv"")"),"Īss")</f>
        <v>Īss</v>
      </c>
      <c r="AN95" s="3" t="str">
        <f>IFERROR(__xludf.DUMMYFUNCTION("GoogleTranslate(C95, ""en"", ""lt"")"),"Trumpas")</f>
        <v>Trumpas</v>
      </c>
      <c r="AO95" s="3" t="str">
        <f>IFERROR(__xludf.DUMMYFUNCTION("GoogleTranslate(C95, ""en"", ""mk"")"),"Кратко")</f>
        <v>Кратко</v>
      </c>
      <c r="AP95" s="3" t="str">
        <f>IFERROR(__xludf.DUMMYFUNCTION("GoogleTranslate(C95, ""en"", ""ms"")"),"pendek")</f>
        <v>pendek</v>
      </c>
      <c r="AQ95" s="3" t="str">
        <f>IFERROR(__xludf.DUMMYFUNCTION("GoogleTranslate(C95, ""en"", ""ml"")"),"ചെറുത്")</f>
        <v>ചെറുത്</v>
      </c>
      <c r="AR95" s="3" t="str">
        <f>IFERROR(__xludf.DUMMYFUNCTION("GoogleTranslate(C95, ""en"", ""mr"")"),"लहान")</f>
        <v>लहान</v>
      </c>
      <c r="AS95" s="3" t="str">
        <f>IFERROR(__xludf.DUMMYFUNCTION("GoogleTranslate(C95, ""en"", ""mn"")"),"Богино")</f>
        <v>Богино</v>
      </c>
      <c r="AT95" s="3" t="str">
        <f>IFERROR(__xludf.DUMMYFUNCTION("GoogleTranslate(C95, ""en"", ""ne"")"),"छोटो")</f>
        <v>छोटो</v>
      </c>
      <c r="AU95" s="3" t="str">
        <f>IFERROR(__xludf.DUMMYFUNCTION("GoogleTranslate(C95, ""en"", ""nb"")"),"Kort")</f>
        <v>Kort</v>
      </c>
      <c r="AV95" s="3" t="str">
        <f>IFERROR(__xludf.DUMMYFUNCTION("GoogleTranslate(C95, ""en"", ""fa"")"),"کوتاه")</f>
        <v>کوتاه</v>
      </c>
      <c r="AW95" s="3" t="str">
        <f>IFERROR(__xludf.DUMMYFUNCTION("GoogleTranslate(C95, ""en"", ""pl"")"),"Krótki")</f>
        <v>Krótki</v>
      </c>
      <c r="AX95" s="3" t="str">
        <f>IFERROR(__xludf.DUMMYFUNCTION("GoogleTranslate(C95, ""en"", ""pt"")"),"Curto")</f>
        <v>Curto</v>
      </c>
      <c r="AY95" s="3" t="str">
        <f>IFERROR(__xludf.DUMMYFUNCTION("GoogleTranslate(C95, ""en"", ""ro"")"),"Scurt")</f>
        <v>Scurt</v>
      </c>
      <c r="AZ95" s="3" t="str">
        <f>IFERROR(__xludf.DUMMYFUNCTION("GoogleTranslate(C95, ""en"", ""ru"")"),"Короткий")</f>
        <v>Короткий</v>
      </c>
      <c r="BA95" s="3" t="str">
        <f>IFERROR(__xludf.DUMMYFUNCTION("GoogleTranslate(C95, ""en"", ""sr"")"),"Кратко")</f>
        <v>Кратко</v>
      </c>
      <c r="BB95" s="3" t="str">
        <f>IFERROR(__xludf.DUMMYFUNCTION("GoogleTranslate(C95, ""en"", ""si"")"),"කෙටි")</f>
        <v>කෙටි</v>
      </c>
      <c r="BC95" s="3" t="str">
        <f>IFERROR(__xludf.DUMMYFUNCTION("GoogleTranslate(C95, ""en"", ""sk"")"),"Krátke")</f>
        <v>Krátke</v>
      </c>
      <c r="BD95" s="3" t="str">
        <f>IFERROR(__xludf.DUMMYFUNCTION("GoogleTranslate(C95, ""en"", ""sl"")"),"Kratek")</f>
        <v>Kratek</v>
      </c>
      <c r="BE95" s="3" t="str">
        <f>IFERROR(__xludf.DUMMYFUNCTION("GoogleTranslate(C95, ""en"", ""es"")"),"Corto")</f>
        <v>Corto</v>
      </c>
      <c r="BF95" s="3" t="str">
        <f>IFERROR(__xludf.DUMMYFUNCTION("GoogleTranslate(C95, ""en"", ""sw"")"),"Mfupi")</f>
        <v>Mfupi</v>
      </c>
      <c r="BG95" s="3" t="str">
        <f>IFERROR(__xludf.DUMMYFUNCTION("GoogleTranslate(C95, ""en"", ""sv"")"),"Kort")</f>
        <v>Kort</v>
      </c>
      <c r="BH95" s="3" t="str">
        <f>IFERROR(__xludf.DUMMYFUNCTION("GoogleTranslate(C95, ""en"", ""te"")"),"పొట్టి")</f>
        <v>పొట్టి</v>
      </c>
      <c r="BI95" s="3" t="str">
        <f>IFERROR(__xludf.DUMMYFUNCTION("GoogleTranslate(C95, ""en"", ""th"")"),"สั้น")</f>
        <v>สั้น</v>
      </c>
      <c r="BJ95" s="3" t="str">
        <f>IFERROR(__xludf.DUMMYFUNCTION("GoogleTranslate(C95, ""en"", ""tr"")"),"Kısa")</f>
        <v>Kısa</v>
      </c>
      <c r="BK95" s="3" t="str">
        <f>IFERROR(__xludf.DUMMYFUNCTION("GoogleTranslate(C95, ""en"", ""uk"")"),"Короткий")</f>
        <v>Короткий</v>
      </c>
      <c r="BL95" s="3" t="str">
        <f>IFERROR(__xludf.DUMMYFUNCTION("GoogleTranslate(C95, ""en"", ""zu"")"),"Kufushane")</f>
        <v>Kufushane</v>
      </c>
    </row>
    <row r="96">
      <c r="A96" s="1" t="str">
        <f t="shared" si="1"/>
        <v>Low_UV_levels,_no_need_for_special_protection_when_outdoors.</v>
      </c>
      <c r="B96" s="4" t="s">
        <v>154</v>
      </c>
      <c r="C96" s="1" t="str">
        <f t="shared" si="2"/>
        <v>Low UV levels, no need for special protection when outdoors.</v>
      </c>
      <c r="D96" s="3" t="str">
        <f>IFERROR(__xludf.DUMMYFUNCTION("GoogleTranslate(C96, ""en"", ""es"")"),"Bajos niveles de UV, sin necesidad de protección especial al aire libre.")</f>
        <v>Bajos niveles de UV, sin necesidad de protección especial al aire libre.</v>
      </c>
      <c r="E96" s="3" t="str">
        <f>IFERROR(__xludf.DUMMYFUNCTION("GoogleTranslate(C96, ""en"", ""ar"")"),"مستويات منخفضة من الأشعة فوق البنفسجية، لا حاجة لحماية خاصة عندما تكون في الهواء الطلق.")</f>
        <v>مستويات منخفضة من الأشعة فوق البنفسجية، لا حاجة لحماية خاصة عندما تكون في الهواء الطلق.</v>
      </c>
      <c r="F96" s="3" t="str">
        <f>IFERROR(__xludf.DUMMYFUNCTION("GoogleTranslate(C96, ""en"", ""hy"")"),"Ուլտրամանուշակագույն ճառագայթման ցածր մակարդակ, դրսում հատուկ պաշտպանության կարիք չկա:")</f>
        <v>Ուլտրամանուշակագույն ճառագայթման ցածր մակարդակ, դրսում հատուկ պաշտպանության կարիք չկա:</v>
      </c>
      <c r="G96" s="3" t="str">
        <f>IFERROR(__xludf.DUMMYFUNCTION("GoogleTranslate(C96, ""en"", ""vi"")"),"Mức độ tia cực tím thấp, không cần bảo vệ đặc biệt khi ở ngoài trời.")</f>
        <v>Mức độ tia cực tím thấp, không cần bảo vệ đặc biệt khi ở ngoài trời.</v>
      </c>
      <c r="H96" s="3" t="str">
        <f>IFERROR(__xludf.DUMMYFUNCTION("GoogleTranslate(C96, ""en"", ""az"")"),"Aşağı UV səviyyələri, açıq havada xüsusi qorunmaya ehtiyac yoxdur.")</f>
        <v>Aşağı UV səviyyələri, açıq havada xüsusi qorunmaya ehtiyac yoxdur.</v>
      </c>
      <c r="I96" s="3" t="str">
        <f>IFERROR(__xludf.DUMMYFUNCTION("GoogleTranslate(C96, ""en"", ""eu"")"),"UV maila baxua, ez dago babes berezirik behar kanpoan.")</f>
        <v>UV maila baxua, ez dago babes berezirik behar kanpoan.</v>
      </c>
      <c r="J96" s="3" t="str">
        <f>IFERROR(__xludf.DUMMYFUNCTION("GoogleTranslate(C96, ""en"", ""be"")"),"Нізкі ўзровень ультрафіялету, няма неабходнасці ў спецыяльнай абароне на вуліцы.")</f>
        <v>Нізкі ўзровень ультрафіялету, няма неабходнасці ў спецыяльнай абароне на вуліцы.</v>
      </c>
      <c r="K96" s="3" t="str">
        <f>IFERROR(__xludf.DUMMYFUNCTION("GoogleTranslate(C96, ""en"", ""bn"")"),"নিম্ন UV স্তর, বাইরে যখন বিশেষ সুরক্ষার প্রয়োজন নেই।")</f>
        <v>নিম্ন UV স্তর, বাইরে যখন বিশেষ সুরক্ষার প্রয়োজন নেই।</v>
      </c>
      <c r="L96" s="3" t="str">
        <f>IFERROR(__xludf.DUMMYFUNCTION("GoogleTranslate(C96, ""en"", ""bg"")"),"Ниски UV нива, няма нужда от специална защита, когато сте на открито.")</f>
        <v>Ниски UV нива, няма нужда от специална защита, когато сте на открито.</v>
      </c>
      <c r="M96" s="3" t="str">
        <f>IFERROR(__xludf.DUMMYFUNCTION("GoogleTranslate(C96, ""en"", ""my"")"),"ခရမ်းလွန်ရောင်ခြည်ပါဝင်မှု နည်းပါးသောကြောင့် အပြင်ထွက်သည့်အခါ အထူးကာကွယ်ရန် မလိုအပ်ပါ။")</f>
        <v>ခရမ်းလွန်ရောင်ခြည်ပါဝင်မှု နည်းပါးသောကြောင့် အပြင်ထွက်သည့်အခါ အထူးကာကွယ်ရန် မလိုအပ်ပါ။</v>
      </c>
      <c r="N96" s="3" t="str">
        <f>IFERROR(__xludf.DUMMYFUNCTION("GoogleTranslate(C96, ""en"", ""ca"")"),"Nivells UV baixos, sense necessitat de protecció especial a l'aire lliure.")</f>
        <v>Nivells UV baixos, sense necessitat de protecció especial a l'aire lliure.</v>
      </c>
      <c r="O96" s="3" t="str">
        <f>IFERROR(__xludf.DUMMYFUNCTION("GoogleTranslate(C96, ""en"", ""zh-cn"")"),"紫外线水平低，户外时无需特殊防护。")</f>
        <v>紫外线水平低，户外时无需特殊防护。</v>
      </c>
      <c r="P96" s="3" t="str">
        <f>IFERROR(__xludf.DUMMYFUNCTION("GoogleTranslate(C96, ""en"", ""zh-TW"")"),"紫外線水平低，戶外時無需特殊防護。")</f>
        <v>紫外線水平低，戶外時無需特殊防護。</v>
      </c>
      <c r="Q96" s="3" t="str">
        <f>IFERROR(__xludf.DUMMYFUNCTION("GoogleTranslate(C96, ""en"", ""hr"")"),"Niske razine UV zračenja, nema potrebe za posebnom zaštitom na otvorenom.")</f>
        <v>Niske razine UV zračenja, nema potrebe za posebnom zaštitom na otvorenom.</v>
      </c>
      <c r="R96" s="3" t="str">
        <f>IFERROR(__xludf.DUMMYFUNCTION("GoogleTranslate(C96, ""en"", ""cs"")"),"Nízká hladina UV záření, není potřeba speciální ochrana při venkovním použití.")</f>
        <v>Nízká hladina UV záření, není potřeba speciální ochrana při venkovním použití.</v>
      </c>
      <c r="S96" s="3" t="str">
        <f>IFERROR(__xludf.DUMMYFUNCTION("GoogleTranslate(C96, ""en"", ""da"")"),"Lave UV-niveauer, intet behov for særlig beskyttelse, når du er udendørs.")</f>
        <v>Lave UV-niveauer, intet behov for særlig beskyttelse, når du er udendørs.</v>
      </c>
      <c r="T96" s="3" t="str">
        <f>IFERROR(__xludf.DUMMYFUNCTION("GoogleTranslate(C96, ""en"", ""nl"")"),"Lage UV-niveaus, geen speciale bescherming nodig buitenshuis.")</f>
        <v>Lage UV-niveaus, geen speciale bescherming nodig buitenshuis.</v>
      </c>
      <c r="U96" s="3" t="str">
        <f>IFERROR(__xludf.DUMMYFUNCTION("GoogleTranslate(C96, ""en"", ""et"")"),"Madal UV-tase, ei vaja õues viibides erilist kaitset.")</f>
        <v>Madal UV-tase, ei vaja õues viibides erilist kaitset.</v>
      </c>
      <c r="V96" s="1" t="str">
        <f t="shared" si="3"/>
        <v>Low UV levels, no need for special protection when outdoors.</v>
      </c>
      <c r="W96" s="3" t="str">
        <f>IFERROR(__xludf.DUMMYFUNCTION("GoogleTranslate(C96, ""en"", ""fi"")"),"Matala UV-taso, ei vaadi erityistä suojausta ulkona.")</f>
        <v>Matala UV-taso, ei vaadi erityistä suojausta ulkona.</v>
      </c>
      <c r="X96" s="3" t="str">
        <f>IFERROR(__xludf.DUMMYFUNCTION("GoogleTranslate(C96, ""en"", ""fr"")"),"Faibles niveaux d'UV, pas besoin de protection particulière en extérieur.")</f>
        <v>Faibles niveaux d'UV, pas besoin de protection particulière en extérieur.</v>
      </c>
      <c r="Y96" s="3" t="str">
        <f>IFERROR(__xludf.DUMMYFUNCTION("GoogleTranslate(C96, ""en"", ""de"")"),"Geringe UV-Werte, kein besonderer Schutz im Außenbereich erforderlich.")</f>
        <v>Geringe UV-Werte, kein besonderer Schutz im Außenbereich erforderlich.</v>
      </c>
      <c r="Z96" s="3" t="str">
        <f>IFERROR(__xludf.DUMMYFUNCTION("GoogleTranslate(C96, ""en"", ""el"")"),"Χαμηλά επίπεδα UV, δεν χρειάζεται ειδική προστασία όταν βρίσκεστε σε εξωτερικούς χώρους.")</f>
        <v>Χαμηλά επίπεδα UV, δεν χρειάζεται ειδική προστασία όταν βρίσκεστε σε εξωτερικούς χώρους.</v>
      </c>
      <c r="AA96" s="3" t="str">
        <f>IFERROR(__xludf.DUMMYFUNCTION("GoogleTranslate(C96, ""en"", ""iw"")"),"רמות UV נמוכות, אין צורך בהגנה מיוחדת בחוץ.")</f>
        <v>רמות UV נמוכות, אין צורך בהגנה מיוחדת בחוץ.</v>
      </c>
      <c r="AB96" s="3" t="str">
        <f>IFERROR(__xludf.DUMMYFUNCTION("GoogleTranslate(C96, ""en"", ""hi"")"),"कम यूवी स्तर, बाहर जाने पर विशेष सुरक्षा की आवश्यकता नहीं।")</f>
        <v>कम यूवी स्तर, बाहर जाने पर विशेष सुरक्षा की आवश्यकता नहीं।</v>
      </c>
      <c r="AC96" s="3" t="str">
        <f>IFERROR(__xludf.DUMMYFUNCTION("GoogleTranslate(C96, ""en"", ""hu"")"),"Alacsony UV-szint, nincs szükség különleges védelemre a szabadban.")</f>
        <v>Alacsony UV-szint, nincs szükség különleges védelemre a szabadban.</v>
      </c>
      <c r="AD96" s="3" t="str">
        <f>IFERROR(__xludf.DUMMYFUNCTION("GoogleTranslate(C96, ""en"", ""is"")"),"Lágt UV gildi, engin þörf á sérstakri vernd þegar þú ert utandyra.")</f>
        <v>Lágt UV gildi, engin þörf á sérstakri vernd þegar þú ert utandyra.</v>
      </c>
      <c r="AE96" s="3" t="str">
        <f>IFERROR(__xludf.DUMMYFUNCTION("GoogleTranslate(C96, ""en"", ""id"")"),"Tingkat UV yang rendah, tidak memerlukan perlindungan khusus saat berada di luar ruangan.")</f>
        <v>Tingkat UV yang rendah, tidak memerlukan perlindungan khusus saat berada di luar ruangan.</v>
      </c>
      <c r="AF96" s="3" t="str">
        <f>IFERROR(__xludf.DUMMYFUNCTION("GoogleTranslate(C96, ""en"", ""in"")"),"Tingkat UV yang rendah, tidak memerlukan perlindungan khusus saat berada di luar ruangan.")</f>
        <v>Tingkat UV yang rendah, tidak memerlukan perlindungan khusus saat berada di luar ruangan.</v>
      </c>
      <c r="AG96" s="3" t="str">
        <f>IFERROR(__xludf.DUMMYFUNCTION("GoogleTranslate(C96, ""en"", ""it"")"),"Bassi livelli di UV, non è necessaria una protezione speciale quando si è all'aperto.")</f>
        <v>Bassi livelli di UV, non è necessaria una protezione speciale quando si è all'aperto.</v>
      </c>
      <c r="AH96" s="3" t="str">
        <f>IFERROR(__xludf.DUMMYFUNCTION("GoogleTranslate(C96, ""en"", ""ja"")"),"紫外線レベルが低いため、屋外での特別な保護は必要ありません。")</f>
        <v>紫外線レベルが低いため、屋外での特別な保護は必要ありません。</v>
      </c>
      <c r="AI96" s="3" t="str">
        <f>IFERROR(__xludf.DUMMYFUNCTION("GoogleTranslate(C96, ""en"", ""kn"")"),"ಕಡಿಮೆ UV ಮಟ್ಟಗಳು, ಹೊರಾಂಗಣದಲ್ಲಿ ವಿಶೇಷ ರಕ್ಷಣೆ ಅಗತ್ಯವಿಲ್ಲ.")</f>
        <v>ಕಡಿಮೆ UV ಮಟ್ಟಗಳು, ಹೊರಾಂಗಣದಲ್ಲಿ ವಿಶೇಷ ರಕ್ಷಣೆ ಅಗತ್ಯವಿಲ್ಲ.</v>
      </c>
      <c r="AJ96" s="3" t="str">
        <f>IFERROR(__xludf.DUMMYFUNCTION("GoogleTranslate(C96, ""en"", ""km"")"),"កម្រិតកាំរស្មីយូវីទាប មិនត្រូវការការការពារពិសេសនៅពេលនៅខាងក្រៅ។")</f>
        <v>កម្រិតកាំរស្មីយូវីទាប មិនត្រូវការការការពារពិសេសនៅពេលនៅខាងក្រៅ។</v>
      </c>
      <c r="AK96" s="3" t="str">
        <f>IFERROR(__xludf.DUMMYFUNCTION("GoogleTranslate(C96, ""en"", ""ko"")"),"UV 수준이 낮아 야외에서 특별한 보호가 필요하지 않습니다.")</f>
        <v>UV 수준이 낮아 야외에서 특별한 보호가 필요하지 않습니다.</v>
      </c>
      <c r="AL96" s="3" t="str">
        <f>IFERROR(__xludf.DUMMYFUNCTION("GoogleTranslate(C96, ""en"", ""lo"")"),"ລະດັບ UV ຕ່ໍາ, ບໍ່ຈໍາເປັນຕ້ອງມີການປົກປ້ອງພິເສດໃນເວລາທີ່ຢູ່ນອກ.")</f>
        <v>ລະດັບ UV ຕ່ໍາ, ບໍ່ຈໍາເປັນຕ້ອງມີການປົກປ້ອງພິເສດໃນເວລາທີ່ຢູ່ນອກ.</v>
      </c>
      <c r="AM96" s="3" t="str">
        <f>IFERROR(__xludf.DUMMYFUNCTION("GoogleTranslate(C96, ""en"", ""lv"")"),"Zems UV līmenis, nav nepieciešama īpaša aizsardzība, atrodoties ārpus telpām.")</f>
        <v>Zems UV līmenis, nav nepieciešama īpaša aizsardzība, atrodoties ārpus telpām.</v>
      </c>
      <c r="AN96" s="3" t="str">
        <f>IFERROR(__xludf.DUMMYFUNCTION("GoogleTranslate(C96, ""en"", ""lt"")"),"Žemas UV lygis, nereikia specialios apsaugos lauke.")</f>
        <v>Žemas UV lygis, nereikia specialios apsaugos lauke.</v>
      </c>
      <c r="AO96" s="3" t="str">
        <f>IFERROR(__xludf.DUMMYFUNCTION("GoogleTranslate(C96, ""en"", ""mk"")"),"Ниско ниво на УВ, нема потреба од посебна заштита кога сте на отворено.")</f>
        <v>Ниско ниво на УВ, нема потреба од посебна заштита кога сте на отворено.</v>
      </c>
      <c r="AP96" s="3" t="str">
        <f>IFERROR(__xludf.DUMMYFUNCTION("GoogleTranslate(C96, ""en"", ""ms"")"),"Tahap UV yang rendah, tidak memerlukan perlindungan khas apabila berada di luar rumah.")</f>
        <v>Tahap UV yang rendah, tidak memerlukan perlindungan khas apabila berada di luar rumah.</v>
      </c>
      <c r="AQ96" s="3" t="str">
        <f>IFERROR(__xludf.DUMMYFUNCTION("GoogleTranslate(C96, ""en"", ""ml"")"),"കുറഞ്ഞ അൾട്രാവയലറ്റ് ലെവൽ, ഔട്ട്ഡോർ ആയിരിക്കുമ്പോൾ പ്രത്യേക സംരക്ഷണം ആവശ്യമില്ല.")</f>
        <v>കുറഞ്ഞ അൾട്രാവയലറ്റ് ലെവൽ, ഔട്ട്ഡോർ ആയിരിക്കുമ്പോൾ പ്രത്യേക സംരക്ഷണം ആവശ്യമില്ല.</v>
      </c>
      <c r="AR96" s="3" t="str">
        <f>IFERROR(__xludf.DUMMYFUNCTION("GoogleTranslate(C96, ""en"", ""mr"")"),"कमी अतिनील पातळी, घराबाहेर असताना विशेष संरक्षणाची आवश्यकता नाही.")</f>
        <v>कमी अतिनील पातळी, घराबाहेर असताना विशेष संरक्षणाची आवश्यकता नाही.</v>
      </c>
      <c r="AS96" s="3" t="str">
        <f>IFERROR(__xludf.DUMMYFUNCTION("GoogleTranslate(C96, ""en"", ""mn"")"),"Хэт ягаан туяаны түвшин бага, гадаа байх үед тусгай хамгаалалт шаардлагагүй.")</f>
        <v>Хэт ягаан туяаны түвшин бага, гадаа байх үед тусгай хамгаалалт шаардлагагүй.</v>
      </c>
      <c r="AT96" s="3" t="str">
        <f>IFERROR(__xludf.DUMMYFUNCTION("GoogleTranslate(C96, ""en"", ""ne"")"),"कम UV स्तर, बाहिर जब विशेष सुरक्षा को आवश्यकता छैन।")</f>
        <v>कम UV स्तर, बाहिर जब विशेष सुरक्षा को आवश्यकता छैन।</v>
      </c>
      <c r="AU96" s="3" t="str">
        <f>IFERROR(__xludf.DUMMYFUNCTION("GoogleTranslate(C96, ""en"", ""nb"")"),"Lave UV-nivåer, ikke behov for spesiell beskyttelse når du er utendørs.")</f>
        <v>Lave UV-nivåer, ikke behov for spesiell beskyttelse når du er utendørs.</v>
      </c>
      <c r="AV96" s="3" t="str">
        <f>IFERROR(__xludf.DUMMYFUNCTION("GoogleTranslate(C96, ""en"", ""fa"")"),"سطوح کم اشعه ماوراء بنفش، بدون نیاز به محافظت ویژه در فضای باز.")</f>
        <v>سطوح کم اشعه ماوراء بنفش، بدون نیاز به محافظت ویژه در فضای باز.</v>
      </c>
      <c r="AW96" s="3" t="str">
        <f>IFERROR(__xludf.DUMMYFUNCTION("GoogleTranslate(C96, ""en"", ""pl"")"),"Niski poziom promieniowania UV, nie ma potrzeby stosowania specjalnej ochrony na zewnątrz.")</f>
        <v>Niski poziom promieniowania UV, nie ma potrzeby stosowania specjalnej ochrony na zewnątrz.</v>
      </c>
      <c r="AX96" s="3" t="str">
        <f>IFERROR(__xludf.DUMMYFUNCTION("GoogleTranslate(C96, ""en"", ""pt"")"),"Baixos níveis de UV, sem necessidade de proteção especial ao ar livre.")</f>
        <v>Baixos níveis de UV, sem necessidade de proteção especial ao ar livre.</v>
      </c>
      <c r="AY96" s="3" t="str">
        <f>IFERROR(__xludf.DUMMYFUNCTION("GoogleTranslate(C96, ""en"", ""ro"")"),"Nivele scăzute de UV, nu este nevoie de protecție specială în aer liber.")</f>
        <v>Nivele scăzute de UV, nu este nevoie de protecție specială în aer liber.</v>
      </c>
      <c r="AZ96" s="3" t="str">
        <f>IFERROR(__xludf.DUMMYFUNCTION("GoogleTranslate(C96, ""en"", ""ru"")"),"Низкий уровень ультрафиолета, нет необходимости в специальной защите на открытом воздухе.")</f>
        <v>Низкий уровень ультрафиолета, нет необходимости в специальной защите на открытом воздухе.</v>
      </c>
      <c r="BA96" s="3" t="str">
        <f>IFERROR(__xludf.DUMMYFUNCTION("GoogleTranslate(C96, ""en"", ""sr"")"),"Низак ниво УВ зрачења, нема потребе за посебном заштитом када сте на отвореном.")</f>
        <v>Низак ниво УВ зрачења, нема потребе за посебном заштитом када сте на отвореном.</v>
      </c>
      <c r="BB96" s="3" t="str">
        <f>IFERROR(__xludf.DUMMYFUNCTION("GoogleTranslate(C96, ""en"", ""si"")"),"අඩු UV මට්ටම්, එළිමහනේ සිටින විට විශේෂ ආරක්ෂාවක් අවශ්ය නොවේ.")</f>
        <v>අඩු UV මට්ටම්, එළිමහනේ සිටින විට විශේෂ ආරක්ෂාවක් අවශ්ය නොවේ.</v>
      </c>
      <c r="BC96" s="3" t="str">
        <f>IFERROR(__xludf.DUMMYFUNCTION("GoogleTranslate(C96, ""en"", ""sk"")"),"Nízka úroveň UV žiarenia, nie je potrebná špeciálna ochrana vonku.")</f>
        <v>Nízka úroveň UV žiarenia, nie je potrebná špeciálna ochrana vonku.</v>
      </c>
      <c r="BD96" s="3" t="str">
        <f>IFERROR(__xludf.DUMMYFUNCTION("GoogleTranslate(C96, ""en"", ""sl"")"),"Nizke ravni UV, ni potrebe po posebni zaščiti na prostem.")</f>
        <v>Nizke ravni UV, ni potrebe po posebni zaščiti na prostem.</v>
      </c>
      <c r="BE96" s="3" t="str">
        <f>IFERROR(__xludf.DUMMYFUNCTION("GoogleTranslate(C96, ""en"", ""es"")"),"Bajos niveles de UV, sin necesidad de protección especial al aire libre.")</f>
        <v>Bajos niveles de UV, sin necesidad de protección especial al aire libre.</v>
      </c>
      <c r="BF96" s="3" t="str">
        <f>IFERROR(__xludf.DUMMYFUNCTION("GoogleTranslate(C96, ""en"", ""sw"")"),"Viwango vya chini vya UV, hakuna haja ya ulinzi maalum wakati wa nje.")</f>
        <v>Viwango vya chini vya UV, hakuna haja ya ulinzi maalum wakati wa nje.</v>
      </c>
      <c r="BG96" s="3" t="str">
        <f>IFERROR(__xludf.DUMMYFUNCTION("GoogleTranslate(C96, ""en"", ""sv"")"),"Låga UV-nivåer, inget behov av speciellt skydd när du är utomhus.")</f>
        <v>Låga UV-nivåer, inget behov av speciellt skydd när du är utomhus.</v>
      </c>
      <c r="BH96" s="3" t="str">
        <f>IFERROR(__xludf.DUMMYFUNCTION("GoogleTranslate(C96, ""en"", ""te"")"),"తక్కువ UV స్థాయిలు, ఆరుబయట ఉన్నప్పుడు ప్రత్యేక రక్షణ అవసరం లేదు.")</f>
        <v>తక్కువ UV స్థాయిలు, ఆరుబయట ఉన్నప్పుడు ప్రత్యేక రక్షణ అవసరం లేదు.</v>
      </c>
      <c r="BI96" s="3" t="str">
        <f>IFERROR(__xludf.DUMMYFUNCTION("GoogleTranslate(C96, ""en"", ""th"")"),"ระดับรังสียูวีต่ำ ไม่จำเป็นต้องปกป้องเป็นพิเศษเมื่ออยู่กลางแจ้ง")</f>
        <v>ระดับรังสียูวีต่ำ ไม่จำเป็นต้องปกป้องเป็นพิเศษเมื่ออยู่กลางแจ้ง</v>
      </c>
      <c r="BJ96" s="3" t="str">
        <f>IFERROR(__xludf.DUMMYFUNCTION("GoogleTranslate(C96, ""en"", ""tr"")"),"Düşük UV seviyeleri, dış mekanlarda özel korumaya gerek yoktur.")</f>
        <v>Düşük UV seviyeleri, dış mekanlarda özel korumaya gerek yoktur.</v>
      </c>
      <c r="BK96" s="3" t="str">
        <f>IFERROR(__xludf.DUMMYFUNCTION("GoogleTranslate(C96, ""en"", ""uk"")"),"Низький рівень ультрафіолетового випромінювання, відсутність потреби в спеціальному захисті на вулиці.")</f>
        <v>Низький рівень ультрафіолетового випромінювання, відсутність потреби в спеціальному захисті на вулиці.</v>
      </c>
      <c r="BL96" s="3" t="str">
        <f>IFERROR(__xludf.DUMMYFUNCTION("GoogleTranslate(C96, ""en"", ""zu"")"),"Amaleveli e-UV aphansi, asikho isidingo sokuvikelwa okukhethekile lapho ungaphandle.")</f>
        <v>Amaleveli e-UV aphansi, asikho isidingo sokuvikelwa okukhethekile lapho ungaphandle.</v>
      </c>
    </row>
    <row r="97">
      <c r="A97" s="1" t="str">
        <f t="shared" si="1"/>
        <v>Medium</v>
      </c>
      <c r="B97" s="4" t="s">
        <v>155</v>
      </c>
      <c r="C97" s="1" t="str">
        <f t="shared" si="2"/>
        <v>Medium</v>
      </c>
      <c r="D97" s="3" t="str">
        <f>IFERROR(__xludf.DUMMYFUNCTION("GoogleTranslate(C97, ""en"", ""es"")"),"Medio")</f>
        <v>Medio</v>
      </c>
      <c r="E97" s="3" t="str">
        <f>IFERROR(__xludf.DUMMYFUNCTION("GoogleTranslate(C97, ""en"", ""ar"")"),"واسطة")</f>
        <v>واسطة</v>
      </c>
      <c r="F97" s="3" t="str">
        <f>IFERROR(__xludf.DUMMYFUNCTION("GoogleTranslate(C97, ""en"", ""hy"")"),"Միջին")</f>
        <v>Միջին</v>
      </c>
      <c r="G97" s="3" t="str">
        <f>IFERROR(__xludf.DUMMYFUNCTION("GoogleTranslate(C97, ""en"", ""vi"")"),"Trung bình")</f>
        <v>Trung bình</v>
      </c>
      <c r="H97" s="3" t="str">
        <f>IFERROR(__xludf.DUMMYFUNCTION("GoogleTranslate(C97, ""en"", ""az"")"),"Orta")</f>
        <v>Orta</v>
      </c>
      <c r="I97" s="3" t="str">
        <f>IFERROR(__xludf.DUMMYFUNCTION("GoogleTranslate(C97, ""en"", ""eu"")"),"Ertaina")</f>
        <v>Ertaina</v>
      </c>
      <c r="J97" s="3" t="str">
        <f>IFERROR(__xludf.DUMMYFUNCTION("GoogleTranslate(C97, ""en"", ""be"")"),"Сярэдні")</f>
        <v>Сярэдні</v>
      </c>
      <c r="K97" s="3" t="str">
        <f>IFERROR(__xludf.DUMMYFUNCTION("GoogleTranslate(C97, ""en"", ""bn"")"),"মাঝারি")</f>
        <v>মাঝারি</v>
      </c>
      <c r="L97" s="3" t="str">
        <f>IFERROR(__xludf.DUMMYFUNCTION("GoogleTranslate(C97, ""en"", ""bg"")"),"Среден")</f>
        <v>Среден</v>
      </c>
      <c r="M97" s="3" t="str">
        <f>IFERROR(__xludf.DUMMYFUNCTION("GoogleTranslate(C97, ""en"", ""my"")"),"လတ်")</f>
        <v>လတ်</v>
      </c>
      <c r="N97" s="3" t="str">
        <f>IFERROR(__xludf.DUMMYFUNCTION("GoogleTranslate(C97, ""en"", ""ca"")"),"Mitjana")</f>
        <v>Mitjana</v>
      </c>
      <c r="O97" s="3" t="str">
        <f>IFERROR(__xludf.DUMMYFUNCTION("GoogleTranslate(C97, ""en"", ""zh-cn"")"),"中等的")</f>
        <v>中等的</v>
      </c>
      <c r="P97" s="3" t="str">
        <f>IFERROR(__xludf.DUMMYFUNCTION("GoogleTranslate(C97, ""en"", ""zh-TW"")"),"中等的")</f>
        <v>中等的</v>
      </c>
      <c r="Q97" s="3" t="str">
        <f>IFERROR(__xludf.DUMMYFUNCTION("GoogleTranslate(C97, ""en"", ""hr"")"),"srednje")</f>
        <v>srednje</v>
      </c>
      <c r="R97" s="3" t="str">
        <f>IFERROR(__xludf.DUMMYFUNCTION("GoogleTranslate(C97, ""en"", ""cs"")"),"Střední")</f>
        <v>Střední</v>
      </c>
      <c r="S97" s="3" t="str">
        <f>IFERROR(__xludf.DUMMYFUNCTION("GoogleTranslate(C97, ""en"", ""da"")"),"Medium")</f>
        <v>Medium</v>
      </c>
      <c r="T97" s="3" t="str">
        <f>IFERROR(__xludf.DUMMYFUNCTION("GoogleTranslate(C97, ""en"", ""nl"")"),"Medium")</f>
        <v>Medium</v>
      </c>
      <c r="U97" s="3" t="str">
        <f>IFERROR(__xludf.DUMMYFUNCTION("GoogleTranslate(C97, ""en"", ""et"")"),"Keskmine")</f>
        <v>Keskmine</v>
      </c>
      <c r="V97" s="1" t="str">
        <f t="shared" si="3"/>
        <v>Medium</v>
      </c>
      <c r="W97" s="3" t="str">
        <f>IFERROR(__xludf.DUMMYFUNCTION("GoogleTranslate(C97, ""en"", ""fi"")"),"Keskikokoinen")</f>
        <v>Keskikokoinen</v>
      </c>
      <c r="X97" s="3" t="str">
        <f>IFERROR(__xludf.DUMMYFUNCTION("GoogleTranslate(C97, ""en"", ""fr"")"),"Moyen")</f>
        <v>Moyen</v>
      </c>
      <c r="Y97" s="3" t="str">
        <f>IFERROR(__xludf.DUMMYFUNCTION("GoogleTranslate(C97, ""en"", ""de"")"),"Medium")</f>
        <v>Medium</v>
      </c>
      <c r="Z97" s="3" t="str">
        <f>IFERROR(__xludf.DUMMYFUNCTION("GoogleTranslate(C97, ""en"", ""el"")"),"Μέσον")</f>
        <v>Μέσον</v>
      </c>
      <c r="AA97" s="3" t="str">
        <f>IFERROR(__xludf.DUMMYFUNCTION("GoogleTranslate(C97, ""en"", ""iw"")"),"בֵּינוֹנִי")</f>
        <v>בֵּינוֹנִי</v>
      </c>
      <c r="AB97" s="3" t="str">
        <f>IFERROR(__xludf.DUMMYFUNCTION("GoogleTranslate(C97, ""en"", ""hi"")"),"मध्यम")</f>
        <v>मध्यम</v>
      </c>
      <c r="AC97" s="3" t="str">
        <f>IFERROR(__xludf.DUMMYFUNCTION("GoogleTranslate(C97, ""en"", ""hu"")"),"Közepes")</f>
        <v>Közepes</v>
      </c>
      <c r="AD97" s="3" t="str">
        <f>IFERROR(__xludf.DUMMYFUNCTION("GoogleTranslate(C97, ""en"", ""is"")"),"Miðlungs")</f>
        <v>Miðlungs</v>
      </c>
      <c r="AE97" s="3" t="str">
        <f>IFERROR(__xludf.DUMMYFUNCTION("GoogleTranslate(C97, ""en"", ""id"")"),"Sedang")</f>
        <v>Sedang</v>
      </c>
      <c r="AF97" s="3" t="str">
        <f>IFERROR(__xludf.DUMMYFUNCTION("GoogleTranslate(C97, ""en"", ""in"")"),"Sedang")</f>
        <v>Sedang</v>
      </c>
      <c r="AG97" s="3" t="str">
        <f>IFERROR(__xludf.DUMMYFUNCTION("GoogleTranslate(C97, ""en"", ""it"")"),"Medio")</f>
        <v>Medio</v>
      </c>
      <c r="AH97" s="3" t="str">
        <f>IFERROR(__xludf.DUMMYFUNCTION("GoogleTranslate(C97, ""en"", ""ja"")"),"中くらい")</f>
        <v>中くらい</v>
      </c>
      <c r="AI97" s="3" t="str">
        <f>IFERROR(__xludf.DUMMYFUNCTION("GoogleTranslate(C97, ""en"", ""kn"")"),"ಮಧ್ಯಮ")</f>
        <v>ಮಧ್ಯಮ</v>
      </c>
      <c r="AJ97" s="3" t="str">
        <f>IFERROR(__xludf.DUMMYFUNCTION("GoogleTranslate(C97, ""en"", ""km"")"),"មធ្យម")</f>
        <v>មធ្យម</v>
      </c>
      <c r="AK97" s="3" t="str">
        <f>IFERROR(__xludf.DUMMYFUNCTION("GoogleTranslate(C97, ""en"", ""ko"")"),"중간")</f>
        <v>중간</v>
      </c>
      <c r="AL97" s="3" t="str">
        <f>IFERROR(__xludf.DUMMYFUNCTION("GoogleTranslate(C97, ""en"", ""lo"")"),"ຂະຫນາດກາງ")</f>
        <v>ຂະຫນາດກາງ</v>
      </c>
      <c r="AM97" s="3" t="str">
        <f>IFERROR(__xludf.DUMMYFUNCTION("GoogleTranslate(C97, ""en"", ""lv"")"),"Vidēja")</f>
        <v>Vidēja</v>
      </c>
      <c r="AN97" s="3" t="str">
        <f>IFERROR(__xludf.DUMMYFUNCTION("GoogleTranslate(C97, ""en"", ""lt"")"),"Vidutinis")</f>
        <v>Vidutinis</v>
      </c>
      <c r="AO97" s="3" t="str">
        <f>IFERROR(__xludf.DUMMYFUNCTION("GoogleTranslate(C97, ""en"", ""mk"")"),"Средно")</f>
        <v>Средно</v>
      </c>
      <c r="AP97" s="3" t="str">
        <f>IFERROR(__xludf.DUMMYFUNCTION("GoogleTranslate(C97, ""en"", ""ms"")"),"Sederhana")</f>
        <v>Sederhana</v>
      </c>
      <c r="AQ97" s="3" t="str">
        <f>IFERROR(__xludf.DUMMYFUNCTION("GoogleTranslate(C97, ""en"", ""ml"")"),"ഇടത്തരം")</f>
        <v>ഇടത്തരം</v>
      </c>
      <c r="AR97" s="3" t="str">
        <f>IFERROR(__xludf.DUMMYFUNCTION("GoogleTranslate(C97, ""en"", ""mr"")"),"मध्यम")</f>
        <v>मध्यम</v>
      </c>
      <c r="AS97" s="3" t="str">
        <f>IFERROR(__xludf.DUMMYFUNCTION("GoogleTranslate(C97, ""en"", ""mn"")"),"Дунд зэрэг")</f>
        <v>Дунд зэрэг</v>
      </c>
      <c r="AT97" s="3" t="str">
        <f>IFERROR(__xludf.DUMMYFUNCTION("GoogleTranslate(C97, ""en"", ""ne"")"),"मध्यम")</f>
        <v>मध्यम</v>
      </c>
      <c r="AU97" s="3" t="str">
        <f>IFERROR(__xludf.DUMMYFUNCTION("GoogleTranslate(C97, ""en"", ""nb"")"),"Medium")</f>
        <v>Medium</v>
      </c>
      <c r="AV97" s="3" t="str">
        <f>IFERROR(__xludf.DUMMYFUNCTION("GoogleTranslate(C97, ""en"", ""fa"")"),"متوسط")</f>
        <v>متوسط</v>
      </c>
      <c r="AW97" s="3" t="str">
        <f>IFERROR(__xludf.DUMMYFUNCTION("GoogleTranslate(C97, ""en"", ""pl"")"),"Średni")</f>
        <v>Średni</v>
      </c>
      <c r="AX97" s="3" t="str">
        <f>IFERROR(__xludf.DUMMYFUNCTION("GoogleTranslate(C97, ""en"", ""pt"")"),"Médio")</f>
        <v>Médio</v>
      </c>
      <c r="AY97" s="3" t="str">
        <f>IFERROR(__xludf.DUMMYFUNCTION("GoogleTranslate(C97, ""en"", ""ro"")"),"Mediu")</f>
        <v>Mediu</v>
      </c>
      <c r="AZ97" s="3" t="str">
        <f>IFERROR(__xludf.DUMMYFUNCTION("GoogleTranslate(C97, ""en"", ""ru"")"),"Середина")</f>
        <v>Середина</v>
      </c>
      <c r="BA97" s="3" t="str">
        <f>IFERROR(__xludf.DUMMYFUNCTION("GoogleTranslate(C97, ""en"", ""sr"")"),"Средње")</f>
        <v>Средње</v>
      </c>
      <c r="BB97" s="3" t="str">
        <f>IFERROR(__xludf.DUMMYFUNCTION("GoogleTranslate(C97, ""en"", ""si"")"),"මධ්යම")</f>
        <v>මධ්යම</v>
      </c>
      <c r="BC97" s="3" t="str">
        <f>IFERROR(__xludf.DUMMYFUNCTION("GoogleTranslate(C97, ""en"", ""sk"")"),"Stredná")</f>
        <v>Stredná</v>
      </c>
      <c r="BD97" s="3" t="str">
        <f>IFERROR(__xludf.DUMMYFUNCTION("GoogleTranslate(C97, ""en"", ""sl"")"),"Srednje")</f>
        <v>Srednje</v>
      </c>
      <c r="BE97" s="3" t="str">
        <f>IFERROR(__xludf.DUMMYFUNCTION("GoogleTranslate(C97, ""en"", ""es"")"),"Medio")</f>
        <v>Medio</v>
      </c>
      <c r="BF97" s="3" t="str">
        <f>IFERROR(__xludf.DUMMYFUNCTION("GoogleTranslate(C97, ""en"", ""sw"")"),"Kati")</f>
        <v>Kati</v>
      </c>
      <c r="BG97" s="3" t="str">
        <f>IFERROR(__xludf.DUMMYFUNCTION("GoogleTranslate(C97, ""en"", ""sv"")"),"Medium")</f>
        <v>Medium</v>
      </c>
      <c r="BH97" s="3" t="str">
        <f>IFERROR(__xludf.DUMMYFUNCTION("GoogleTranslate(C97, ""en"", ""te"")"),"మధ్యస్థం")</f>
        <v>మధ్యస్థం</v>
      </c>
      <c r="BI97" s="3" t="str">
        <f>IFERROR(__xludf.DUMMYFUNCTION("GoogleTranslate(C97, ""en"", ""th"")"),"ปานกลาง")</f>
        <v>ปานกลาง</v>
      </c>
      <c r="BJ97" s="3" t="str">
        <f>IFERROR(__xludf.DUMMYFUNCTION("GoogleTranslate(C97, ""en"", ""tr"")"),"Orta")</f>
        <v>Orta</v>
      </c>
      <c r="BK97" s="3" t="str">
        <f>IFERROR(__xludf.DUMMYFUNCTION("GoogleTranslate(C97, ""en"", ""uk"")"),"Середній")</f>
        <v>Середній</v>
      </c>
      <c r="BL97" s="3" t="str">
        <f>IFERROR(__xludf.DUMMYFUNCTION("GoogleTranslate(C97, ""en"", ""zu"")"),"Maphakathi")</f>
        <v>Maphakathi</v>
      </c>
    </row>
    <row r="98">
      <c r="A98" s="1" t="str">
        <f t="shared" si="1"/>
        <v>There_is_a_moderate_risk_from_UV_rays._Sunglasses_and_sunscreen_are_recommended.</v>
      </c>
      <c r="B98" s="4" t="s">
        <v>156</v>
      </c>
      <c r="C98" s="1" t="str">
        <f t="shared" si="2"/>
        <v>There is a moderate risk from UV rays. Sunglasses and sunscreen are recommended.</v>
      </c>
      <c r="D98" s="3" t="str">
        <f>IFERROR(__xludf.DUMMYFUNCTION("GoogleTranslate(C98, ""en"", ""es"")"),"Existe un riesgo moderado por los rayos UV. Se recomiendan gafas de sol y protector solar.")</f>
        <v>Existe un riesgo moderado por los rayos UV. Se recomiendan gafas de sol y protector solar.</v>
      </c>
      <c r="E98" s="3" t="str">
        <f>IFERROR(__xludf.DUMMYFUNCTION("GoogleTranslate(C98, ""en"", ""ar"")"),"هناك خطر معتدل من الأشعة فوق البنفسجية. يوصى باستخدام النظارات الشمسية وواقي الشمس.")</f>
        <v>هناك خطر معتدل من الأشعة فوق البنفسجية. يوصى باستخدام النظارات الشمسية وواقي الشمس.</v>
      </c>
      <c r="F98" s="3" t="str">
        <f>IFERROR(__xludf.DUMMYFUNCTION("GoogleTranslate(C98, ""en"", ""hy"")"),"Ուլտրամանուշակագույն ճառագայթներից չափավոր վտանգ կա։ Խորհուրդ է տրվում արևային ակնոցներ և արևապաշտպան քսուքներ:")</f>
        <v>Ուլտրամանուշակագույն ճառագայթներից չափավոր վտանգ կա։ Խորհուրդ է տրվում արևային ակնոցներ և արևապաշտպան քսուքներ:</v>
      </c>
      <c r="G98" s="3" t="str">
        <f>IFERROR(__xludf.DUMMYFUNCTION("GoogleTranslate(C98, ""en"", ""vi"")"),"Có nguy cơ vừa phải từ tia UV. Kính râm và kem chống nắng được khuyên dùng.")</f>
        <v>Có nguy cơ vừa phải từ tia UV. Kính râm và kem chống nắng được khuyên dùng.</v>
      </c>
      <c r="H98" s="3" t="str">
        <f>IFERROR(__xludf.DUMMYFUNCTION("GoogleTranslate(C98, ""en"", ""az"")"),"UV şüalarından orta dərəcədə risk var. Günəş eynəyi və günəş kremi tövsiyə olunur.")</f>
        <v>UV şüalarından orta dərəcədə risk var. Günəş eynəyi və günəş kremi tövsiyə olunur.</v>
      </c>
      <c r="I98" s="3" t="str">
        <f>IFERROR(__xludf.DUMMYFUNCTION("GoogleTranslate(C98, ""en"", ""eu"")"),"UV izpien arrisku moderatua dago. Eguzkitako betaurrekoak eta eguzkitako krema gomendatzen dira.")</f>
        <v>UV izpien arrisku moderatua dago. Eguzkitako betaurrekoak eta eguzkitako krema gomendatzen dira.</v>
      </c>
      <c r="J98" s="3" t="str">
        <f>IFERROR(__xludf.DUMMYFUNCTION("GoogleTranslate(C98, ""en"", ""be"")"),"Існуе ўмераны рызыка ад УФ-прамянёў. Рэкамендуюцца сонцаахоўныя акуляры і сонцаахоўны крэм.")</f>
        <v>Існуе ўмераны рызыка ад УФ-прамянёў. Рэкамендуюцца сонцаахоўныя акуляры і сонцаахоўны крэм.</v>
      </c>
      <c r="K98" s="3" t="str">
        <f>IFERROR(__xludf.DUMMYFUNCTION("GoogleTranslate(C98, ""en"", ""bn"")"),"অতিবেগুনী রশ্মি থেকে একটি মাঝারি ঝুঁকি আছে। সানগ্লাস এবং সানস্ক্রিন বাঞ্ছনীয়।")</f>
        <v>অতিবেগুনী রশ্মি থেকে একটি মাঝারি ঝুঁকি আছে। সানগ্লাস এবং সানস্ক্রিন বাঞ্ছনীয়।</v>
      </c>
      <c r="L98" s="3" t="str">
        <f>IFERROR(__xludf.DUMMYFUNCTION("GoogleTranslate(C98, ""en"", ""bg"")"),"Съществува умерен риск от ултравиолетовите лъчи. Препоръчват се слънчеви очила и слънцезащитен крем.")</f>
        <v>Съществува умерен риск от ултравиолетовите лъчи. Препоръчват се слънчеви очила и слънцезащитен крем.</v>
      </c>
      <c r="M98" s="3" t="str">
        <f>IFERROR(__xludf.DUMMYFUNCTION("GoogleTranslate(C98, ""en"", ""my"")"),"ခရမ်းလွန်ရောင်ခြည်ကြောင့် အန္တရာယ် အလယ်အလတ်ရှိပါတယ်။ နေကာမျက်မှန်နှင့် နေကာခရင်မ်ကို အကြံပြုထားသည်။")</f>
        <v>ခရမ်းလွန်ရောင်ခြည်ကြောင့် အန္တရာယ် အလယ်အလတ်ရှိပါတယ်။ နေကာမျက်မှန်နှင့် နေကာခရင်မ်ကို အကြံပြုထားသည်။</v>
      </c>
      <c r="N98" s="3" t="str">
        <f>IFERROR(__xludf.DUMMYFUNCTION("GoogleTranslate(C98, ""en"", ""ca"")"),"Hi ha un risc moderat dels raigs UV. Es recomanen ulleres de sol i protector solar.")</f>
        <v>Hi ha un risc moderat dels raigs UV. Es recomanen ulleres de sol i protector solar.</v>
      </c>
      <c r="O98" s="3" t="str">
        <f>IFERROR(__xludf.DUMMYFUNCTION("GoogleTranslate(C98, ""en"", ""zh-cn"")"),"紫外线存在中等风险。建议佩戴太阳镜和防晒霜。")</f>
        <v>紫外线存在中等风险。建议佩戴太阳镜和防晒霜。</v>
      </c>
      <c r="P98" s="3" t="str">
        <f>IFERROR(__xludf.DUMMYFUNCTION("GoogleTranslate(C98, ""en"", ""zh-TW"")"),"紫外線有中度風險。建議配戴太陽眼鏡和防曬霜。")</f>
        <v>紫外線有中度風險。建議配戴太陽眼鏡和防曬霜。</v>
      </c>
      <c r="Q98" s="3" t="str">
        <f>IFERROR(__xludf.DUMMYFUNCTION("GoogleTranslate(C98, ""en"", ""hr"")"),"Postoji umjereni rizik od UV zraka. Preporučuju se sunčane naočale i krema za sunčanje.")</f>
        <v>Postoji umjereni rizik od UV zraka. Preporučuju se sunčane naočale i krema za sunčanje.</v>
      </c>
      <c r="R98" s="3" t="str">
        <f>IFERROR(__xludf.DUMMYFUNCTION("GoogleTranslate(C98, ""en"", ""cs"")"),"Existuje střední riziko UV záření. Doporučují se sluneční brýle a opalovací krém.")</f>
        <v>Existuje střední riziko UV záření. Doporučují se sluneční brýle a opalovací krém.</v>
      </c>
      <c r="S98" s="3" t="str">
        <f>IFERROR(__xludf.DUMMYFUNCTION("GoogleTranslate(C98, ""en"", ""da"")"),"Der er en moderat risiko for UV-stråler. Solbriller og solcreme anbefales.")</f>
        <v>Der er en moderat risiko for UV-stråler. Solbriller og solcreme anbefales.</v>
      </c>
      <c r="T98" s="3" t="str">
        <f>IFERROR(__xludf.DUMMYFUNCTION("GoogleTranslate(C98, ""en"", ""nl"")"),"Er is een matig risico op UV-straling. Een zonnebril en zonnebrandcrème worden aanbevolen.")</f>
        <v>Er is een matig risico op UV-straling. Een zonnebril en zonnebrandcrème worden aanbevolen.</v>
      </c>
      <c r="U98" s="3" t="str">
        <f>IFERROR(__xludf.DUMMYFUNCTION("GoogleTranslate(C98, ""en"", ""et"")"),"UV-kiirguse oht on mõõdukas. Soovitatav on kanda päikeseprille ja päikesekaitsekreemi.")</f>
        <v>UV-kiirguse oht on mõõdukas. Soovitatav on kanda päikeseprille ja päikesekaitsekreemi.</v>
      </c>
      <c r="V98" s="1" t="str">
        <f t="shared" si="3"/>
        <v>There is a moderate risk from UV rays. Sunglasses and sunscreen are recommended.</v>
      </c>
      <c r="W98" s="3" t="str">
        <f>IFERROR(__xludf.DUMMYFUNCTION("GoogleTranslate(C98, ""en"", ""fi"")"),"UV-säteiden aiheuttama riski on kohtalainen. Aurinkolasit ja aurinkovoide on suositeltavaa.")</f>
        <v>UV-säteiden aiheuttama riski on kohtalainen. Aurinkolasit ja aurinkovoide on suositeltavaa.</v>
      </c>
      <c r="X98" s="3" t="str">
        <f>IFERROR(__xludf.DUMMYFUNCTION("GoogleTranslate(C98, ""en"", ""fr"")"),"Il existe un risque modéré lié aux rayons UV. Des lunettes de soleil et de la crème solaire sont recommandées.")</f>
        <v>Il existe un risque modéré lié aux rayons UV. Des lunettes de soleil et de la crème solaire sont recommandées.</v>
      </c>
      <c r="Y98" s="3" t="str">
        <f>IFERROR(__xludf.DUMMYFUNCTION("GoogleTranslate(C98, ""en"", ""de"")"),"Es besteht ein mäßiges Risiko durch UV-Strahlen. Sonnenbrillen und Sonnencreme werden empfohlen.")</f>
        <v>Es besteht ein mäßiges Risiko durch UV-Strahlen. Sonnenbrillen und Sonnencreme werden empfohlen.</v>
      </c>
      <c r="Z98" s="3" t="str">
        <f>IFERROR(__xludf.DUMMYFUNCTION("GoogleTranslate(C98, ""en"", ""el"")"),"Υπάρχει μέτριος κίνδυνος από τις ακτίνες UV. Συνιστώνται γυαλιά ηλίου και αντηλιακά.")</f>
        <v>Υπάρχει μέτριος κίνδυνος από τις ακτίνες UV. Συνιστώνται γυαλιά ηλίου και αντηλιακά.</v>
      </c>
      <c r="AA98" s="3" t="str">
        <f>IFERROR(__xludf.DUMMYFUNCTION("GoogleTranslate(C98, ""en"", ""iw"")"),"קיים סיכון בינוני מקרני UV. משקפי שמש וקרם הגנה מומלץ.")</f>
        <v>קיים סיכון בינוני מקרני UV. משקפי שמש וקרם הגנה מומלץ.</v>
      </c>
      <c r="AB98" s="3" t="str">
        <f>IFERROR(__xludf.DUMMYFUNCTION("GoogleTranslate(C98, ""en"", ""hi"")"),"यूवी किरणों से मध्यम जोखिम है। धूप का चश्मा और सनस्क्रीन की सिफारिश की जाती है।")</f>
        <v>यूवी किरणों से मध्यम जोखिम है। धूप का चश्मा और सनस्क्रीन की सिफारिश की जाती है।</v>
      </c>
      <c r="AC98" s="3" t="str">
        <f>IFERROR(__xludf.DUMMYFUNCTION("GoogleTranslate(C98, ""en"", ""hu"")"),"Az UV-sugárzás mérsékelt kockázatot jelent. Napszemüveg és fényvédő krém használata javasolt.")</f>
        <v>Az UV-sugárzás mérsékelt kockázatot jelent. Napszemüveg és fényvédő krém használata javasolt.</v>
      </c>
      <c r="AD98" s="3" t="str">
        <f>IFERROR(__xludf.DUMMYFUNCTION("GoogleTranslate(C98, ""en"", ""is"")"),"Það er miðlungs hætta af UV geislum. Mælt er með sólgleraugum og sólarvörn.")</f>
        <v>Það er miðlungs hætta af UV geislum. Mælt er með sólgleraugum og sólarvörn.</v>
      </c>
      <c r="AE98" s="3" t="str">
        <f>IFERROR(__xludf.DUMMYFUNCTION("GoogleTranslate(C98, ""en"", ""id"")"),"Ada risiko sedang dari sinar UV. Kacamata hitam dan tabir surya direkomendasikan.")</f>
        <v>Ada risiko sedang dari sinar UV. Kacamata hitam dan tabir surya direkomendasikan.</v>
      </c>
      <c r="AF98" s="3" t="str">
        <f>IFERROR(__xludf.DUMMYFUNCTION("GoogleTranslate(C98, ""en"", ""in"")"),"Ada risiko sedang dari sinar UV. Kacamata hitam dan tabir surya direkomendasikan.")</f>
        <v>Ada risiko sedang dari sinar UV. Kacamata hitam dan tabir surya direkomendasikan.</v>
      </c>
      <c r="AG98" s="3" t="str">
        <f>IFERROR(__xludf.DUMMYFUNCTION("GoogleTranslate(C98, ""en"", ""it"")"),"Il rischio derivante dai raggi UV è moderato. Si consigliano occhiali da sole e crema solare.")</f>
        <v>Il rischio derivante dai raggi UV è moderato. Si consigliano occhiali da sole e crema solare.</v>
      </c>
      <c r="AH98" s="3" t="str">
        <f>IFERROR(__xludf.DUMMYFUNCTION("GoogleTranslate(C98, ""en"", ""ja"")"),"紫外線による中程度のリスクがあります。サングラスと日焼け止めをお勧めします。")</f>
        <v>紫外線による中程度のリスクがあります。サングラスと日焼け止めをお勧めします。</v>
      </c>
      <c r="AI98" s="3" t="str">
        <f>IFERROR(__xludf.DUMMYFUNCTION("GoogleTranslate(C98, ""en"", ""kn"")"),"ಯುವಿ ಕಿರಣಗಳಿಂದ ಮಧ್ಯಮ ಅಪಾಯವಿದೆ. ಸನ್‌ಗ್ಲಾಸ್ ಮತ್ತು ಸನ್‌ಸ್ಕ್ರೀನ್ ಅನ್ನು ಶಿಫಾರಸು ಮಾಡಲಾಗಿದೆ.")</f>
        <v>ಯುವಿ ಕಿರಣಗಳಿಂದ ಮಧ್ಯಮ ಅಪಾಯವಿದೆ. ಸನ್‌ಗ್ಲಾಸ್ ಮತ್ತು ಸನ್‌ಸ್ಕ್ರೀನ್ ಅನ್ನು ಶಿಫಾರಸು ಮಾಡಲಾಗಿದೆ.</v>
      </c>
      <c r="AJ98" s="3" t="str">
        <f>IFERROR(__xludf.DUMMYFUNCTION("GoogleTranslate(C98, ""en"", ""km"")"),"មានហានិភ័យមធ្យមពីកាំរស្មីយូវី។ វ៉ែនតា និងឡេការពារកម្តៅថ្ងៃត្រូវបានណែនាំ។")</f>
        <v>មានហានិភ័យមធ្យមពីកាំរស្មីយូវី។ វ៉ែនតា និងឡេការពារកម្តៅថ្ងៃត្រូវបានណែនាំ។</v>
      </c>
      <c r="AK98" s="3" t="str">
        <f>IFERROR(__xludf.DUMMYFUNCTION("GoogleTranslate(C98, ""en"", ""ko"")"),"자외선으로 인한 위험은 중간 정도입니다. 선글라스와 자외선 차단제를 권장합니다.")</f>
        <v>자외선으로 인한 위험은 중간 정도입니다. 선글라스와 자외선 차단제를 권장합니다.</v>
      </c>
      <c r="AL98" s="3" t="str">
        <f>IFERROR(__xludf.DUMMYFUNCTION("GoogleTranslate(C98, ""en"", ""lo"")"),"ມີຄວາມສ່ຽງປານກາງຈາກຮັງສີ UV. ແນະນຳໃຫ້ໃສ່ແວ່ນຕາກັນແດດ ແລະ ແວ່ນຕາກັນແດດ.")</f>
        <v>ມີຄວາມສ່ຽງປານກາງຈາກຮັງສີ UV. ແນະນຳໃຫ້ໃສ່ແວ່ນຕາກັນແດດ ແລະ ແວ່ນຕາກັນແດດ.</v>
      </c>
      <c r="AM98" s="3" t="str">
        <f>IFERROR(__xludf.DUMMYFUNCTION("GoogleTranslate(C98, ""en"", ""lv"")"),"Pastāv mērens UV staru risks. Ieteicamas saulesbrilles un saules aizsargkrēms.")</f>
        <v>Pastāv mērens UV staru risks. Ieteicamas saulesbrilles un saules aizsargkrēms.</v>
      </c>
      <c r="AN98" s="3" t="str">
        <f>IFERROR(__xludf.DUMMYFUNCTION("GoogleTranslate(C98, ""en"", ""lt"")"),"Yra vidutinė UV spindulių rizika. Rekomenduojami akiniai nuo saulės ir apsaugos nuo saulės.")</f>
        <v>Yra vidutinė UV spindulių rizika. Rekomenduojami akiniai nuo saulės ir apsaugos nuo saulės.</v>
      </c>
      <c r="AO98" s="3" t="str">
        <f>IFERROR(__xludf.DUMMYFUNCTION("GoogleTranslate(C98, ""en"", ""mk"")"),"Постои умерен ризик од УВ зраците. Се препорачуваат очила за сонце и крема за сончање.")</f>
        <v>Постои умерен ризик од УВ зраците. Се препорачуваат очила за сонце и крема за сончање.</v>
      </c>
      <c r="AP98" s="3" t="str">
        <f>IFERROR(__xludf.DUMMYFUNCTION("GoogleTranslate(C98, ""en"", ""ms"")"),"Terdapat risiko sederhana dari sinaran UV. Cermin mata hitam dan pelindung matahari adalah disyorkan.")</f>
        <v>Terdapat risiko sederhana dari sinaran UV. Cermin mata hitam dan pelindung matahari adalah disyorkan.</v>
      </c>
      <c r="AQ98" s="3" t="str">
        <f>IFERROR(__xludf.DUMMYFUNCTION("GoogleTranslate(C98, ""en"", ""ml"")"),"അൾട്രാവയലറ്റ് രശ്മികളിൽ നിന്ന് മിതമായ അപകടസാധ്യതയുണ്ട്. സൺഗ്ലാസുകളും സൺസ്‌ക്രീനും ശുപാർശ ചെയ്യുന്നു.")</f>
        <v>അൾട്രാവയലറ്റ് രശ്മികളിൽ നിന്ന് മിതമായ അപകടസാധ്യതയുണ്ട്. സൺഗ്ലാസുകളും സൺസ്‌ക്രീനും ശുപാർശ ചെയ്യുന്നു.</v>
      </c>
      <c r="AR98" s="3" t="str">
        <f>IFERROR(__xludf.DUMMYFUNCTION("GoogleTranslate(C98, ""en"", ""mr"")"),"अतिनील किरणांपासून मध्यम धोका असतो. सनग्लासेस आणि सनस्क्रीनची शिफारस केली जाते.")</f>
        <v>अतिनील किरणांपासून मध्यम धोका असतो. सनग्लासेस आणि सनस्क्रीनची शिफारस केली जाते.</v>
      </c>
      <c r="AS98" s="3" t="str">
        <f>IFERROR(__xludf.DUMMYFUNCTION("GoogleTranslate(C98, ""en"", ""mn"")"),"Хэт ягаан туяанаас дунд зэргийн эрсдэлтэй байдаг. Нарны шил, нарнаас хамгаалах тосыг хэрэглэхийг зөвлөж байна.")</f>
        <v>Хэт ягаан туяанаас дунд зэргийн эрсдэлтэй байдаг. Нарны шил, нарнаас хамгаалах тосыг хэрэглэхийг зөвлөж байна.</v>
      </c>
      <c r="AT98" s="3" t="str">
        <f>IFERROR(__xludf.DUMMYFUNCTION("GoogleTranslate(C98, ""en"", ""ne"")"),"UV किरणहरूबाट मध्यम जोखिम छ। सनस्क्रिन र सनस्क्रिन सिफारिस गरिन्छ।")</f>
        <v>UV किरणहरूबाट मध्यम जोखिम छ। सनस्क्रिन र सनस्क्रिन सिफारिस गरिन्छ।</v>
      </c>
      <c r="AU98" s="3" t="str">
        <f>IFERROR(__xludf.DUMMYFUNCTION("GoogleTranslate(C98, ""en"", ""nb"")"),"Det er en moderat risiko fra UV-stråler. Solbriller og solkrem anbefales.")</f>
        <v>Det er en moderat risiko fra UV-stråler. Solbriller og solkrem anbefales.</v>
      </c>
      <c r="AV98" s="3" t="str">
        <f>IFERROR(__xludf.DUMMYFUNCTION("GoogleTranslate(C98, ""en"", ""fa"")"),"خطر متوسطی از اشعه ماوراء بنفش وجود دارد. استفاده از عینک آفتابی و ضد آفتاب توصیه می شود.")</f>
        <v>خطر متوسطی از اشعه ماوراء بنفش وجود دارد. استفاده از عینک آفتابی و ضد آفتاب توصیه می شود.</v>
      </c>
      <c r="AW98" s="3" t="str">
        <f>IFERROR(__xludf.DUMMYFUNCTION("GoogleTranslate(C98, ""en"", ""pl"")"),"Istnieje umiarkowane ryzyko związane z promieniami UV. Zalecane są okulary przeciwsłoneczne i krem ​​​​przeciwsłoneczny.")</f>
        <v>Istnieje umiarkowane ryzyko związane z promieniami UV. Zalecane są okulary przeciwsłoneczne i krem ​​​​przeciwsłoneczny.</v>
      </c>
      <c r="AX98" s="3" t="str">
        <f>IFERROR(__xludf.DUMMYFUNCTION("GoogleTranslate(C98, ""en"", ""pt"")"),"Existe um risco moderado devido aos raios UV. Óculos de sol e protetor solar são recomendados.")</f>
        <v>Existe um risco moderado devido aos raios UV. Óculos de sol e protetor solar são recomendados.</v>
      </c>
      <c r="AY98" s="3" t="str">
        <f>IFERROR(__xludf.DUMMYFUNCTION("GoogleTranslate(C98, ""en"", ""ro"")"),"Există un risc moderat de razele UV. Se recomandă ochelari de soare și protecție solară.")</f>
        <v>Există un risc moderat de razele UV. Se recomandă ochelari de soare și protecție solară.</v>
      </c>
      <c r="AZ98" s="3" t="str">
        <f>IFERROR(__xludf.DUMMYFUNCTION("GoogleTranslate(C98, ""en"", ""ru"")"),"Существует умеренный риск от ультрафиолетовых лучей. Рекомендуются солнцезащитные очки и солнцезащитный крем.")</f>
        <v>Существует умеренный риск от ультрафиолетовых лучей. Рекомендуются солнцезащитные очки и солнцезащитный крем.</v>
      </c>
      <c r="BA98" s="3" t="str">
        <f>IFERROR(__xludf.DUMMYFUNCTION("GoogleTranslate(C98, ""en"", ""sr"")"),"Постоји умерен ризик од УВ зрака. Препоручују се наочаре за сунце и крема за сунчање.")</f>
        <v>Постоји умерен ризик од УВ зрака. Препоручују се наочаре за сунце и крема за сунчање.</v>
      </c>
      <c r="BB98" s="3" t="str">
        <f>IFERROR(__xludf.DUMMYFUNCTION("GoogleTranslate(C98, ""en"", ""si"")"),"UV කිරණ වලින් මධ්යස්ථ අවදානමක් ඇත. අව් කණ්ණාඩි සහ හිරු ආවරණ නිර්දේශ කරනු ලැබේ.")</f>
        <v>UV කිරණ වලින් මධ්යස්ථ අවදානමක් ඇත. අව් කණ්ණාඩි සහ හිරු ආවරණ නිර්දේශ කරනු ලැබේ.</v>
      </c>
      <c r="BC98" s="3" t="str">
        <f>IFERROR(__xludf.DUMMYFUNCTION("GoogleTranslate(C98, ""en"", ""sk"")"),"Existuje mierne riziko UV žiarenia. Odporúčajú sa slnečné okuliare a opaľovací krém.")</f>
        <v>Existuje mierne riziko UV žiarenia. Odporúčajú sa slnečné okuliare a opaľovací krém.</v>
      </c>
      <c r="BD98" s="3" t="str">
        <f>IFERROR(__xludf.DUMMYFUNCTION("GoogleTranslate(C98, ""en"", ""sl"")"),"Obstaja zmerno tveganje zaradi UV žarkov. Priporočljiva so sončna očala in krema za sončenje.")</f>
        <v>Obstaja zmerno tveganje zaradi UV žarkov. Priporočljiva so sončna očala in krema za sončenje.</v>
      </c>
      <c r="BE98" s="3" t="str">
        <f>IFERROR(__xludf.DUMMYFUNCTION("GoogleTranslate(C98, ""en"", ""es"")"),"Existe un riesgo moderado por los rayos UV. Se recomiendan gafas de sol y protector solar.")</f>
        <v>Existe un riesgo moderado por los rayos UV. Se recomiendan gafas de sol y protector solar.</v>
      </c>
      <c r="BF98" s="3" t="str">
        <f>IFERROR(__xludf.DUMMYFUNCTION("GoogleTranslate(C98, ""en"", ""sw"")"),"Kuna hatari ya wastani kutoka kwa mionzi ya UV. Miwani ya jua na jua hupendekezwa.")</f>
        <v>Kuna hatari ya wastani kutoka kwa mionzi ya UV. Miwani ya jua na jua hupendekezwa.</v>
      </c>
      <c r="BG98" s="3" t="str">
        <f>IFERROR(__xludf.DUMMYFUNCTION("GoogleTranslate(C98, ""en"", ""sv"")"),"Det finns en måttlig risk från UV-strålar. Solglasögon och solskyddsmedel rekommenderas.")</f>
        <v>Det finns en måttlig risk från UV-strålar. Solglasögon och solskyddsmedel rekommenderas.</v>
      </c>
      <c r="BH98" s="3" t="str">
        <f>IFERROR(__xludf.DUMMYFUNCTION("GoogleTranslate(C98, ""en"", ""te"")"),"UV కిరణాల నుండి ఒక మోస్తరు ప్రమాదం ఉంది. సన్ గ్లాసెస్ మరియు సన్‌స్క్రీన్ సిఫార్సు చేయబడింది.")</f>
        <v>UV కిరణాల నుండి ఒక మోస్తరు ప్రమాదం ఉంది. సన్ గ్లాసెస్ మరియు సన్‌స్క్రీన్ సిఫార్సు చేయబడింది.</v>
      </c>
      <c r="BI98" s="3" t="str">
        <f>IFERROR(__xludf.DUMMYFUNCTION("GoogleTranslate(C98, ""en"", ""th"")"),"มีความเสี่ยงจากรังสียูวีปานกลาง แนะนำให้สวมแว่นกันแดดและครีมกันแดด")</f>
        <v>มีความเสี่ยงจากรังสียูวีปานกลาง แนะนำให้สวมแว่นกันแดดและครีมกันแดด</v>
      </c>
      <c r="BJ98" s="3" t="str">
        <f>IFERROR(__xludf.DUMMYFUNCTION("GoogleTranslate(C98, ""en"", ""tr"")"),"UV ışınlarından orta derecede risk vardır. Güneş gözlüğü ve güneş koruyucu kullanılması tavsiye edilir.")</f>
        <v>UV ışınlarından orta derecede risk vardır. Güneş gözlüğü ve güneş koruyucu kullanılması tavsiye edilir.</v>
      </c>
      <c r="BK98" s="3" t="str">
        <f>IFERROR(__xludf.DUMMYFUNCTION("GoogleTranslate(C98, ""en"", ""uk"")"),"Існує помірний ризик від УФ-променів. Рекомендуються сонцезахисні окуляри та сонцезахисний крем.")</f>
        <v>Існує помірний ризик від УФ-променів. Рекомендуються сонцезахисні окуляри та сонцезахисний крем.</v>
      </c>
      <c r="BL98" s="3" t="str">
        <f>IFERROR(__xludf.DUMMYFUNCTION("GoogleTranslate(C98, ""en"", ""zu"")"),"Kukhona ingozi emaphakathi evela emisebeni ye-UV. Kunconywa izibuko zelanga kanye nokuvikela ilanga.")</f>
        <v>Kukhona ingozi emaphakathi evela emisebeni ye-UV. Kunconywa izibuko zelanga kanye nokuvikela ilanga.</v>
      </c>
    </row>
    <row r="99">
      <c r="A99" s="1" t="str">
        <f t="shared" si="1"/>
        <v>High</v>
      </c>
      <c r="B99" s="4" t="s">
        <v>107</v>
      </c>
      <c r="C99" s="1" t="str">
        <f t="shared" si="2"/>
        <v>High</v>
      </c>
      <c r="D99" s="3" t="str">
        <f>IFERROR(__xludf.DUMMYFUNCTION("GoogleTranslate(C99, ""en"", ""es"")"),"Alto")</f>
        <v>Alto</v>
      </c>
      <c r="E99" s="3" t="str">
        <f>IFERROR(__xludf.DUMMYFUNCTION("GoogleTranslate(C99, ""en"", ""ar"")"),"عالي")</f>
        <v>عالي</v>
      </c>
      <c r="F99" s="3" t="str">
        <f>IFERROR(__xludf.DUMMYFUNCTION("GoogleTranslate(C99, ""en"", ""hy"")"),"Բարձր")</f>
        <v>Բարձր</v>
      </c>
      <c r="G99" s="3" t="str">
        <f>IFERROR(__xludf.DUMMYFUNCTION("GoogleTranslate(C99, ""en"", ""vi"")"),"Cao")</f>
        <v>Cao</v>
      </c>
      <c r="H99" s="3" t="str">
        <f>IFERROR(__xludf.DUMMYFUNCTION("GoogleTranslate(C99, ""en"", ""az"")"),"Yüksək")</f>
        <v>Yüksək</v>
      </c>
      <c r="I99" s="3" t="str">
        <f>IFERROR(__xludf.DUMMYFUNCTION("GoogleTranslate(C99, ""en"", ""eu"")"),"Alta")</f>
        <v>Alta</v>
      </c>
      <c r="J99" s="3" t="str">
        <f>IFERROR(__xludf.DUMMYFUNCTION("GoogleTranslate(C99, ""en"", ""be"")"),"Высокі")</f>
        <v>Высокі</v>
      </c>
      <c r="K99" s="3" t="str">
        <f>IFERROR(__xludf.DUMMYFUNCTION("GoogleTranslate(C99, ""en"", ""bn"")"),"উচ্চ")</f>
        <v>উচ্চ</v>
      </c>
      <c r="L99" s="3" t="str">
        <f>IFERROR(__xludf.DUMMYFUNCTION("GoogleTranslate(C99, ""en"", ""bg"")"),"високо")</f>
        <v>високо</v>
      </c>
      <c r="M99" s="3" t="str">
        <f>IFERROR(__xludf.DUMMYFUNCTION("GoogleTranslate(C99, ""en"", ""my"")"),"မြင့်သည်။")</f>
        <v>မြင့်သည်။</v>
      </c>
      <c r="N99" s="3" t="str">
        <f>IFERROR(__xludf.DUMMYFUNCTION("GoogleTranslate(C99, ""en"", ""ca"")"),"Alt")</f>
        <v>Alt</v>
      </c>
      <c r="O99" s="3" t="str">
        <f>IFERROR(__xludf.DUMMYFUNCTION("GoogleTranslate(C99, ""en"", ""zh-cn"")"),"高的")</f>
        <v>高的</v>
      </c>
      <c r="P99" s="3" t="str">
        <f>IFERROR(__xludf.DUMMYFUNCTION("GoogleTranslate(C99, ""en"", ""zh-TW"")"),"高的")</f>
        <v>高的</v>
      </c>
      <c r="Q99" s="3" t="str">
        <f>IFERROR(__xludf.DUMMYFUNCTION("GoogleTranslate(C99, ""en"", ""hr"")"),"visoko")</f>
        <v>visoko</v>
      </c>
      <c r="R99" s="3" t="str">
        <f>IFERROR(__xludf.DUMMYFUNCTION("GoogleTranslate(C99, ""en"", ""cs"")"),"Vysoký")</f>
        <v>Vysoký</v>
      </c>
      <c r="S99" s="3" t="str">
        <f>IFERROR(__xludf.DUMMYFUNCTION("GoogleTranslate(C99, ""en"", ""da"")"),"Høj")</f>
        <v>Høj</v>
      </c>
      <c r="T99" s="3" t="str">
        <f>IFERROR(__xludf.DUMMYFUNCTION("GoogleTranslate(C99, ""en"", ""nl"")"),"Hoog")</f>
        <v>Hoog</v>
      </c>
      <c r="U99" s="3" t="str">
        <f>IFERROR(__xludf.DUMMYFUNCTION("GoogleTranslate(C99, ""en"", ""et"")"),"Kõrge")</f>
        <v>Kõrge</v>
      </c>
      <c r="V99" s="1" t="str">
        <f t="shared" si="3"/>
        <v>High</v>
      </c>
      <c r="W99" s="3" t="str">
        <f>IFERROR(__xludf.DUMMYFUNCTION("GoogleTranslate(C99, ""en"", ""fi"")"),"Korkea")</f>
        <v>Korkea</v>
      </c>
      <c r="X99" s="3" t="str">
        <f>IFERROR(__xludf.DUMMYFUNCTION("GoogleTranslate(C99, ""en"", ""fr"")"),"Haut")</f>
        <v>Haut</v>
      </c>
      <c r="Y99" s="3" t="str">
        <f>IFERROR(__xludf.DUMMYFUNCTION("GoogleTranslate(C99, ""en"", ""de"")"),"Hoch")</f>
        <v>Hoch</v>
      </c>
      <c r="Z99" s="3" t="str">
        <f>IFERROR(__xludf.DUMMYFUNCTION("GoogleTranslate(C99, ""en"", ""el"")"),"Ψηλά")</f>
        <v>Ψηλά</v>
      </c>
      <c r="AA99" s="3" t="str">
        <f>IFERROR(__xludf.DUMMYFUNCTION("GoogleTranslate(C99, ""en"", ""iw"")"),"גָבוֹהַ")</f>
        <v>גָבוֹהַ</v>
      </c>
      <c r="AB99" s="3" t="str">
        <f>IFERROR(__xludf.DUMMYFUNCTION("GoogleTranslate(C99, ""en"", ""hi"")"),"उच्च")</f>
        <v>उच्च</v>
      </c>
      <c r="AC99" s="3" t="str">
        <f>IFERROR(__xludf.DUMMYFUNCTION("GoogleTranslate(C99, ""en"", ""hu"")"),"Magas")</f>
        <v>Magas</v>
      </c>
      <c r="AD99" s="3" t="str">
        <f>IFERROR(__xludf.DUMMYFUNCTION("GoogleTranslate(C99, ""en"", ""is"")"),"Hátt")</f>
        <v>Hátt</v>
      </c>
      <c r="AE99" s="3" t="str">
        <f>IFERROR(__xludf.DUMMYFUNCTION("GoogleTranslate(C99, ""en"", ""id"")"),"Tinggi")</f>
        <v>Tinggi</v>
      </c>
      <c r="AF99" s="3" t="str">
        <f>IFERROR(__xludf.DUMMYFUNCTION("GoogleTranslate(C99, ""en"", ""in"")"),"Tinggi")</f>
        <v>Tinggi</v>
      </c>
      <c r="AG99" s="3" t="str">
        <f>IFERROR(__xludf.DUMMYFUNCTION("GoogleTranslate(C99, ""en"", ""it"")"),"Alto")</f>
        <v>Alto</v>
      </c>
      <c r="AH99" s="3" t="str">
        <f>IFERROR(__xludf.DUMMYFUNCTION("GoogleTranslate(C99, ""en"", ""ja"")"),"高い")</f>
        <v>高い</v>
      </c>
      <c r="AI99" s="3" t="str">
        <f>IFERROR(__xludf.DUMMYFUNCTION("GoogleTranslate(C99, ""en"", ""kn"")"),"ಹೆಚ್ಚು")</f>
        <v>ಹೆಚ್ಚು</v>
      </c>
      <c r="AJ99" s="3" t="str">
        <f>IFERROR(__xludf.DUMMYFUNCTION("GoogleTranslate(C99, ""en"", ""km"")"),"ខ្ពស់។")</f>
        <v>ខ្ពស់។</v>
      </c>
      <c r="AK99" s="3" t="str">
        <f>IFERROR(__xludf.DUMMYFUNCTION("GoogleTranslate(C99, ""en"", ""ko"")"),"높은")</f>
        <v>높은</v>
      </c>
      <c r="AL99" s="3" t="str">
        <f>IFERROR(__xludf.DUMMYFUNCTION("GoogleTranslate(C99, ""en"", ""lo"")"),"ສູງ")</f>
        <v>ສູງ</v>
      </c>
      <c r="AM99" s="3" t="str">
        <f>IFERROR(__xludf.DUMMYFUNCTION("GoogleTranslate(C99, ""en"", ""lv"")"),"Augsts")</f>
        <v>Augsts</v>
      </c>
      <c r="AN99" s="3" t="str">
        <f>IFERROR(__xludf.DUMMYFUNCTION("GoogleTranslate(C99, ""en"", ""lt"")"),"Aukštas")</f>
        <v>Aukštas</v>
      </c>
      <c r="AO99" s="3" t="str">
        <f>IFERROR(__xludf.DUMMYFUNCTION("GoogleTranslate(C99, ""en"", ""mk"")"),"Високо")</f>
        <v>Високо</v>
      </c>
      <c r="AP99" s="3" t="str">
        <f>IFERROR(__xludf.DUMMYFUNCTION("GoogleTranslate(C99, ""en"", ""ms"")"),"tinggi")</f>
        <v>tinggi</v>
      </c>
      <c r="AQ99" s="3" t="str">
        <f>IFERROR(__xludf.DUMMYFUNCTION("GoogleTranslate(C99, ""en"", ""ml"")"),"ഉയർന്നത്")</f>
        <v>ഉയർന്നത്</v>
      </c>
      <c r="AR99" s="3" t="str">
        <f>IFERROR(__xludf.DUMMYFUNCTION("GoogleTranslate(C99, ""en"", ""mr"")"),"उच्च")</f>
        <v>उच्च</v>
      </c>
      <c r="AS99" s="3" t="str">
        <f>IFERROR(__xludf.DUMMYFUNCTION("GoogleTranslate(C99, ""en"", ""mn"")"),"Өндөр")</f>
        <v>Өндөр</v>
      </c>
      <c r="AT99" s="3" t="str">
        <f>IFERROR(__xludf.DUMMYFUNCTION("GoogleTranslate(C99, ""en"", ""ne"")"),"उच्च")</f>
        <v>उच्च</v>
      </c>
      <c r="AU99" s="3" t="str">
        <f>IFERROR(__xludf.DUMMYFUNCTION("GoogleTranslate(C99, ""en"", ""nb"")"),"Høy")</f>
        <v>Høy</v>
      </c>
      <c r="AV99" s="3" t="str">
        <f>IFERROR(__xludf.DUMMYFUNCTION("GoogleTranslate(C99, ""en"", ""fa"")"),"بالا")</f>
        <v>بالا</v>
      </c>
      <c r="AW99" s="3" t="str">
        <f>IFERROR(__xludf.DUMMYFUNCTION("GoogleTranslate(C99, ""en"", ""pl"")"),"Wysoki")</f>
        <v>Wysoki</v>
      </c>
      <c r="AX99" s="3" t="str">
        <f>IFERROR(__xludf.DUMMYFUNCTION("GoogleTranslate(C99, ""en"", ""pt"")"),"Alto")</f>
        <v>Alto</v>
      </c>
      <c r="AY99" s="3" t="str">
        <f>IFERROR(__xludf.DUMMYFUNCTION("GoogleTranslate(C99, ""en"", ""ro"")"),"Ridicat")</f>
        <v>Ridicat</v>
      </c>
      <c r="AZ99" s="3" t="str">
        <f>IFERROR(__xludf.DUMMYFUNCTION("GoogleTranslate(C99, ""en"", ""ru"")"),"Высокий")</f>
        <v>Высокий</v>
      </c>
      <c r="BA99" s="3" t="str">
        <f>IFERROR(__xludf.DUMMYFUNCTION("GoogleTranslate(C99, ""en"", ""sr"")"),"Високо")</f>
        <v>Високо</v>
      </c>
      <c r="BB99" s="3" t="str">
        <f>IFERROR(__xludf.DUMMYFUNCTION("GoogleTranslate(C99, ""en"", ""si"")"),"ඉහළ")</f>
        <v>ඉහළ</v>
      </c>
      <c r="BC99" s="3" t="str">
        <f>IFERROR(__xludf.DUMMYFUNCTION("GoogleTranslate(C99, ""en"", ""sk"")"),"Vysoká")</f>
        <v>Vysoká</v>
      </c>
      <c r="BD99" s="3" t="str">
        <f>IFERROR(__xludf.DUMMYFUNCTION("GoogleTranslate(C99, ""en"", ""sl"")"),"visoko")</f>
        <v>visoko</v>
      </c>
      <c r="BE99" s="3" t="str">
        <f>IFERROR(__xludf.DUMMYFUNCTION("GoogleTranslate(C99, ""en"", ""es"")"),"Alto")</f>
        <v>Alto</v>
      </c>
      <c r="BF99" s="3" t="str">
        <f>IFERROR(__xludf.DUMMYFUNCTION("GoogleTranslate(C99, ""en"", ""sw"")"),"Juu")</f>
        <v>Juu</v>
      </c>
      <c r="BG99" s="3" t="str">
        <f>IFERROR(__xludf.DUMMYFUNCTION("GoogleTranslate(C99, ""en"", ""sv"")"),"Hög")</f>
        <v>Hög</v>
      </c>
      <c r="BH99" s="3" t="str">
        <f>IFERROR(__xludf.DUMMYFUNCTION("GoogleTranslate(C99, ""en"", ""te"")"),"అధిక")</f>
        <v>అధిక</v>
      </c>
      <c r="BI99" s="3" t="str">
        <f>IFERROR(__xludf.DUMMYFUNCTION("GoogleTranslate(C99, ""en"", ""th"")"),"สูง")</f>
        <v>สูง</v>
      </c>
      <c r="BJ99" s="3" t="str">
        <f>IFERROR(__xludf.DUMMYFUNCTION("GoogleTranslate(C99, ""en"", ""tr"")"),"Yüksek")</f>
        <v>Yüksek</v>
      </c>
      <c r="BK99" s="3" t="str">
        <f>IFERROR(__xludf.DUMMYFUNCTION("GoogleTranslate(C99, ""en"", ""uk"")"),"Високий")</f>
        <v>Високий</v>
      </c>
      <c r="BL99" s="3" t="str">
        <f>IFERROR(__xludf.DUMMYFUNCTION("GoogleTranslate(C99, ""en"", ""zu"")"),"Phezulu")</f>
        <v>Phezulu</v>
      </c>
    </row>
    <row r="100">
      <c r="A100" s="1" t="str">
        <f t="shared" si="1"/>
        <v>UV_rays_are_highly_intense._You_should_limit_going_out_during_the_middle_of_the_day,_use_protective_clothing,_sunglasses,_and_sunscreen.</v>
      </c>
      <c r="B100" s="4" t="s">
        <v>157</v>
      </c>
      <c r="C100" s="1" t="str">
        <f t="shared" si="2"/>
        <v>UV rays are highly intense. You should limit going out during the middle of the day, use protective clothing, sunglasses, and sunscreen.</v>
      </c>
      <c r="D100" s="3" t="str">
        <f>IFERROR(__xludf.DUMMYFUNCTION("GoogleTranslate(C100, ""en"", ""es"")"),"Los rayos ultravioleta son muy intensos. Debes limitar las salidas a mitad del día, utilizar ropa protectora, gafas de sol y bloqueador solar.")</f>
        <v>Los rayos ultravioleta son muy intensos. Debes limitar las salidas a mitad del día, utilizar ropa protectora, gafas de sol y bloqueador solar.</v>
      </c>
      <c r="E100" s="3" t="str">
        <f>IFERROR(__xludf.DUMMYFUNCTION("GoogleTranslate(C100, ""en"", ""ar"")"),"الأشعة فوق البنفسجية شديدة للغاية. يجب عليك الحد من الخروج في منتصف النهار، واستخدام الملابس الواقية، والنظارات الشمسية، وواقي الشمس.")</f>
        <v>الأشعة فوق البنفسجية شديدة للغاية. يجب عليك الحد من الخروج في منتصف النهار، واستخدام الملابس الواقية، والنظارات الشمسية، وواقي الشمس.</v>
      </c>
      <c r="F100" s="3" t="str">
        <f>IFERROR(__xludf.DUMMYFUNCTION("GoogleTranslate(C100, ""en"", ""hy"")"),"Ուլտրամանուշակագույն ճառագայթները շատ ինտենսիվ են: Դուք պետք է սահմանափակեք օրվա կեսին դուրս գալը, օգտագործեք պաշտպանիչ հագուստ, արևային ակնոցներ և արևապաշտպան միջոցներ:")</f>
        <v>Ուլտրամանուշակագույն ճառագայթները շատ ինտենսիվ են: Դուք պետք է սահմանափակեք օրվա կեսին դուրս գալը, օգտագործեք պաշտպանիչ հագուստ, արևային ակնոցներ և արևապաշտպան միջոցներ:</v>
      </c>
      <c r="G100" s="3" t="str">
        <f>IFERROR(__xludf.DUMMYFUNCTION("GoogleTranslate(C100, ""en"", ""vi"")"),"Tia UV có cường độ rất cao. Bạn nên hạn chế ra ngoài vào giữa ngày, sử dụng quần áo bảo hộ, kính râm và kem chống nắng.")</f>
        <v>Tia UV có cường độ rất cao. Bạn nên hạn chế ra ngoài vào giữa ngày, sử dụng quần áo bảo hộ, kính râm và kem chống nắng.</v>
      </c>
      <c r="H100" s="3" t="str">
        <f>IFERROR(__xludf.DUMMYFUNCTION("GoogleTranslate(C100, ""en"", ""az"")"),"UV şüaları çox güclüdür. Günün ortasında çölə çıxmağı məhdudlaşdırmalı, qoruyucu geyim, günəş eynəyi və günəşdən qoruyucu vasitələrdən istifadə etməlisiniz.")</f>
        <v>UV şüaları çox güclüdür. Günün ortasında çölə çıxmağı məhdudlaşdırmalı, qoruyucu geyim, günəş eynəyi və günəşdən qoruyucu vasitələrdən istifadə etməlisiniz.</v>
      </c>
      <c r="I100" s="3" t="str">
        <f>IFERROR(__xludf.DUMMYFUNCTION("GoogleTranslate(C100, ""en"", ""eu"")"),"UV izpiak oso biziak dira. Egunaren erdialdean irtetea mugatu beharko zenuke, babes-arropa, eguzkitako betaurrekoak eta eguzkitako krema erabili.")</f>
        <v>UV izpiak oso biziak dira. Egunaren erdialdean irtetea mugatu beharko zenuke, babes-arropa, eguzkitako betaurrekoak eta eguzkitako krema erabili.</v>
      </c>
      <c r="J100" s="3" t="str">
        <f>IFERROR(__xludf.DUMMYFUNCTION("GoogleTranslate(C100, ""en"", ""be"")"),"УФ-прамяні вельмі інтэнсіўныя. Варта абмежаваць выхады на вуліцу ў сярэдзіне дня, карыстацца ахоўнай вопраткай, сонцаахоўнымі акулярамі і сонцаахоўнымі крэмамі.")</f>
        <v>УФ-прамяні вельмі інтэнсіўныя. Варта абмежаваць выхады на вуліцу ў сярэдзіне дня, карыстацца ахоўнай вопраткай, сонцаахоўнымі акулярамі і сонцаахоўнымі крэмамі.</v>
      </c>
      <c r="K100" s="3" t="str">
        <f>IFERROR(__xludf.DUMMYFUNCTION("GoogleTranslate(C100, ""en"", ""bn"")"),"UV রশ্মি অত্যন্ত তীব্র। দিনের মাঝখানে আপনার বাইরে যাওয়া সীমিত করা উচিত, সুরক্ষামূলক পোশাক, সানগ্লাস এবং সানস্ক্রিন ব্যবহার করা উচিত।")</f>
        <v>UV রশ্মি অত্যন্ত তীব্র। দিনের মাঝখানে আপনার বাইরে যাওয়া সীমিত করা উচিত, সুরক্ষামূলক পোশাক, সানগ্লাস এবং সানস্ক্রিন ব্যবহার করা উচিত।</v>
      </c>
      <c r="L100" s="3" t="str">
        <f>IFERROR(__xludf.DUMMYFUNCTION("GoogleTranslate(C100, ""en"", ""bg"")"),"UV лъчите са много интензивни. Трябва да ограничите излизането през средата на деня, да използвате защитно облекло, слънчеви очила и слънцезащитен крем.")</f>
        <v>UV лъчите са много интензивни. Трябва да ограничите излизането през средата на деня, да използвате защитно облекло, слънчеви очила и слънцезащитен крем.</v>
      </c>
      <c r="M100" s="3" t="str">
        <f>IFERROR(__xludf.DUMMYFUNCTION("GoogleTranslate(C100, ""en"", ""my"")"),"ခရမ်းလွန်ရောင်ခြည်သည် အလွန်ပြင်းထန်သည်။ နေ့ခင်းဘက် အပြင်ထွက်တာကို ကန့်သတ်ထားသင့်ပြီး အကာအကွယ်အဝတ်အစား၊ နေကာမျက်မှန်နဲ့ နေကာခရင်မ်ကို အသုံးပြုပါ။")</f>
        <v>ခရမ်းလွန်ရောင်ခြည်သည် အလွန်ပြင်းထန်သည်။ နေ့ခင်းဘက် အပြင်ထွက်တာကို ကန့်သတ်ထားသင့်ပြီး အကာအကွယ်အဝတ်အစား၊ နေကာမျက်မှန်နဲ့ နေကာခရင်မ်ကို အသုံးပြုပါ။</v>
      </c>
      <c r="N100" s="3" t="str">
        <f>IFERROR(__xludf.DUMMYFUNCTION("GoogleTranslate(C100, ""en"", ""ca"")"),"Els raigs UV són molt intensos. Heu de limitar les sortides durant la meitat del dia, utilitzar roba protectora, ulleres de sol i protector solar.")</f>
        <v>Els raigs UV són molt intensos. Heu de limitar les sortides durant la meitat del dia, utilitzar roba protectora, ulleres de sol i protector solar.</v>
      </c>
      <c r="O100" s="3" t="str">
        <f>IFERROR(__xludf.DUMMYFUNCTION("GoogleTranslate(C100, ""en"", ""zh-cn"")"),"紫外线非常强烈。您应该限制中午外出，使用防护服、太阳镜和防晒霜。")</f>
        <v>紫外线非常强烈。您应该限制中午外出，使用防护服、太阳镜和防晒霜。</v>
      </c>
      <c r="P100" s="3" t="str">
        <f>IFERROR(__xludf.DUMMYFUNCTION("GoogleTranslate(C100, ""en"", ""zh-TW"")"),"紫外線非常強烈。您應該限制中午外出，使用防護服、太陽眼鏡和防曬霜。")</f>
        <v>紫外線非常強烈。您應該限制中午外出，使用防護服、太陽眼鏡和防曬霜。</v>
      </c>
      <c r="Q100" s="3" t="str">
        <f>IFERROR(__xludf.DUMMYFUNCTION("GoogleTranslate(C100, ""en"", ""hr"")"),"UV zrake su vrlo intenzivne. Ograničite izlaske sredinom dana, koristite zaštitnu odjeću, sunčane naočale i kremu za sunčanje.")</f>
        <v>UV zrake su vrlo intenzivne. Ograničite izlaske sredinom dana, koristite zaštitnu odjeću, sunčane naočale i kremu za sunčanje.</v>
      </c>
      <c r="R100" s="3" t="str">
        <f>IFERROR(__xludf.DUMMYFUNCTION("GoogleTranslate(C100, ""en"", ""cs"")"),"UV záření je velmi intenzivní. Měli byste omezit venčení uprostřed dne, používat ochranný oděv, sluneční brýle a opalovací krém.")</f>
        <v>UV záření je velmi intenzivní. Měli byste omezit venčení uprostřed dne, používat ochranný oděv, sluneční brýle a opalovací krém.</v>
      </c>
      <c r="S100" s="3" t="str">
        <f>IFERROR(__xludf.DUMMYFUNCTION("GoogleTranslate(C100, ""en"", ""da"")"),"UV-stråler er meget intense. Du bør begrænse at gå ud midt på dagen, bruge beskyttelsestøj, solbriller og solcreme.")</f>
        <v>UV-stråler er meget intense. Du bør begrænse at gå ud midt på dagen, bruge beskyttelsestøj, solbriller og solcreme.</v>
      </c>
      <c r="T100" s="3" t="str">
        <f>IFERROR(__xludf.DUMMYFUNCTION("GoogleTranslate(C100, ""en"", ""nl"")"),"UV-stralen zijn zeer intens. Beperk het uitgaan overdag, gebruik beschermende kleding, een zonnebril en zonnebrandcrème.")</f>
        <v>UV-stralen zijn zeer intens. Beperk het uitgaan overdag, gebruik beschermende kleding, een zonnebril en zonnebrandcrème.</v>
      </c>
      <c r="U100" s="3" t="str">
        <f>IFERROR(__xludf.DUMMYFUNCTION("GoogleTranslate(C100, ""en"", ""et"")"),"UV-kiired on väga intensiivsed. Peaksite piirama päevasel ajal väljas käimist, kasutama kaitseriietust, päikeseprille ja päikesekaitsekreemi.")</f>
        <v>UV-kiired on väga intensiivsed. Peaksite piirama päevasel ajal väljas käimist, kasutama kaitseriietust, päikeseprille ja päikesekaitsekreemi.</v>
      </c>
      <c r="V100" s="1" t="str">
        <f t="shared" si="3"/>
        <v>UV rays are highly intense. You should limit going out during the middle of the day, use protective clothing, sunglasses, and sunscreen.</v>
      </c>
      <c r="W100" s="3" t="str">
        <f>IFERROR(__xludf.DUMMYFUNCTION("GoogleTranslate(C100, ""en"", ""fi"")"),"UV-säteet ovat erittäin voimakkaita. Sinun tulisi rajoittaa ulkoilua keskellä päivää, käyttää suojavaatetusta, aurinkolaseja ja aurinkovoidetta.")</f>
        <v>UV-säteet ovat erittäin voimakkaita. Sinun tulisi rajoittaa ulkoilua keskellä päivää, käyttää suojavaatetusta, aurinkolaseja ja aurinkovoidetta.</v>
      </c>
      <c r="X100" s="3" t="str">
        <f>IFERROR(__xludf.DUMMYFUNCTION("GoogleTranslate(C100, ""en"", ""fr"")"),"Les rayons UV sont très intenses. Vous devez limiter vos sorties en milieu de journée, utiliser des vêtements de protection, des lunettes de soleil et de la crème solaire.")</f>
        <v>Les rayons UV sont très intenses. Vous devez limiter vos sorties en milieu de journée, utiliser des vêtements de protection, des lunettes de soleil et de la crème solaire.</v>
      </c>
      <c r="Y100" s="3" t="str">
        <f>IFERROR(__xludf.DUMMYFUNCTION("GoogleTranslate(C100, ""en"", ""de"")"),"UV-Strahlen sind sehr intensiv. Sie sollten das Ausgehen während der Mittagszeit einschränken und Schutzkleidung, Sonnenbrille und Sonnenschutzmittel tragen.")</f>
        <v>UV-Strahlen sind sehr intensiv. Sie sollten das Ausgehen während der Mittagszeit einschränken und Schutzkleidung, Sonnenbrille und Sonnenschutzmittel tragen.</v>
      </c>
      <c r="Z100" s="3" t="str">
        <f>IFERROR(__xludf.DUMMYFUNCTION("GoogleTranslate(C100, ""en"", ""el"")"),"Οι ακτίνες UV είναι πολύ έντονες. Θα πρέπει να περιορίσετε τις εξόδους στη μέση της ημέρας, να χρησιμοποιείτε προστατευτικά ρούχα, γυαλιά ηλίου και αντηλιακό.")</f>
        <v>Οι ακτίνες UV είναι πολύ έντονες. Θα πρέπει να περιορίσετε τις εξόδους στη μέση της ημέρας, να χρησιμοποιείτε προστατευτικά ρούχα, γυαλιά ηλίου και αντηλιακό.</v>
      </c>
      <c r="AA100" s="3" t="str">
        <f>IFERROR(__xludf.DUMMYFUNCTION("GoogleTranslate(C100, ""en"", ""iw"")"),"קרני UV הן אינטנסיביות ביותר. כדאי להגביל את היציאה לבילוי באמצע היום, להשתמש בביגוד מגן, משקפי שמש וקרם הגנה.")</f>
        <v>קרני UV הן אינטנסיביות ביותר. כדאי להגביל את היציאה לבילוי באמצע היום, להשתמש בביגוד מגן, משקפי שמש וקרם הגנה.</v>
      </c>
      <c r="AB100" s="3" t="str">
        <f>IFERROR(__xludf.DUMMYFUNCTION("GoogleTranslate(C100, ""en"", ""hi"")"),"यूवी किरणें अत्यधिक तीव्र होती हैं। आपको दिन के मध्य में बाहर जाना सीमित करना चाहिए, सुरक्षात्मक कपड़े, धूप का चश्मा और सनस्क्रीन का उपयोग करना चाहिए।")</f>
        <v>यूवी किरणें अत्यधिक तीव्र होती हैं। आपको दिन के मध्य में बाहर जाना सीमित करना चाहिए, सुरक्षात्मक कपड़े, धूप का चश्मा और सनस्क्रीन का उपयोग करना चाहिए।</v>
      </c>
      <c r="AC100" s="3" t="str">
        <f>IFERROR(__xludf.DUMMYFUNCTION("GoogleTranslate(C100, ""en"", ""hu"")"),"Az UV sugárzás rendkívül intenzív. Korlátozni kell a nap közepén való kijárást, használjon védőruházatot, napszemüveget és fényvédő krémet.")</f>
        <v>Az UV sugárzás rendkívül intenzív. Korlátozni kell a nap közepén való kijárást, használjon védőruházatot, napszemüveget és fényvédő krémet.</v>
      </c>
      <c r="AD100" s="3" t="str">
        <f>IFERROR(__xludf.DUMMYFUNCTION("GoogleTranslate(C100, ""en"", ""is"")"),"UV geislar eru mjög sterkir. Þú ættir að takmarka það að fara út um miðjan daginn, nota hlífðarfatnað, sólgleraugu og sólarvörn.")</f>
        <v>UV geislar eru mjög sterkir. Þú ættir að takmarka það að fara út um miðjan daginn, nota hlífðarfatnað, sólgleraugu og sólarvörn.</v>
      </c>
      <c r="AE100" s="3" t="str">
        <f>IFERROR(__xludf.DUMMYFUNCTION("GoogleTranslate(C100, ""en"", ""id"")"),"Sinar UV sangat intens. Sebaiknya batasi keluar rumah pada siang hari, gunakan pakaian pelindung, kacamata hitam, dan tabir surya.")</f>
        <v>Sinar UV sangat intens. Sebaiknya batasi keluar rumah pada siang hari, gunakan pakaian pelindung, kacamata hitam, dan tabir surya.</v>
      </c>
      <c r="AF100" s="3" t="str">
        <f>IFERROR(__xludf.DUMMYFUNCTION("GoogleTranslate(C100, ""en"", ""in"")"),"Sinar UV sangat intens. Sebaiknya batasi keluar rumah pada siang hari, gunakan pakaian pelindung, kacamata hitam, dan tabir surya.")</f>
        <v>Sinar UV sangat intens. Sebaiknya batasi keluar rumah pada siang hari, gunakan pakaian pelindung, kacamata hitam, dan tabir surya.</v>
      </c>
      <c r="AG100" s="3" t="str">
        <f>IFERROR(__xludf.DUMMYFUNCTION("GoogleTranslate(C100, ""en"", ""it"")"),"I raggi UV sono molto intensi. Dovresti limitare le uscite durante le ore centrali della giornata, usare indumenti protettivi, occhiali da sole e crema solare.")</f>
        <v>I raggi UV sono molto intensi. Dovresti limitare le uscite durante le ore centrali della giornata, usare indumenti protettivi, occhiali da sole e crema solare.</v>
      </c>
      <c r="AH100" s="3" t="str">
        <f>IFERROR(__xludf.DUMMYFUNCTION("GoogleTranslate(C100, ""en"", ""ja"")"),"紫外線は非常に強力です。日中の外出を制限し、防護服、サングラス、日焼け止めを使用する必要があります。")</f>
        <v>紫外線は非常に強力です。日中の外出を制限し、防護服、サングラス、日焼け止めを使用する必要があります。</v>
      </c>
      <c r="AI100" s="3" t="str">
        <f>IFERROR(__xludf.DUMMYFUNCTION("GoogleTranslate(C100, ""en"", ""kn"")"),"ಯುವಿ ಕಿರಣಗಳು ಹೆಚ್ಚು ತೀವ್ರವಾಗಿರುತ್ತವೆ. ನೀವು ದಿನದ ಮಧ್ಯದಲ್ಲಿ ಹೊರಗೆ ಹೋಗುವುದನ್ನು ಮಿತಿಗೊಳಿಸಬೇಕು, ರಕ್ಷಣಾತ್ಮಕ ಬಟ್ಟೆ, ಸನ್ಗ್ಲಾಸ್ ಮತ್ತು ಸನ್‌ಸ್ಕ್ರೀನ್ ಬಳಸಿ.")</f>
        <v>ಯುವಿ ಕಿರಣಗಳು ಹೆಚ್ಚು ತೀವ್ರವಾಗಿರುತ್ತವೆ. ನೀವು ದಿನದ ಮಧ್ಯದಲ್ಲಿ ಹೊರಗೆ ಹೋಗುವುದನ್ನು ಮಿತಿಗೊಳಿಸಬೇಕು, ರಕ್ಷಣಾತ್ಮಕ ಬಟ್ಟೆ, ಸನ್ಗ್ಲಾಸ್ ಮತ್ತು ಸನ್‌ಸ್ಕ್ರೀನ್ ಬಳಸಿ.</v>
      </c>
      <c r="AJ100" s="3" t="str">
        <f>IFERROR(__xludf.DUMMYFUNCTION("GoogleTranslate(C100, ""en"", ""km"")"),"កាំរស្មីយូវីមានកម្រិតខ្លាំង។ អ្នកគួរតែកំណត់ការចេញទៅក្រៅអំឡុងពេលពាក់កណ្តាលថ្ងៃ ប្រើសម្លៀកបំពាក់ការពារ វ៉ែនតា និងឡេការពារកម្តៅថ្ងៃ។")</f>
        <v>កាំរស្មីយូវីមានកម្រិតខ្លាំង។ អ្នកគួរតែកំណត់ការចេញទៅក្រៅអំឡុងពេលពាក់កណ្តាលថ្ងៃ ប្រើសម្លៀកបំពាក់ការពារ វ៉ែនតា និងឡេការពារកម្តៅថ្ងៃ។</v>
      </c>
      <c r="AK100" s="3" t="str">
        <f>IFERROR(__xludf.DUMMYFUNCTION("GoogleTranslate(C100, ""en"", ""ko"")"),"자외선은 매우 강렬합니다. 낮에는 외출을 자제하고 보호복, 선글라스, 자외선 차단제를 사용해야 합니다.")</f>
        <v>자외선은 매우 강렬합니다. 낮에는 외출을 자제하고 보호복, 선글라스, 자외선 차단제를 사용해야 합니다.</v>
      </c>
      <c r="AL100" s="3" t="str">
        <f>IFERROR(__xludf.DUMMYFUNCTION("GoogleTranslate(C100, ""en"", ""lo"")"),"ຮັງສີ UV ມີຄວາມເຂັ້ມຂຸ້ນສູງ. ທ່ານຄວນຈໍາກັດການອອກໄປກາງເວັນ, ໃຊ້ເຄື່ອງນຸ່ງປ້ອງກັນ, ແວ່ນຕາກັນແດດ, ແລະຄີມກັນແດດ.")</f>
        <v>ຮັງສີ UV ມີຄວາມເຂັ້ມຂຸ້ນສູງ. ທ່ານຄວນຈໍາກັດການອອກໄປກາງເວັນ, ໃຊ້ເຄື່ອງນຸ່ງປ້ອງກັນ, ແວ່ນຕາກັນແດດ, ແລະຄີມກັນແດດ.</v>
      </c>
      <c r="AM100" s="3" t="str">
        <f>IFERROR(__xludf.DUMMYFUNCTION("GoogleTranslate(C100, ""en"", ""lv"")"),"UV stari ir ļoti intensīvi. Dienas vidū jāierobežo iziešana ārā, jālieto aizsargtērps, saulesbrilles un sauļošanās līdzeklis.")</f>
        <v>UV stari ir ļoti intensīvi. Dienas vidū jāierobežo iziešana ārā, jālieto aizsargtērps, saulesbrilles un sauļošanās līdzeklis.</v>
      </c>
      <c r="AN100" s="3" t="str">
        <f>IFERROR(__xludf.DUMMYFUNCTION("GoogleTranslate(C100, ""en"", ""lt"")"),"UV spinduliai yra labai intensyvūs. Turėtumėte apriboti išėjimą vidury dienos, dėvėti apsauginius drabužius, akinius nuo saulės ir apsaugos nuo saulės priemones.")</f>
        <v>UV spinduliai yra labai intensyvūs. Turėtumėte apriboti išėjimą vidury dienos, dėvėti apsauginius drabužius, akinius nuo saulės ir apsaugos nuo saulės priemones.</v>
      </c>
      <c r="AO100" s="3" t="str">
        <f>IFERROR(__xludf.DUMMYFUNCTION("GoogleTranslate(C100, ""en"", ""mk"")"),"УВ зраците се многу интензивни. Треба да го ограничите излегувањето во текот на денот, да користите заштитна облека, очила за сонце и крема за сончање.")</f>
        <v>УВ зраците се многу интензивни. Треба да го ограничите излегувањето во текот на денот, да користите заштитна облека, очила за сонце и крема за сончање.</v>
      </c>
      <c r="AP100" s="3" t="str">
        <f>IFERROR(__xludf.DUMMYFUNCTION("GoogleTranslate(C100, ""en"", ""ms"")"),"Sinaran UV sangat sengit. Anda harus mengehadkan keluar pada tengah hari, gunakan pakaian pelindung, cermin mata hitam dan pelindung matahari.")</f>
        <v>Sinaran UV sangat sengit. Anda harus mengehadkan keluar pada tengah hari, gunakan pakaian pelindung, cermin mata hitam dan pelindung matahari.</v>
      </c>
      <c r="AQ100" s="3" t="str">
        <f>IFERROR(__xludf.DUMMYFUNCTION("GoogleTranslate(C100, ""en"", ""ml"")"),"അൾട്രാവയലറ്റ് രശ്മികൾ വളരെ തീവ്രമാണ്. പകലിൻ്റെ മധ്യത്തിൽ പുറത്തിറങ്ങുന്നത് പരിമിതപ്പെടുത്തണം, സംരക്ഷണ വസ്ത്രങ്ങൾ, സൺഗ്ലാസുകൾ, സൺസ്‌ക്രീൻ എന്നിവ ഉപയോഗിക്കുക.")</f>
        <v>അൾട്രാവയലറ്റ് രശ്മികൾ വളരെ തീവ്രമാണ്. പകലിൻ്റെ മധ്യത്തിൽ പുറത്തിറങ്ങുന്നത് പരിമിതപ്പെടുത്തണം, സംരക്ഷണ വസ്ത്രങ്ങൾ, സൺഗ്ലാസുകൾ, സൺസ്‌ക്രീൻ എന്നിവ ഉപയോഗിക്കുക.</v>
      </c>
      <c r="AR100" s="3" t="str">
        <f>IFERROR(__xludf.DUMMYFUNCTION("GoogleTranslate(C100, ""en"", ""mr"")"),"अतिनील किरणे अत्यंत तीव्र असतात. तुम्ही दिवसाच्या मध्यभागी बाहेर जाणे मर्यादित केले पाहिजे, संरक्षणात्मक कपडे, सनग्लासेस आणि सनस्क्रीन वापरा.")</f>
        <v>अतिनील किरणे अत्यंत तीव्र असतात. तुम्ही दिवसाच्या मध्यभागी बाहेर जाणे मर्यादित केले पाहिजे, संरक्षणात्मक कपडे, सनग्लासेस आणि सनस्क्रीन वापरा.</v>
      </c>
      <c r="AS100" s="3" t="str">
        <f>IFERROR(__xludf.DUMMYFUNCTION("GoogleTranslate(C100, ""en"", ""mn"")"),"Хэт ягаан туяа нь маш хүчтэй байдаг. Өдрийн дундуур гадагш гарахыг хязгаарлаж, хамгаалалтын хувцас, нарны шил, нарнаас хамгаалах тос хэрэглэх хэрэгтэй.")</f>
        <v>Хэт ягаан туяа нь маш хүчтэй байдаг. Өдрийн дундуур гадагш гарахыг хязгаарлаж, хамгаалалтын хувцас, нарны шил, нарнаас хамгаалах тос хэрэглэх хэрэгтэй.</v>
      </c>
      <c r="AT100" s="3" t="str">
        <f>IFERROR(__xludf.DUMMYFUNCTION("GoogleTranslate(C100, ""en"", ""ne"")"),"पराबैंगनी किरणहरू अत्यधिक तीव्र हुन्छन्। तपाईंले दिनको बीचमा बाहिर निस्कन सीमित गर्नुपर्छ, सुरक्षात्मक कपडा, सनग्लास र सनस्क्रिन प्रयोग गर्नुहोस्।")</f>
        <v>पराबैंगनी किरणहरू अत्यधिक तीव्र हुन्छन्। तपाईंले दिनको बीचमा बाहिर निस्कन सीमित गर्नुपर्छ, सुरक्षात्मक कपडा, सनग्लास र सनस्क्रिन प्रयोग गर्नुहोस्।</v>
      </c>
      <c r="AU100" s="3" t="str">
        <f>IFERROR(__xludf.DUMMYFUNCTION("GoogleTranslate(C100, ""en"", ""nb"")"),"UV-stråler er svært intense. Du bør begrense å gå ut midt på dagen, bruke verneklær, solbriller og solkrem.")</f>
        <v>UV-stråler er svært intense. Du bør begrense å gå ut midt på dagen, bruke verneklær, solbriller og solkrem.</v>
      </c>
      <c r="AV100" s="3" t="str">
        <f>IFERROR(__xludf.DUMMYFUNCTION("GoogleTranslate(C100, ""en"", ""fa"")"),"اشعه ماوراء بنفش بسیار شدید است. شما باید بیرون رفتن را در وسط روز محدود کنید، از لباس های محافظ، عینک آفتابی و ضد آفتاب استفاده کنید.")</f>
        <v>اشعه ماوراء بنفش بسیار شدید است. شما باید بیرون رفتن را در وسط روز محدود کنید، از لباس های محافظ، عینک آفتابی و ضد آفتاب استفاده کنید.</v>
      </c>
      <c r="AW100" s="3" t="str">
        <f>IFERROR(__xludf.DUMMYFUNCTION("GoogleTranslate(C100, ""en"", ""pl"")"),"Promienie UV są bardzo intensywne. Należy ograniczyć wychodzenie w środku dnia, używać odzieży ochronnej, okularów przeciwsłonecznych i kremów z filtrem przeciwsłonecznym.")</f>
        <v>Promienie UV są bardzo intensywne. Należy ograniczyć wychodzenie w środku dnia, używać odzieży ochronnej, okularów przeciwsłonecznych i kremów z filtrem przeciwsłonecznym.</v>
      </c>
      <c r="AX100" s="3" t="str">
        <f>IFERROR(__xludf.DUMMYFUNCTION("GoogleTranslate(C100, ""en"", ""pt"")"),"Os raios UV são altamente intensos. Você deve limitar as saídas no meio do dia, usar roupas de proteção, óculos escuros e protetor solar.")</f>
        <v>Os raios UV são altamente intensos. Você deve limitar as saídas no meio do dia, usar roupas de proteção, óculos escuros e protetor solar.</v>
      </c>
      <c r="AY100" s="3" t="str">
        <f>IFERROR(__xludf.DUMMYFUNCTION("GoogleTranslate(C100, ""en"", ""ro"")"),"Razele UV sunt foarte intense. Ar trebui să limitați ieșirile în mijlocul zilei, să folosiți îmbrăcăminte de protecție, ochelari de soare și protecție solară.")</f>
        <v>Razele UV sunt foarte intense. Ar trebui să limitați ieșirile în mijlocul zilei, să folosiți îmbrăcăminte de protecție, ochelari de soare și protecție solară.</v>
      </c>
      <c r="AZ100" s="3" t="str">
        <f>IFERROR(__xludf.DUMMYFUNCTION("GoogleTranslate(C100, ""en"", ""ru"")"),"УФ-лучи очень интенсивны. Следует ограничить выход на улицу в середине дня, использовать защитную одежду, солнцезащитные очки и солнцезащитный крем.")</f>
        <v>УФ-лучи очень интенсивны. Следует ограничить выход на улицу в середине дня, использовать защитную одежду, солнцезащитные очки и солнцезащитный крем.</v>
      </c>
      <c r="BA100" s="3" t="str">
        <f>IFERROR(__xludf.DUMMYFUNCTION("GoogleTranslate(C100, ""en"", ""sr"")"),"УВ зраци су веома интензивни. Требало би да ограничите изласке усред дана, користите заштитну одећу, наочаре за сунце и крему за сунчање.")</f>
        <v>УВ зраци су веома интензивни. Требало би да ограничите изласке усред дана, користите заштитну одећу, наочаре за сунце и крему за сунчање.</v>
      </c>
      <c r="BB100" s="3" t="str">
        <f>IFERROR(__xludf.DUMMYFUNCTION("GoogleTranslate(C100, ""en"", ""si"")"),"පාරජම්බුල කිරණ ඉතා තීව්‍ර වේ. ඔබ දහවල් කාලයේදී පිටතට යාම සීමා කළ යුතුය, ආරක්ෂිත ඇඳුම්, අව් කණ්ණාඩි සහ හිරු ආවරණ භාවිතා කරන්න.")</f>
        <v>පාරජම්බුල කිරණ ඉතා තීව්‍ර වේ. ඔබ දහවල් කාලයේදී පිටතට යාම සීමා කළ යුතුය, ආරක්ෂිත ඇඳුම්, අව් කණ්ණාඩි සහ හිරු ආවරණ භාවිතා කරන්න.</v>
      </c>
      <c r="BC100" s="3" t="str">
        <f>IFERROR(__xludf.DUMMYFUNCTION("GoogleTranslate(C100, ""en"", ""sk"")"),"UV lúče sú veľmi intenzívne. Mali by ste obmedziť vychádzky uprostred dňa, používať ochranný odev, slnečné okuliare a opaľovací krém.")</f>
        <v>UV lúče sú veľmi intenzívne. Mali by ste obmedziť vychádzky uprostred dňa, používať ochranný odev, slnečné okuliare a opaľovací krém.</v>
      </c>
      <c r="BD100" s="3" t="str">
        <f>IFERROR(__xludf.DUMMYFUNCTION("GoogleTranslate(C100, ""en"", ""sl"")"),"UV žarki so zelo intenzivni. Omejite izhode sredi dneva, uporabljajte zaščitna oblačila, sončna očala in kremo za sončenje.")</f>
        <v>UV žarki so zelo intenzivni. Omejite izhode sredi dneva, uporabljajte zaščitna oblačila, sončna očala in kremo za sončenje.</v>
      </c>
      <c r="BE100" s="3" t="str">
        <f>IFERROR(__xludf.DUMMYFUNCTION("GoogleTranslate(C100, ""en"", ""es"")"),"Los rayos ultravioleta son muy intensos. Debes limitar las salidas a mitad del día, utilizar ropa protectora, gafas de sol y bloqueador solar.")</f>
        <v>Los rayos ultravioleta son muy intensos. Debes limitar las salidas a mitad del día, utilizar ropa protectora, gafas de sol y bloqueador solar.</v>
      </c>
      <c r="BF100" s="3" t="str">
        <f>IFERROR(__xludf.DUMMYFUNCTION("GoogleTranslate(C100, ""en"", ""sw"")"),"Mionzi ya UV ni kali sana. Unapaswa kupunguza kutoka nje katikati ya siku, tumia mavazi ya kujikinga, miwani ya jua na mafuta ya kuzuia jua.")</f>
        <v>Mionzi ya UV ni kali sana. Unapaswa kupunguza kutoka nje katikati ya siku, tumia mavazi ya kujikinga, miwani ya jua na mafuta ya kuzuia jua.</v>
      </c>
      <c r="BG100" s="3" t="str">
        <f>IFERROR(__xludf.DUMMYFUNCTION("GoogleTranslate(C100, ""en"", ""sv"")"),"UV-strålar är mycket intensiva. Du bör begränsa att gå ut mitt på dagen, använda skyddskläder, solglasögon och solskyddsmedel.")</f>
        <v>UV-strålar är mycket intensiva. Du bör begränsa att gå ut mitt på dagen, använda skyddskläder, solglasögon och solskyddsmedel.</v>
      </c>
      <c r="BH100" s="3" t="str">
        <f>IFERROR(__xludf.DUMMYFUNCTION("GoogleTranslate(C100, ""en"", ""te"")"),"UV కిరణాలు అత్యంత తీవ్రమైనవి. మీరు రోజు మధ్యలో బయటకు వెళ్లడాన్ని పరిమితం చేయాలి, రక్షణ దుస్తులు, సన్ గ్లాసెస్ మరియు సన్‌స్క్రీన్‌ని ఉపయోగించండి.")</f>
        <v>UV కిరణాలు అత్యంత తీవ్రమైనవి. మీరు రోజు మధ్యలో బయటకు వెళ్లడాన్ని పరిమితం చేయాలి, రక్షణ దుస్తులు, సన్ గ్లాసెస్ మరియు సన్‌స్క్రీన్‌ని ఉపయోగించండి.</v>
      </c>
      <c r="BI100" s="3" t="str">
        <f>IFERROR(__xludf.DUMMYFUNCTION("GoogleTranslate(C100, ""en"", ""th"")"),"รังสียูวีมีความเข้มข้นสูง คุณควรจำกัดการออกไปข้างนอกในตอนกลางวัน สวมชุดป้องกัน แว่นกันแดด และครีมกันแดด")</f>
        <v>รังสียูวีมีความเข้มข้นสูง คุณควรจำกัดการออกไปข้างนอกในตอนกลางวัน สวมชุดป้องกัน แว่นกันแดด และครีมกันแดด</v>
      </c>
      <c r="BJ100" s="3" t="str">
        <f>IFERROR(__xludf.DUMMYFUNCTION("GoogleTranslate(C100, ""en"", ""tr"")"),"UV ışınları oldukça yoğundur. Gün ortasında dışarı çıkmayı sınırlamalı, koruyucu kıyafet, güneş gözlüğü ve güneş kremi kullanmalısınız.")</f>
        <v>UV ışınları oldukça yoğundur. Gün ortasında dışarı çıkmayı sınırlamalı, koruyucu kıyafet, güneş gözlüğü ve güneş kremi kullanmalısınız.</v>
      </c>
      <c r="BK100" s="3" t="str">
        <f>IFERROR(__xludf.DUMMYFUNCTION("GoogleTranslate(C100, ""en"", ""uk"")"),"УФ-промені мають високу інтенсивність. Слід обмежити вихід на вулицю в середині дня, використовувати захисний одяг, сонцезахисні окуляри та сонцезахисний крем.")</f>
        <v>УФ-промені мають високу інтенсивність. Слід обмежити вихід на вулицю в середині дня, використовувати захисний одяг, сонцезахисні окуляри та сонцезахисний крем.</v>
      </c>
      <c r="BL100" s="3" t="str">
        <f>IFERROR(__xludf.DUMMYFUNCTION("GoogleTranslate(C100, ""en"", ""zu"")"),"Imisebe ye-UV inamandla kakhulu. Kufanele ukhawulele ukuphuma phakathi nosuku, sebenzisa izingubo zokuzivikela, izibuko zelanga, nokuvikela ilanga.")</f>
        <v>Imisebe ye-UV inamandla kakhulu. Kufanele ukhawulele ukuphuma phakathi nosuku, sebenzisa izingubo zokuzivikela, izibuko zelanga, nokuvikela ilanga.</v>
      </c>
    </row>
    <row r="101">
      <c r="A101" s="1" t="str">
        <f t="shared" si="1"/>
        <v>Very_high</v>
      </c>
      <c r="B101" s="4" t="s">
        <v>158</v>
      </c>
      <c r="C101" s="1" t="str">
        <f t="shared" si="2"/>
        <v>Very high</v>
      </c>
      <c r="D101" s="3" t="str">
        <f>IFERROR(__xludf.DUMMYFUNCTION("GoogleTranslate(C101, ""en"", ""es"")"),"muy alto")</f>
        <v>muy alto</v>
      </c>
      <c r="E101" s="3" t="str">
        <f>IFERROR(__xludf.DUMMYFUNCTION("GoogleTranslate(C101, ""en"", ""ar"")"),"عالية جدا")</f>
        <v>عالية جدا</v>
      </c>
      <c r="F101" s="3" t="str">
        <f>IFERROR(__xludf.DUMMYFUNCTION("GoogleTranslate(C101, ""en"", ""hy"")"),"Շատ բարձր")</f>
        <v>Շատ բարձր</v>
      </c>
      <c r="G101" s="3" t="str">
        <f>IFERROR(__xludf.DUMMYFUNCTION("GoogleTranslate(C101, ""en"", ""vi"")"),"Rất cao")</f>
        <v>Rất cao</v>
      </c>
      <c r="H101" s="3" t="str">
        <f>IFERROR(__xludf.DUMMYFUNCTION("GoogleTranslate(C101, ""en"", ""az"")"),"Çox yüksək")</f>
        <v>Çox yüksək</v>
      </c>
      <c r="I101" s="3" t="str">
        <f>IFERROR(__xludf.DUMMYFUNCTION("GoogleTranslate(C101, ""en"", ""eu"")"),"Oso altua")</f>
        <v>Oso altua</v>
      </c>
      <c r="J101" s="3" t="str">
        <f>IFERROR(__xludf.DUMMYFUNCTION("GoogleTranslate(C101, ""en"", ""be"")"),"Вельмі высокая")</f>
        <v>Вельмі высокая</v>
      </c>
      <c r="K101" s="3" t="str">
        <f>IFERROR(__xludf.DUMMYFUNCTION("GoogleTranslate(C101, ""en"", ""bn"")"),"অনেক উঁচুতে")</f>
        <v>অনেক উঁচুতে</v>
      </c>
      <c r="L101" s="3" t="str">
        <f>IFERROR(__xludf.DUMMYFUNCTION("GoogleTranslate(C101, ""en"", ""bg"")"),"Много високо")</f>
        <v>Много високо</v>
      </c>
      <c r="M101" s="3" t="str">
        <f>IFERROR(__xludf.DUMMYFUNCTION("GoogleTranslate(C101, ""en"", ""my"")"),"အရမ်းမြင့်တယ်။")</f>
        <v>အရမ်းမြင့်တယ်။</v>
      </c>
      <c r="N101" s="3" t="str">
        <f>IFERROR(__xludf.DUMMYFUNCTION("GoogleTranslate(C101, ""en"", ""ca"")"),"Molt alt")</f>
        <v>Molt alt</v>
      </c>
      <c r="O101" s="3" t="str">
        <f>IFERROR(__xludf.DUMMYFUNCTION("GoogleTranslate(C101, ""en"", ""zh-cn"")"),"非常高")</f>
        <v>非常高</v>
      </c>
      <c r="P101" s="3" t="str">
        <f>IFERROR(__xludf.DUMMYFUNCTION("GoogleTranslate(C101, ""en"", ""zh-TW"")"),"非常高")</f>
        <v>非常高</v>
      </c>
      <c r="Q101" s="3" t="str">
        <f>IFERROR(__xludf.DUMMYFUNCTION("GoogleTranslate(C101, ""en"", ""hr"")"),"Vrlo visoko")</f>
        <v>Vrlo visoko</v>
      </c>
      <c r="R101" s="3" t="str">
        <f>IFERROR(__xludf.DUMMYFUNCTION("GoogleTranslate(C101, ""en"", ""cs"")"),"Velmi vysoká")</f>
        <v>Velmi vysoká</v>
      </c>
      <c r="S101" s="3" t="str">
        <f>IFERROR(__xludf.DUMMYFUNCTION("GoogleTranslate(C101, ""en"", ""da"")"),"Meget høj")</f>
        <v>Meget høj</v>
      </c>
      <c r="T101" s="3" t="str">
        <f>IFERROR(__xludf.DUMMYFUNCTION("GoogleTranslate(C101, ""en"", ""nl"")"),"Zeer hoog")</f>
        <v>Zeer hoog</v>
      </c>
      <c r="U101" s="3" t="str">
        <f>IFERROR(__xludf.DUMMYFUNCTION("GoogleTranslate(C101, ""en"", ""et"")"),"Väga kõrge")</f>
        <v>Väga kõrge</v>
      </c>
      <c r="V101" s="1" t="str">
        <f t="shared" si="3"/>
        <v>Very high</v>
      </c>
      <c r="W101" s="3" t="str">
        <f>IFERROR(__xludf.DUMMYFUNCTION("GoogleTranslate(C101, ""en"", ""fi"")"),"Erittäin korkea")</f>
        <v>Erittäin korkea</v>
      </c>
      <c r="X101" s="3" t="str">
        <f>IFERROR(__xludf.DUMMYFUNCTION("GoogleTranslate(C101, ""en"", ""fr"")"),"Très élevé")</f>
        <v>Très élevé</v>
      </c>
      <c r="Y101" s="3" t="str">
        <f>IFERROR(__xludf.DUMMYFUNCTION("GoogleTranslate(C101, ""en"", ""de"")"),"Sehr hoch")</f>
        <v>Sehr hoch</v>
      </c>
      <c r="Z101" s="3" t="str">
        <f>IFERROR(__xludf.DUMMYFUNCTION("GoogleTranslate(C101, ""en"", ""el"")"),"Πολύ ψηλά")</f>
        <v>Πολύ ψηλά</v>
      </c>
      <c r="AA101" s="3" t="str">
        <f>IFERROR(__xludf.DUMMYFUNCTION("GoogleTranslate(C101, ""en"", ""iw"")"),"גבוה מאוד")</f>
        <v>גבוה מאוד</v>
      </c>
      <c r="AB101" s="3" t="str">
        <f>IFERROR(__xludf.DUMMYFUNCTION("GoogleTranslate(C101, ""en"", ""hi"")"),"बहुत ऊँचा")</f>
        <v>बहुत ऊँचा</v>
      </c>
      <c r="AC101" s="3" t="str">
        <f>IFERROR(__xludf.DUMMYFUNCTION("GoogleTranslate(C101, ""en"", ""hu"")"),"Nagyon magas")</f>
        <v>Nagyon magas</v>
      </c>
      <c r="AD101" s="3" t="str">
        <f>IFERROR(__xludf.DUMMYFUNCTION("GoogleTranslate(C101, ""en"", ""is"")"),"Mjög hátt")</f>
        <v>Mjög hátt</v>
      </c>
      <c r="AE101" s="3" t="str">
        <f>IFERROR(__xludf.DUMMYFUNCTION("GoogleTranslate(C101, ""en"", ""id"")"),"Sangat tinggi")</f>
        <v>Sangat tinggi</v>
      </c>
      <c r="AF101" s="3" t="str">
        <f>IFERROR(__xludf.DUMMYFUNCTION("GoogleTranslate(C101, ""en"", ""in"")"),"Sangat tinggi")</f>
        <v>Sangat tinggi</v>
      </c>
      <c r="AG101" s="3" t="str">
        <f>IFERROR(__xludf.DUMMYFUNCTION("GoogleTranslate(C101, ""en"", ""it"")"),"Molto alto")</f>
        <v>Molto alto</v>
      </c>
      <c r="AH101" s="3" t="str">
        <f>IFERROR(__xludf.DUMMYFUNCTION("GoogleTranslate(C101, ""en"", ""ja"")"),"非常に高い")</f>
        <v>非常に高い</v>
      </c>
      <c r="AI101" s="3" t="str">
        <f>IFERROR(__xludf.DUMMYFUNCTION("GoogleTranslate(C101, ""en"", ""kn"")"),"ತುಂಬಾ ಹೆಚ್ಚು")</f>
        <v>ತುಂಬಾ ಹೆಚ್ಚು</v>
      </c>
      <c r="AJ101" s="3" t="str">
        <f>IFERROR(__xludf.DUMMYFUNCTION("GoogleTranslate(C101, ""en"", ""km"")"),"ខ្ពស់ណាស់។")</f>
        <v>ខ្ពស់ណាស់។</v>
      </c>
      <c r="AK101" s="3" t="str">
        <f>IFERROR(__xludf.DUMMYFUNCTION("GoogleTranslate(C101, ""en"", ""ko"")"),"매우 높음")</f>
        <v>매우 높음</v>
      </c>
      <c r="AL101" s="3" t="str">
        <f>IFERROR(__xludf.DUMMYFUNCTION("GoogleTranslate(C101, ""en"", ""lo"")"),"ສູງຫຼາຍ")</f>
        <v>ສູງຫຼາຍ</v>
      </c>
      <c r="AM101" s="3" t="str">
        <f>IFERROR(__xludf.DUMMYFUNCTION("GoogleTranslate(C101, ""en"", ""lv"")"),"Ļoti augsts")</f>
        <v>Ļoti augsts</v>
      </c>
      <c r="AN101" s="3" t="str">
        <f>IFERROR(__xludf.DUMMYFUNCTION("GoogleTranslate(C101, ""en"", ""lt"")"),"Labai aukštas")</f>
        <v>Labai aukštas</v>
      </c>
      <c r="AO101" s="3" t="str">
        <f>IFERROR(__xludf.DUMMYFUNCTION("GoogleTranslate(C101, ""en"", ""mk"")"),"Многу високо")</f>
        <v>Многу високо</v>
      </c>
      <c r="AP101" s="3" t="str">
        <f>IFERROR(__xludf.DUMMYFUNCTION("GoogleTranslate(C101, ""en"", ""ms"")"),"Sangat tinggi")</f>
        <v>Sangat tinggi</v>
      </c>
      <c r="AQ101" s="3" t="str">
        <f>IFERROR(__xludf.DUMMYFUNCTION("GoogleTranslate(C101, ""en"", ""ml"")"),"വളരെ ഉയർന്നത്")</f>
        <v>വളരെ ഉയർന്നത്</v>
      </c>
      <c r="AR101" s="3" t="str">
        <f>IFERROR(__xludf.DUMMYFUNCTION("GoogleTranslate(C101, ""en"", ""mr"")"),"खूप उच्च")</f>
        <v>खूप उच्च</v>
      </c>
      <c r="AS101" s="3" t="str">
        <f>IFERROR(__xludf.DUMMYFUNCTION("GoogleTranslate(C101, ""en"", ""mn"")"),"Маш өндөр")</f>
        <v>Маш өндөр</v>
      </c>
      <c r="AT101" s="3" t="str">
        <f>IFERROR(__xludf.DUMMYFUNCTION("GoogleTranslate(C101, ""en"", ""ne"")"),"धेरै उच्च")</f>
        <v>धेरै उच्च</v>
      </c>
      <c r="AU101" s="3" t="str">
        <f>IFERROR(__xludf.DUMMYFUNCTION("GoogleTranslate(C101, ""en"", ""nb"")"),"Veldig høy")</f>
        <v>Veldig høy</v>
      </c>
      <c r="AV101" s="3" t="str">
        <f>IFERROR(__xludf.DUMMYFUNCTION("GoogleTranslate(C101, ""en"", ""fa"")"),"خیلی بالا")</f>
        <v>خیلی بالا</v>
      </c>
      <c r="AW101" s="3" t="str">
        <f>IFERROR(__xludf.DUMMYFUNCTION("GoogleTranslate(C101, ""en"", ""pl"")"),"Bardzo wysoki")</f>
        <v>Bardzo wysoki</v>
      </c>
      <c r="AX101" s="3" t="str">
        <f>IFERROR(__xludf.DUMMYFUNCTION("GoogleTranslate(C101, ""en"", ""pt"")"),"Muito alto")</f>
        <v>Muito alto</v>
      </c>
      <c r="AY101" s="3" t="str">
        <f>IFERROR(__xludf.DUMMYFUNCTION("GoogleTranslate(C101, ""en"", ""ro"")"),"Foarte sus")</f>
        <v>Foarte sus</v>
      </c>
      <c r="AZ101" s="3" t="str">
        <f>IFERROR(__xludf.DUMMYFUNCTION("GoogleTranslate(C101, ""en"", ""ru"")"),"Очень высокий")</f>
        <v>Очень высокий</v>
      </c>
      <c r="BA101" s="3" t="str">
        <f>IFERROR(__xludf.DUMMYFUNCTION("GoogleTranslate(C101, ""en"", ""sr"")"),"Врло високо")</f>
        <v>Врло високо</v>
      </c>
      <c r="BB101" s="3" t="str">
        <f>IFERROR(__xludf.DUMMYFUNCTION("GoogleTranslate(C101, ""en"", ""si"")"),"ඉතා ඉහළයි")</f>
        <v>ඉතා ඉහළයි</v>
      </c>
      <c r="BC101" s="3" t="str">
        <f>IFERROR(__xludf.DUMMYFUNCTION("GoogleTranslate(C101, ""en"", ""sk"")"),"Veľmi vysoká")</f>
        <v>Veľmi vysoká</v>
      </c>
      <c r="BD101" s="3" t="str">
        <f>IFERROR(__xludf.DUMMYFUNCTION("GoogleTranslate(C101, ""en"", ""sl"")"),"Zelo visoko")</f>
        <v>Zelo visoko</v>
      </c>
      <c r="BE101" s="3" t="str">
        <f>IFERROR(__xludf.DUMMYFUNCTION("GoogleTranslate(C101, ""en"", ""es"")"),"muy alto")</f>
        <v>muy alto</v>
      </c>
      <c r="BF101" s="3" t="str">
        <f>IFERROR(__xludf.DUMMYFUNCTION("GoogleTranslate(C101, ""en"", ""sw"")"),"Juu sana")</f>
        <v>Juu sana</v>
      </c>
      <c r="BG101" s="3" t="str">
        <f>IFERROR(__xludf.DUMMYFUNCTION("GoogleTranslate(C101, ""en"", ""sv"")"),"Mycket hög")</f>
        <v>Mycket hög</v>
      </c>
      <c r="BH101" s="3" t="str">
        <f>IFERROR(__xludf.DUMMYFUNCTION("GoogleTranslate(C101, ""en"", ""te"")"),"చాలా ఎక్కువ")</f>
        <v>చాలా ఎక్కువ</v>
      </c>
      <c r="BI101" s="3" t="str">
        <f>IFERROR(__xludf.DUMMYFUNCTION("GoogleTranslate(C101, ""en"", ""th"")"),"สูงมาก")</f>
        <v>สูงมาก</v>
      </c>
      <c r="BJ101" s="3" t="str">
        <f>IFERROR(__xludf.DUMMYFUNCTION("GoogleTranslate(C101, ""en"", ""tr"")"),"Çok yüksek")</f>
        <v>Çok yüksek</v>
      </c>
      <c r="BK101" s="3" t="str">
        <f>IFERROR(__xludf.DUMMYFUNCTION("GoogleTranslate(C101, ""en"", ""uk"")"),"Дуже високий")</f>
        <v>Дуже високий</v>
      </c>
      <c r="BL101" s="3" t="str">
        <f>IFERROR(__xludf.DUMMYFUNCTION("GoogleTranslate(C101, ""en"", ""zu"")"),"Phezulu kakhulu")</f>
        <v>Phezulu kakhulu</v>
      </c>
    </row>
    <row r="102">
      <c r="A102" s="1" t="str">
        <f t="shared" si="1"/>
        <v>The_risk_from_UV_rays_is_very_high._Increase_protective_measures_such_as_wearing_a_wide-brimmed_hat,_using_high_SPF_sunscreen,_and_seeking_shade_when_outdoors.</v>
      </c>
      <c r="B102" s="4" t="s">
        <v>159</v>
      </c>
      <c r="C102" s="1" t="str">
        <f t="shared" si="2"/>
        <v>The risk from UV rays is very high. Increase protective measures such as wearing a wide-brimmed hat, using high SPF sunscreen, and seeking shade when outdoors.</v>
      </c>
      <c r="D102" s="3" t="str">
        <f>IFERROR(__xludf.DUMMYFUNCTION("GoogleTranslate(C102, ""en"", ""es"")"),"El riesgo de los rayos UV es muy alto. Aumente las medidas de protección, como usar un sombrero de ala ancha, usar protector solar con SPF alto y buscar sombra cuando esté al aire libre.")</f>
        <v>El riesgo de los rayos UV es muy alto. Aumente las medidas de protección, como usar un sombrero de ala ancha, usar protector solar con SPF alto y buscar sombra cuando esté al aire libre.</v>
      </c>
      <c r="E102" s="3" t="str">
        <f>IFERROR(__xludf.DUMMYFUNCTION("GoogleTranslate(C102, ""en"", ""ar"")"),"الخطر الناتج عن الأشعة فوق البنفسجية مرتفع جدًا. قم بزيادة تدابير الحماية مثل ارتداء قبعة واسعة الحواف، واستخدام واقي الشمس ذو عامل حماية عالي (SPF)، والبحث عن الظل عندما تكون في الخارج.")</f>
        <v>الخطر الناتج عن الأشعة فوق البنفسجية مرتفع جدًا. قم بزيادة تدابير الحماية مثل ارتداء قبعة واسعة الحواف، واستخدام واقي الشمس ذو عامل حماية عالي (SPF)، والبحث عن الظل عندما تكون في الخارج.</v>
      </c>
      <c r="F102" s="3" t="str">
        <f>IFERROR(__xludf.DUMMYFUNCTION("GoogleTranslate(C102, ""en"", ""hy"")"),"Ուլտրամանուշակագույն ճառագայթների վտանգը շատ մեծ է։ Բարձրացրեք պաշտպանիչ միջոցները, ինչպիսիք են լայնեզր գլխարկ կրելը, բարձր SPF արևապաշտպան քսուք օգտագործելը և դրսում ստվեր փնտրելը:")</f>
        <v>Ուլտրամանուշակագույն ճառագայթների վտանգը շատ մեծ է։ Բարձրացրեք պաշտպանիչ միջոցները, ինչպիսիք են լայնեզր գլխարկ կրելը, բարձր SPF արևապաշտպան քսուք օգտագործելը և դրսում ստվեր փնտրելը:</v>
      </c>
      <c r="G102" s="3" t="str">
        <f>IFERROR(__xludf.DUMMYFUNCTION("GoogleTranslate(C102, ""en"", ""vi"")"),"Nguy cơ từ tia UV là rất cao. Tăng cường các biện pháp bảo vệ như đội mũ rộng vành, sử dụng kem chống nắng có chỉ số SPF cao và tìm bóng râm khi ra ngoài trời.")</f>
        <v>Nguy cơ từ tia UV là rất cao. Tăng cường các biện pháp bảo vệ như đội mũ rộng vành, sử dụng kem chống nắng có chỉ số SPF cao và tìm bóng râm khi ra ngoài trời.</v>
      </c>
      <c r="H102" s="3" t="str">
        <f>IFERROR(__xludf.DUMMYFUNCTION("GoogleTranslate(C102, ""en"", ""az"")"),"UV şüalarının riski çox yüksəkdir. Geniş kənarlı papaq taxmaq, yüksək SPF günəş kremindən istifadə etmək və açıq havada kölgə axtarmaq kimi qoruyucu tədbirləri artırın.")</f>
        <v>UV şüalarının riski çox yüksəkdir. Geniş kənarlı papaq taxmaq, yüksək SPF günəş kremindən istifadə etmək və açıq havada kölgə axtarmaq kimi qoruyucu tədbirləri artırın.</v>
      </c>
      <c r="I102" s="3" t="str">
        <f>IFERROR(__xludf.DUMMYFUNCTION("GoogleTranslate(C102, ""en"", ""eu"")"),"UV izpien arriskua oso handia da. Handitu babes-neurriak, hala nola ertz zabaleko txano bat janztea, eguzkitako SPF handiko krema erabiltzea eta itzala bilatzea kanpoan dagoenean.")</f>
        <v>UV izpien arriskua oso handia da. Handitu babes-neurriak, hala nola ertz zabaleko txano bat janztea, eguzkitako SPF handiko krema erabiltzea eta itzala bilatzea kanpoan dagoenean.</v>
      </c>
      <c r="J102" s="3" t="str">
        <f>IFERROR(__xludf.DUMMYFUNCTION("GoogleTranslate(C102, ""en"", ""be"")"),"Рызыка ад УФ-прамянёў вельмі высокая. Узмацніце меры абароны, такія як нашэнне капелюша з шырокімі палямі, выкарыстанне сонцаахоўнага крэму з высокім SPF і знаходжанне ў цені на вуліцы.")</f>
        <v>Рызыка ад УФ-прамянёў вельмі высокая. Узмацніце меры абароны, такія як нашэнне капелюша з шырокімі палямі, выкарыстанне сонцаахоўнага крэму з высокім SPF і знаходжанне ў цені на вуліцы.</v>
      </c>
      <c r="K102" s="3" t="str">
        <f>IFERROR(__xludf.DUMMYFUNCTION("GoogleTranslate(C102, ""en"", ""bn"")"),"অতিবেগুনী রশ্মির ঝুঁকি অনেক বেশি। প্রতিরক্ষামূলক ব্যবস্থা বাড়ান যেমন চওড়া কাঁটাযুক্ত টুপি পরা, উচ্চ এসপিএফ সানস্ক্রিন ব্যবহার করা এবং বাইরে যখন ছায়া খোঁজা।")</f>
        <v>অতিবেগুনী রশ্মির ঝুঁকি অনেক বেশি। প্রতিরক্ষামূলক ব্যবস্থা বাড়ান যেমন চওড়া কাঁটাযুক্ত টুপি পরা, উচ্চ এসপিএফ সানস্ক্রিন ব্যবহার করা এবং বাইরে যখন ছায়া খোঁজা।</v>
      </c>
      <c r="L102" s="3" t="str">
        <f>IFERROR(__xludf.DUMMYFUNCTION("GoogleTranslate(C102, ""en"", ""bg"")"),"Рискът от ултравиолетовите лъчи е много висок. Увеличете предпазните мерки като носене на шапка с широка периферия, използване на слънцезащитни продукти с висок SPF и търсене на сянка, когато сте на открито.")</f>
        <v>Рискът от ултравиолетовите лъчи е много висок. Увеличете предпазните мерки като носене на шапка с широка периферия, използване на слънцезащитни продукти с висок SPF и търсене на сянка, когато сте на открито.</v>
      </c>
      <c r="M102" s="3" t="str">
        <f>IFERROR(__xludf.DUMMYFUNCTION("GoogleTranslate(C102, ""en"", ""my"")"),"UV rays တွေရဲ့ အန္တရာယ်က အရမ်းများတယ်။ ကျယ်ပြန့်သောဦးထုပ်ဆောင်းခြင်း၊ SPF မြင့်မားသော နေရောင်ကာခရင်မ်ကို အသုံးပြုခြင်းနှင့် အပြင်ထွက်သည့်အခါ အရိပ်ရှာခြင်းကဲ့သို့သော အကာအကွယ်အစီအမံများကို တိုးမြှင့်ပါ။")</f>
        <v>UV rays တွေရဲ့ အန္တရာယ်က အရမ်းများတယ်။ ကျယ်ပြန့်သောဦးထုပ်ဆောင်းခြင်း၊ SPF မြင့်မားသော နေရောင်ကာခရင်မ်ကို အသုံးပြုခြင်းနှင့် အပြင်ထွက်သည့်အခါ အရိပ်ရှာခြင်းကဲ့သို့သော အကာအကွယ်အစီအမံများကို တိုးမြှင့်ပါ။</v>
      </c>
      <c r="N102" s="3" t="str">
        <f>IFERROR(__xludf.DUMMYFUNCTION("GoogleTranslate(C102, ""en"", ""ca"")"),"El risc dels raigs UV és molt alt. Augmenta les mesures de protecció, com ara portar un barret d'ala ampla, utilitzar protector solar SPF alt i buscar ombra a l'aire lliure.")</f>
        <v>El risc dels raigs UV és molt alt. Augmenta les mesures de protecció, com ara portar un barret d'ala ampla, utilitzar protector solar SPF alt i buscar ombra a l'aire lliure.</v>
      </c>
      <c r="O102" s="3" t="str">
        <f>IFERROR(__xludf.DUMMYFUNCTION("GoogleTranslate(C102, ""en"", ""zh-cn"")"),"紫外线的风险非常高。加强防护措施，如戴宽边帽、使用高SPF防晒霜、户外时寻找阴凉处等。")</f>
        <v>紫外线的风险非常高。加强防护措施，如戴宽边帽、使用高SPF防晒霜、户外时寻找阴凉处等。</v>
      </c>
      <c r="P102" s="3" t="str">
        <f>IFERROR(__xludf.DUMMYFUNCTION("GoogleTranslate(C102, ""en"", ""zh-TW"")"),"紫外線的風險非常高。加強防護措施，如戴寬邊帽、使用高SPF防曬乳、戶外時尋找陰涼處等。")</f>
        <v>紫外線的風險非常高。加強防護措施，如戴寬邊帽、使用高SPF防曬乳、戶外時尋找陰涼處等。</v>
      </c>
      <c r="Q102" s="3" t="str">
        <f>IFERROR(__xludf.DUMMYFUNCTION("GoogleTranslate(C102, ""en"", ""hr"")"),"Rizik od UV zraka je vrlo visok. Pojačajte zaštitne mjere kao što je nošenje šešira širokog oboda, korištenje kreme za sunčanje s visokim zaštitnim faktorom i traženje hlada kada ste vani.")</f>
        <v>Rizik od UV zraka je vrlo visok. Pojačajte zaštitne mjere kao što je nošenje šešira širokog oboda, korištenje kreme za sunčanje s visokim zaštitnim faktorom i traženje hlada kada ste vani.</v>
      </c>
      <c r="R102" s="3" t="str">
        <f>IFERROR(__xludf.DUMMYFUNCTION("GoogleTranslate(C102, ""en"", ""cs"")"),"Riziko UV záření je velmi vysoké. Zvyšte ochranná opatření, jako je nošení klobouku se širokou krempou, používání opalovacích krémů s vysokým SPF a hledání stínu venku.")</f>
        <v>Riziko UV záření je velmi vysoké. Zvyšte ochranná opatření, jako je nošení klobouku se širokou krempou, používání opalovacích krémů s vysokým SPF a hledání stínu venku.</v>
      </c>
      <c r="S102" s="3" t="str">
        <f>IFERROR(__xludf.DUMMYFUNCTION("GoogleTranslate(C102, ""en"", ""da"")"),"Risikoen fra UV-stråler er meget høj. Forøg beskyttelsesforanstaltninger såsom at bære en bredskygget hat, bruge solcreme med høj SPF og søge skygge, når du er udendørs.")</f>
        <v>Risikoen fra UV-stråler er meget høj. Forøg beskyttelsesforanstaltninger såsom at bære en bredskygget hat, bruge solcreme med høj SPF og søge skygge, når du er udendørs.</v>
      </c>
      <c r="T102" s="3" t="str">
        <f>IFERROR(__xludf.DUMMYFUNCTION("GoogleTranslate(C102, ""en"", ""nl"")"),"Het risico van UV-straling is zeer hoog. Verhoog de beschermende maatregelen, zoals het dragen van een hoed met een brede rand, het gebruik van zonnebrandcrème met een hoge SPF en het zoeken naar schaduw buitenshuis.")</f>
        <v>Het risico van UV-straling is zeer hoog. Verhoog de beschermende maatregelen, zoals het dragen van een hoed met een brede rand, het gebruik van zonnebrandcrème met een hoge SPF en het zoeken naar schaduw buitenshuis.</v>
      </c>
      <c r="U102" s="3" t="str">
        <f>IFERROR(__xludf.DUMMYFUNCTION("GoogleTranslate(C102, ""en"", ""et"")"),"UV-kiirguse oht on väga suur. Suurendage kaitsemeetmeid, nagu laia äärega mütsi kandmine, kõrge SPF-i päikesekaitsekreemi kasutamine ja õues olles varju otsimine.")</f>
        <v>UV-kiirguse oht on väga suur. Suurendage kaitsemeetmeid, nagu laia äärega mütsi kandmine, kõrge SPF-i päikesekaitsekreemi kasutamine ja õues olles varju otsimine.</v>
      </c>
      <c r="V102" s="1" t="str">
        <f t="shared" si="3"/>
        <v>The risk from UV rays is very high. Increase protective measures such as wearing a wide-brimmed hat, using high SPF sunscreen, and seeking shade when outdoors.</v>
      </c>
      <c r="W102" s="3" t="str">
        <f>IFERROR(__xludf.DUMMYFUNCTION("GoogleTranslate(C102, ""en"", ""fi"")"),"UV-säteiden riski on erittäin korkea. Lisää suojatoimenpiteitä, kuten leveälierisen hatun käyttöä, korkean SPF:n aurinkovoidetta ja varjon etsimistä ulkona.")</f>
        <v>UV-säteiden riski on erittäin korkea. Lisää suojatoimenpiteitä, kuten leveälierisen hatun käyttöä, korkean SPF:n aurinkovoidetta ja varjon etsimistä ulkona.</v>
      </c>
      <c r="X102" s="3" t="str">
        <f>IFERROR(__xludf.DUMMYFUNCTION("GoogleTranslate(C102, ""en"", ""fr"")"),"Le risque lié aux rayons UV est très élevé. Augmentez les mesures de protection telles que le port d'un chapeau à larges bords, l'utilisation d'un écran solaire à FPS élevé et la recherche d'ombre lorsque vous êtes à l'extérieur.")</f>
        <v>Le risque lié aux rayons UV est très élevé. Augmentez les mesures de protection telles que le port d'un chapeau à larges bords, l'utilisation d'un écran solaire à FPS élevé et la recherche d'ombre lorsque vous êtes à l'extérieur.</v>
      </c>
      <c r="Y102" s="3" t="str">
        <f>IFERROR(__xludf.DUMMYFUNCTION("GoogleTranslate(C102, ""en"", ""de"")"),"Das Risiko durch UV-Strahlen ist sehr hoch. Erhöhen Sie die Schutzmaßnahmen, z. B. das Tragen eines Hutes mit breiter Krempe, die Verwendung von Sonnenschutzmitteln mit hohem Lichtschutzfaktor und die Suche nach Schatten im Freien.")</f>
        <v>Das Risiko durch UV-Strahlen ist sehr hoch. Erhöhen Sie die Schutzmaßnahmen, z. B. das Tragen eines Hutes mit breiter Krempe, die Verwendung von Sonnenschutzmitteln mit hohem Lichtschutzfaktor und die Suche nach Schatten im Freien.</v>
      </c>
      <c r="Z102" s="3" t="str">
        <f>IFERROR(__xludf.DUMMYFUNCTION("GoogleTranslate(C102, ""en"", ""el"")"),"Ο κίνδυνος από τις ακτίνες UV είναι πολύ υψηλός. Αυξήστε τα προστατευτικά μέτρα, όπως η χρήση καπέλου με φαρδύ γείσο, η χρήση αντηλιακού με υψηλό δείκτη προστασίας και η αναζήτηση σκιάς όταν βρίσκεστε σε εξωτερικούς χώρους.")</f>
        <v>Ο κίνδυνος από τις ακτίνες UV είναι πολύ υψηλός. Αυξήστε τα προστατευτικά μέτρα, όπως η χρήση καπέλου με φαρδύ γείσο, η χρήση αντηλιακού με υψηλό δείκτη προστασίας και η αναζήτηση σκιάς όταν βρίσκεστε σε εξωτερικούς χώρους.</v>
      </c>
      <c r="AA102" s="3" t="str">
        <f>IFERROR(__xludf.DUMMYFUNCTION("GoogleTranslate(C102, ""en"", ""iw"")"),"הסיכון מקרני UV גבוה מאוד. הגבר אמצעי הגנה כגון חבישת כובע רחב שוליים, שימוש בקרם הגנה SPF גבוה וחיפוש צל בחוץ.")</f>
        <v>הסיכון מקרני UV גבוה מאוד. הגבר אמצעי הגנה כגון חבישת כובע רחב שוליים, שימוש בקרם הגנה SPF גבוה וחיפוש צל בחוץ.</v>
      </c>
      <c r="AB102" s="3" t="str">
        <f>IFERROR(__xludf.DUMMYFUNCTION("GoogleTranslate(C102, ""en"", ""hi"")"),"यूवी किरणों से खतरा बहुत अधिक है। सुरक्षात्मक उपाय बढ़ाएँ जैसे चौड़ी किनारी वाली टोपी पहनना, उच्च एसपीएफ़ सनस्क्रीन का उपयोग करना और बाहर जाने पर छाया की तलाश करना।")</f>
        <v>यूवी किरणों से खतरा बहुत अधिक है। सुरक्षात्मक उपाय बढ़ाएँ जैसे चौड़ी किनारी वाली टोपी पहनना, उच्च एसपीएफ़ सनस्क्रीन का उपयोग करना और बाहर जाने पर छाया की तलाश करना।</v>
      </c>
      <c r="AC102" s="3" t="str">
        <f>IFERROR(__xludf.DUMMYFUNCTION("GoogleTranslate(C102, ""en"", ""hu"")"),"Az UV-sugárzás kockázata nagyon magas. Növelje a védőintézkedéseket, például viseljen széles karimájú kalapot, használjon magas SPF-faktort tartalmazó fényvédő krémet, és keressen árnyékot a szabadban.")</f>
        <v>Az UV-sugárzás kockázata nagyon magas. Növelje a védőintézkedéseket, például viseljen széles karimájú kalapot, használjon magas SPF-faktort tartalmazó fényvédő krémet, és keressen árnyékot a szabadban.</v>
      </c>
      <c r="AD102" s="3" t="str">
        <f>IFERROR(__xludf.DUMMYFUNCTION("GoogleTranslate(C102, ""en"", ""is"")"),"Hættan af UV geislum er mjög mikil. Auka verndarráðstafanir eins og að vera með breiðan hatt, nota sólarvörn með háum SPF og leita í skugga þegar þú ert utandyra.")</f>
        <v>Hættan af UV geislum er mjög mikil. Auka verndarráðstafanir eins og að vera með breiðan hatt, nota sólarvörn með háum SPF og leita í skugga þegar þú ert utandyra.</v>
      </c>
      <c r="AE102" s="3" t="str">
        <f>IFERROR(__xludf.DUMMYFUNCTION("GoogleTranslate(C102, ""en"", ""id"")"),"Risiko terkena sinar UV sangat tinggi. Tingkatkan tindakan perlindungan seperti memakai topi bertepi lebar, menggunakan tabir surya SPF tinggi, dan mencari tempat berteduh saat berada di luar ruangan.")</f>
        <v>Risiko terkena sinar UV sangat tinggi. Tingkatkan tindakan perlindungan seperti memakai topi bertepi lebar, menggunakan tabir surya SPF tinggi, dan mencari tempat berteduh saat berada di luar ruangan.</v>
      </c>
      <c r="AF102" s="3" t="str">
        <f>IFERROR(__xludf.DUMMYFUNCTION("GoogleTranslate(C102, ""en"", ""in"")"),"Risiko terkena sinar UV sangat tinggi. Tingkatkan tindakan perlindungan seperti memakai topi bertepi lebar, menggunakan tabir surya SPF tinggi, dan mencari tempat berteduh saat berada di luar ruangan.")</f>
        <v>Risiko terkena sinar UV sangat tinggi. Tingkatkan tindakan perlindungan seperti memakai topi bertepi lebar, menggunakan tabir surya SPF tinggi, dan mencari tempat berteduh saat berada di luar ruangan.</v>
      </c>
      <c r="AG102" s="3" t="str">
        <f>IFERROR(__xludf.DUMMYFUNCTION("GoogleTranslate(C102, ""en"", ""it"")"),"Il rischio derivante dai raggi UV è molto alto. Aumentare le misure protettive come indossare un cappello a tesa larga, usare una protezione solare con SPF elevato e cercare l’ombra quando si è all’aperto.")</f>
        <v>Il rischio derivante dai raggi UV è molto alto. Aumentare le misure protettive come indossare un cappello a tesa larga, usare una protezione solare con SPF elevato e cercare l’ombra quando si è all’aperto.</v>
      </c>
      <c r="AH102" s="3" t="str">
        <f>IFERROR(__xludf.DUMMYFUNCTION("GoogleTranslate(C102, ""en"", ""ja"")"),"紫外線によるリスクは非常に高いです。つばの広い帽子をかぶったり、SPFの高い日焼け止めを使用したり、屋外では日陰を探すなどの保護対策を強化してください。")</f>
        <v>紫外線によるリスクは非常に高いです。つばの広い帽子をかぶったり、SPFの高い日焼け止めを使用したり、屋外では日陰を探すなどの保護対策を強化してください。</v>
      </c>
      <c r="AI102" s="3" t="str">
        <f>IFERROR(__xludf.DUMMYFUNCTION("GoogleTranslate(C102, ""en"", ""kn"")"),"ಯುವಿ ಕಿರಣಗಳ ಅಪಾಯವು ತುಂಬಾ ಹೆಚ್ಚು. ವಿಶಾಲ-ಅಂಚುಕಟ್ಟಿನ ಟೋಪಿ ಧರಿಸುವುದು, ಹೆಚ್ಚಿನ SPF ಸನ್‌ಸ್ಕ್ರೀನ್ ಬಳಸುವುದು ಮತ್ತು ಹೊರಾಂಗಣದಲ್ಲಿ ನೆರಳನ್ನು ಹುಡುಕುವುದು ಮುಂತಾದ ರಕ್ಷಣಾತ್ಮಕ ಕ್ರಮಗಳನ್ನು ಹೆಚ್ಚಿಸಿ.")</f>
        <v>ಯುವಿ ಕಿರಣಗಳ ಅಪಾಯವು ತುಂಬಾ ಹೆಚ್ಚು. ವಿಶಾಲ-ಅಂಚುಕಟ್ಟಿನ ಟೋಪಿ ಧರಿಸುವುದು, ಹೆಚ್ಚಿನ SPF ಸನ್‌ಸ್ಕ್ರೀನ್ ಬಳಸುವುದು ಮತ್ತು ಹೊರಾಂಗಣದಲ್ಲಿ ನೆರಳನ್ನು ಹುಡುಕುವುದು ಮುಂತಾದ ರಕ್ಷಣಾತ್ಮಕ ಕ್ರಮಗಳನ್ನು ಹೆಚ್ಚಿಸಿ.</v>
      </c>
      <c r="AJ102" s="3" t="str">
        <f>IFERROR(__xludf.DUMMYFUNCTION("GoogleTranslate(C102, ""en"", ""km"")"),"ហានិភ័យពីកាំរស្មីយូវីគឺខ្ពស់ណាស់។ បង្កើនវិធានការការពារ ដូចជាការពាក់មួកដែលមានគែមធំទូលាយ ការប្រើឡេការពារកម្តៅថ្ងៃដែលមាន SPF ខ្ពស់ និងស្វែងរកម្លប់នៅពេលនៅខាងក្រៅ។")</f>
        <v>ហានិភ័យពីកាំរស្មីយូវីគឺខ្ពស់ណាស់។ បង្កើនវិធានការការពារ ដូចជាការពាក់មួកដែលមានគែមធំទូលាយ ការប្រើឡេការពារកម្តៅថ្ងៃដែលមាន SPF ខ្ពស់ និងស្វែងរកម្លប់នៅពេលនៅខាងក្រៅ។</v>
      </c>
      <c r="AK102" s="3" t="str">
        <f>IFERROR(__xludf.DUMMYFUNCTION("GoogleTranslate(C102, ""en"", ""ko"")"),"자외선으로 인한 위험은 매우 높습니다. 챙이 넓은 모자를 쓰고, SPF가 높은 자외선 차단제를 바르고, 야외에서는 그늘을 찾는 등 보호 조치를 강화하세요.")</f>
        <v>자외선으로 인한 위험은 매우 높습니다. 챙이 넓은 모자를 쓰고, SPF가 높은 자외선 차단제를 바르고, 야외에서는 그늘을 찾는 등 보호 조치를 강화하세요.</v>
      </c>
      <c r="AL102" s="3" t="str">
        <f>IFERROR(__xludf.DUMMYFUNCTION("GoogleTranslate(C102, ""en"", ""lo"")"),"ຄວາມສ່ຽງຈາກຮັງສີ UV ແມ່ນສູງຫຼາຍ. ເພີ່ມມາດຕະການປ້ອງກັນເຊັ່ນ: ໃສ່ໝວກທີ່ມີຂອບກວ້າງ, ໃຊ້ຄີມກັນແດດທີ່ມີ SPF ສູງ, ແລະຊອກຫາບ່ອນຮົ່ມໃນເວລາອອກນອກ.")</f>
        <v>ຄວາມສ່ຽງຈາກຮັງສີ UV ແມ່ນສູງຫຼາຍ. ເພີ່ມມາດຕະການປ້ອງກັນເຊັ່ນ: ໃສ່ໝວກທີ່ມີຂອບກວ້າງ, ໃຊ້ຄີມກັນແດດທີ່ມີ SPF ສູງ, ແລະຊອກຫາບ່ອນຮົ່ມໃນເວລາອອກນອກ.</v>
      </c>
      <c r="AM102" s="3" t="str">
        <f>IFERROR(__xludf.DUMMYFUNCTION("GoogleTranslate(C102, ""en"", ""lv"")"),"UV staru radītais risks ir ļoti augsts. Palieliniet aizsardzības pasākumus, piemēram, valkājiet cepuri ar platām malām, izmantojiet sauļošanās līdzekli ar augstu SPF un meklējiet ēnu, atrodoties ārpus telpām.")</f>
        <v>UV staru radītais risks ir ļoti augsts. Palieliniet aizsardzības pasākumus, piemēram, valkājiet cepuri ar platām malām, izmantojiet sauļošanās līdzekli ar augstu SPF un meklējiet ēnu, atrodoties ārpus telpām.</v>
      </c>
      <c r="AN102" s="3" t="str">
        <f>IFERROR(__xludf.DUMMYFUNCTION("GoogleTranslate(C102, ""en"", ""lt"")"),"UV spindulių rizika yra labai didelė. Padidinkite apsaugos priemones, pvz., dėvėkite plačiabrylę skrybėlę, naudokite kremą nuo saulės su dideliu SPF ir ieškokite šešėlio lauke.")</f>
        <v>UV spindulių rizika yra labai didelė. Padidinkite apsaugos priemones, pvz., dėvėkite plačiabrylę skrybėlę, naudokite kremą nuo saulės su dideliu SPF ir ieškokite šešėlio lauke.</v>
      </c>
      <c r="AO102" s="3" t="str">
        <f>IFERROR(__xludf.DUMMYFUNCTION("GoogleTranslate(C102, ""en"", ""mk"")"),"Ризикот од УВ зраците е многу висок. Зголемете ги заштитните мерки како што се носење шапка со широк обод, користење крема за сончање со висок заштитен фактор и барање сенка кога сте на отворено.")</f>
        <v>Ризикот од УВ зраците е многу висок. Зголемете ги заштитните мерки како што се носење шапка со широк обод, користење крема за сончање со висок заштитен фактор и барање сенка кога сте на отворено.</v>
      </c>
      <c r="AP102" s="3" t="str">
        <f>IFERROR(__xludf.DUMMYFUNCTION("GoogleTranslate(C102, ""en"", ""ms"")"),"Risiko dari sinaran UV sangat tinggi. Tingkatkan langkah perlindungan seperti memakai topi bertepi lebar, menggunakan pelindung matahari SPF tinggi dan mencari naungan apabila berada di luar rumah.")</f>
        <v>Risiko dari sinaran UV sangat tinggi. Tingkatkan langkah perlindungan seperti memakai topi bertepi lebar, menggunakan pelindung matahari SPF tinggi dan mencari naungan apabila berada di luar rumah.</v>
      </c>
      <c r="AQ102" s="3" t="str">
        <f>IFERROR(__xludf.DUMMYFUNCTION("GoogleTranslate(C102, ""en"", ""ml"")"),"അൾട്രാവയലറ്റ് രശ്മികളിൽ നിന്നുള്ള അപകടസാധ്യത വളരെ കൂടുതലാണ്. വീതിയേറിയ തൊപ്പി ധരിക്കുക, ഉയർന്ന SPF സൺസ്‌ക്രീൻ ഉപയോഗിക്കുക, വെളിയിൽ പോകുമ്പോൾ തണൽ തേടുക തുടങ്ങിയ സംരക്ഷണ നടപടികൾ വർദ്ധിപ്പിക്കുക.")</f>
        <v>അൾട്രാവയലറ്റ് രശ്മികളിൽ നിന്നുള്ള അപകടസാധ്യത വളരെ കൂടുതലാണ്. വീതിയേറിയ തൊപ്പി ധരിക്കുക, ഉയർന്ന SPF സൺസ്‌ക്രീൻ ഉപയോഗിക്കുക, വെളിയിൽ പോകുമ്പോൾ തണൽ തേടുക തുടങ്ങിയ സംരക്ഷണ നടപടികൾ വർദ്ധിപ്പിക്കുക.</v>
      </c>
      <c r="AR102" s="3" t="str">
        <f>IFERROR(__xludf.DUMMYFUNCTION("GoogleTranslate(C102, ""en"", ""mr"")"),"अतिनील किरणांचा धोका खूप जास्त असतो. रुंद कांद्याची टोपी घालणे, उच्च SPF सनस्क्रीन वापरणे आणि घराबाहेर पडताना सावली शोधणे यासारखे संरक्षणात्मक उपाय वाढवा.")</f>
        <v>अतिनील किरणांचा धोका खूप जास्त असतो. रुंद कांद्याची टोपी घालणे, उच्च SPF सनस्क्रीन वापरणे आणि घराबाहेर पडताना सावली शोधणे यासारखे संरक्षणात्मक उपाय वाढवा.</v>
      </c>
      <c r="AS102" s="3" t="str">
        <f>IFERROR(__xludf.DUMMYFUNCTION("GoogleTranslate(C102, ""en"", ""mn"")"),"Хэт ягаан туяанаас үүсэх эрсдэл маш өндөр байдаг. Өргөн хүрээтэй малгай өмсөх, SPF өндөртэй нарнаас хамгаалах тос хэрэглэх, гадаа явахдаа сүүдэр хайх зэрэг хамгаалалтын арга хэмжээг нэмэгдүүлээрэй.")</f>
        <v>Хэт ягаан туяанаас үүсэх эрсдэл маш өндөр байдаг. Өргөн хүрээтэй малгай өмсөх, SPF өндөртэй нарнаас хамгаалах тос хэрэглэх, гадаа явахдаа сүүдэр хайх зэрэг хамгаалалтын арга хэмжээг нэмэгдүүлээрэй.</v>
      </c>
      <c r="AT102" s="3" t="str">
        <f>IFERROR(__xludf.DUMMYFUNCTION("GoogleTranslate(C102, ""en"", ""ne"")"),"पराबैंगनी किरणहरूको जोखिम धेरै उच्च छ। फराकिलो टोपी लगाउने, उच्च एसपीएफ सनस्क्रिन प्रयोग गर्ने र बाहिर निस्कँदा छाया खोज्ने जस्ता सुरक्षात्मक उपायहरू बढाउनुहोस्।")</f>
        <v>पराबैंगनी किरणहरूको जोखिम धेरै उच्च छ। फराकिलो टोपी लगाउने, उच्च एसपीएफ सनस्क्रिन प्रयोग गर्ने र बाहिर निस्कँदा छाया खोज्ने जस्ता सुरक्षात्मक उपायहरू बढाउनुहोस्।</v>
      </c>
      <c r="AU102" s="3" t="str">
        <f>IFERROR(__xludf.DUMMYFUNCTION("GoogleTranslate(C102, ""en"", ""nb"")"),"Risikoen fra UV-stråler er svært høy. Øk beskyttelsestiltak som å bruke en bredbremmet hatt, bruke solkrem med høy SPF og søke skygge når du er utendørs.")</f>
        <v>Risikoen fra UV-stråler er svært høy. Øk beskyttelsestiltak som å bruke en bredbremmet hatt, bruke solkrem med høy SPF og søke skygge når du er utendørs.</v>
      </c>
      <c r="AV102" s="3" t="str">
        <f>IFERROR(__xludf.DUMMYFUNCTION("GoogleTranslate(C102, ""en"", ""fa"")"),"خطر اشعه ماوراء بنفش بسیار زیاد است. اقدامات حفاظتی مانند پوشیدن کلاه لبه پهن، استفاده از کرم ضد آفتاب با SPF بالا و جستجوی سایه در بیرون از منزل را افزایش دهید.")</f>
        <v>خطر اشعه ماوراء بنفش بسیار زیاد است. اقدامات حفاظتی مانند پوشیدن کلاه لبه پهن، استفاده از کرم ضد آفتاب با SPF بالا و جستجوی سایه در بیرون از منزل را افزایش دهید.</v>
      </c>
      <c r="AW102" s="3" t="str">
        <f>IFERROR(__xludf.DUMMYFUNCTION("GoogleTranslate(C102, ""en"", ""pl"")"),"Ryzyko związane z promieniami UV jest bardzo wysokie. Zwiększ środki ochronne, takie jak noszenie kapelusza z szerokim rondem, stosowanie filtrów przeciwsłonecznych o wysokim SPF i szukanie cienia na świeżym powietrzu.")</f>
        <v>Ryzyko związane z promieniami UV jest bardzo wysokie. Zwiększ środki ochronne, takie jak noszenie kapelusza z szerokim rondem, stosowanie filtrów przeciwsłonecznych o wysokim SPF i szukanie cienia na świeżym powietrzu.</v>
      </c>
      <c r="AX102" s="3" t="str">
        <f>IFERROR(__xludf.DUMMYFUNCTION("GoogleTranslate(C102, ""en"", ""pt"")"),"O risco dos raios UV é muito alto. Aumente as medidas de proteção, como usar chapéu de abas largas, usar protetor solar com FPS alto e procurar sombra ao ar livre.")</f>
        <v>O risco dos raios UV é muito alto. Aumente as medidas de proteção, como usar chapéu de abas largas, usar protetor solar com FPS alto e procurar sombra ao ar livre.</v>
      </c>
      <c r="AY102" s="3" t="str">
        <f>IFERROR(__xludf.DUMMYFUNCTION("GoogleTranslate(C102, ""en"", ""ro"")"),"Riscul de la razele UV este foarte mare. Creșteți măsurile de protecție, cum ar fi purtarea unei pălării cu boruri largi, utilizarea de protecție solară cu SPF ridicat și căutarea umbră atunci când sunteți în aer liber.")</f>
        <v>Riscul de la razele UV este foarte mare. Creșteți măsurile de protecție, cum ar fi purtarea unei pălării cu boruri largi, utilizarea de protecție solară cu SPF ridicat și căutarea umbră atunci când sunteți în aer liber.</v>
      </c>
      <c r="AZ102" s="3" t="str">
        <f>IFERROR(__xludf.DUMMYFUNCTION("GoogleTranslate(C102, ""en"", ""ru"")"),"Риск воздействия УФ-лучей очень высок. Увеличьте защитные меры, такие как ношение широкополой шляпы, использование солнцезащитного крема с высоким SPF и поиск тени на открытом воздухе.")</f>
        <v>Риск воздействия УФ-лучей очень высок. Увеличьте защитные меры, такие как ношение широкополой шляпы, использование солнцезащитного крема с высоким SPF и поиск тени на открытом воздухе.</v>
      </c>
      <c r="BA102" s="3" t="str">
        <f>IFERROR(__xludf.DUMMYFUNCTION("GoogleTranslate(C102, ""en"", ""sr"")"),"Ризик од УВ зрака је веома висок. Повећајте заштитне мере као што је ношење шешира са широким ободом, коришћење креме за сунчање са високим СПФ-ом и тражење сенке када сте напољу.")</f>
        <v>Ризик од УВ зрака је веома висок. Повећајте заштитне мере као што је ношење шешира са широким ободом, коришћење креме за сунчање са високим СПФ-ом и тражење сенке када сте напољу.</v>
      </c>
      <c r="BB102" s="3" t="str">
        <f>IFERROR(__xludf.DUMMYFUNCTION("GoogleTranslate(C102, ""en"", ""si"")"),"පාරජම්බුල කිරණවල අවදානම ඉතා ඉහළ ය. පුළුල් තොප්පියක් පැළඳීම, ඉහළ SPF හිරු ආවරණ භාවිතා කිරීම සහ එළිමහනේ සිටින විට සෙවන සෙවීම වැනි ආරක්ෂිත පියවර වැඩි කරන්න.")</f>
        <v>පාරජම්බුල කිරණවල අවදානම ඉතා ඉහළ ය. පුළුල් තොප්පියක් පැළඳීම, ඉහළ SPF හිරු ආවරණ භාවිතා කිරීම සහ එළිමහනේ සිටින විට සෙවන සෙවීම වැනි ආරක්ෂිත පියවර වැඩි කරන්න.</v>
      </c>
      <c r="BC102" s="3" t="str">
        <f>IFERROR(__xludf.DUMMYFUNCTION("GoogleTranslate(C102, ""en"", ""sk"")"),"Riziko UV žiarenia je veľmi vysoké. Zvýšte ochranné opatrenia, ako je nosenie klobúka so širokým okrajom, používanie opaľovacích krémov s vysokým SPF a vyhľadávanie tieňa vonku.")</f>
        <v>Riziko UV žiarenia je veľmi vysoké. Zvýšte ochranné opatrenia, ako je nosenie klobúka so širokým okrajom, používanie opaľovacích krémov s vysokým SPF a vyhľadávanie tieňa vonku.</v>
      </c>
      <c r="BD102" s="3" t="str">
        <f>IFERROR(__xludf.DUMMYFUNCTION("GoogleTranslate(C102, ""en"", ""sl"")"),"Tveganje zaradi UV žarkov je zelo veliko. Povečajte zaščitne ukrepe, kot je nošenje klobuka s širokimi krajci, uporaba kreme za sončenje z visokim zaščitnim faktorjem in iskanje sence, ko ste zunaj.")</f>
        <v>Tveganje zaradi UV žarkov je zelo veliko. Povečajte zaščitne ukrepe, kot je nošenje klobuka s širokimi krajci, uporaba kreme za sončenje z visokim zaščitnim faktorjem in iskanje sence, ko ste zunaj.</v>
      </c>
      <c r="BE102" s="3" t="str">
        <f>IFERROR(__xludf.DUMMYFUNCTION("GoogleTranslate(C102, ""en"", ""es"")"),"El riesgo de los rayos UV es muy alto. Aumente las medidas de protección, como usar un sombrero de ala ancha, usar protector solar con SPF alto y buscar sombra cuando esté al aire libre.")</f>
        <v>El riesgo de los rayos UV es muy alto. Aumente las medidas de protección, como usar un sombrero de ala ancha, usar protector solar con SPF alto y buscar sombra cuando esté al aire libre.</v>
      </c>
      <c r="BF102" s="3" t="str">
        <f>IFERROR(__xludf.DUMMYFUNCTION("GoogleTranslate(C102, ""en"", ""sw"")"),"Hatari kutoka kwa mionzi ya UV ni kubwa sana. Ongeza hatua za ulinzi kama vile kuvaa kofia yenye ukingo mpana, kutumia mafuta ya kujikinga na jua yenye kiwango cha juu cha SPF, na kutafuta kivuli ukiwa nje.")</f>
        <v>Hatari kutoka kwa mionzi ya UV ni kubwa sana. Ongeza hatua za ulinzi kama vile kuvaa kofia yenye ukingo mpana, kutumia mafuta ya kujikinga na jua yenye kiwango cha juu cha SPF, na kutafuta kivuli ukiwa nje.</v>
      </c>
      <c r="BG102" s="3" t="str">
        <f>IFERROR(__xludf.DUMMYFUNCTION("GoogleTranslate(C102, ""en"", ""sv"")"),"Risken från UV-strålar är mycket hög. Öka skyddsåtgärderna som att bära en bredbrättad hatt, använda solskyddsmedel med hög SPF och söka skugga när du är utomhus.")</f>
        <v>Risken från UV-strålar är mycket hög. Öka skyddsåtgärderna som att bära en bredbrättad hatt, använda solskyddsmedel med hög SPF och söka skugga när du är utomhus.</v>
      </c>
      <c r="BH102" s="3" t="str">
        <f>IFERROR(__xludf.DUMMYFUNCTION("GoogleTranslate(C102, ""en"", ""te"")"),"UV కిరణాల నుండి వచ్చే ప్రమాదం చాలా ఎక్కువ. వెడల్పు అంచులు ఉన్న టోపీని ధరించడం, అధిక SPF సన్‌స్క్రీన్‌ని ఉపయోగించడం మరియు ఆరుబయట ఉన్నప్పుడు నీడను వెతకడం వంటి రక్షణ చర్యలను పెంచండి.")</f>
        <v>UV కిరణాల నుండి వచ్చే ప్రమాదం చాలా ఎక్కువ. వెడల్పు అంచులు ఉన్న టోపీని ధరించడం, అధిక SPF సన్‌స్క్రీన్‌ని ఉపయోగించడం మరియు ఆరుబయట ఉన్నప్పుడు నీడను వెతకడం వంటి రక్షణ చర్యలను పెంచండి.</v>
      </c>
      <c r="BI102" s="3" t="str">
        <f>IFERROR(__xludf.DUMMYFUNCTION("GoogleTranslate(C102, ""en"", ""th"")"),"ความเสี่ยงจากรังสียูวีมีสูงมาก เพิ่มมาตรการป้องกัน เช่น การสวมหมวกปีกกว้าง การใช้ครีมกันแดดที่มีค่า SPF สูง และหาที่ร่มเมื่ออยู่กลางแจ้ง")</f>
        <v>ความเสี่ยงจากรังสียูวีมีสูงมาก เพิ่มมาตรการป้องกัน เช่น การสวมหมวกปีกกว้าง การใช้ครีมกันแดดที่มีค่า SPF สูง และหาที่ร่มเมื่ออยู่กลางแจ้ง</v>
      </c>
      <c r="BJ102" s="3" t="str">
        <f>IFERROR(__xludf.DUMMYFUNCTION("GoogleTranslate(C102, ""en"", ""tr"")"),"UV ışınlarından kaynaklanan risk çok yüksektir. Geniş kenarlı şapka takmak, yüksek SPF'li güneş kremi kullanmak ve açık havada gölge aramak gibi koruyucu önlemleri artırın.")</f>
        <v>UV ışınlarından kaynaklanan risk çok yüksektir. Geniş kenarlı şapka takmak, yüksek SPF'li güneş kremi kullanmak ve açık havada gölge aramak gibi koruyucu önlemleri artırın.</v>
      </c>
      <c r="BK102" s="3" t="str">
        <f>IFERROR(__xludf.DUMMYFUNCTION("GoogleTranslate(C102, ""en"", ""uk"")"),"Ризик від УФ-променів дуже високий. Збільште захисні заходи, такі як носіння капелюха з широкими полями, використання сонцезахисного крему з високим SPF і перебування на вулиці в тіні.")</f>
        <v>Ризик від УФ-променів дуже високий. Збільште захисні заходи, такі як носіння капелюха з широкими полями, використання сонцезахисного крему з високим SPF і перебування на вулиці в тіні.</v>
      </c>
      <c r="BL102" s="3" t="str">
        <f>IFERROR(__xludf.DUMMYFUNCTION("GoogleTranslate(C102, ""en"", ""zu"")"),"Ingozi evela emisebeni ye-UV iphezulu kakhulu. Khulisa izindlela zokuzivikela ezinjengokugqoka isigqoko esinomphetho obanzi, ukusebenzisa isikrini selanga se-SPF esiphezulu, nokufuna umthunzi lapho ungaphandle.")</f>
        <v>Ingozi evela emisebeni ye-UV iphezulu kakhulu. Khulisa izindlela zokuzivikela ezinjengokugqoka isigqoko esinomphetho obanzi, ukusebenzisa isikrini selanga se-SPF esiphezulu, nokufuna umthunzi lapho ungaphandle.</v>
      </c>
    </row>
    <row r="103">
      <c r="A103" s="1" t="str">
        <f t="shared" si="1"/>
        <v>Extremely_high</v>
      </c>
      <c r="B103" s="4" t="s">
        <v>160</v>
      </c>
      <c r="C103" s="1" t="str">
        <f t="shared" si="2"/>
        <v>Extremely high</v>
      </c>
      <c r="D103" s="3" t="str">
        <f>IFERROR(__xludf.DUMMYFUNCTION("GoogleTranslate(C103, ""en"", ""es"")"),"Extremadamente alto")</f>
        <v>Extremadamente alto</v>
      </c>
      <c r="E103" s="3" t="str">
        <f>IFERROR(__xludf.DUMMYFUNCTION("GoogleTranslate(C103, ""en"", ""ar"")"),"عالية للغاية")</f>
        <v>عالية للغاية</v>
      </c>
      <c r="F103" s="3" t="str">
        <f>IFERROR(__xludf.DUMMYFUNCTION("GoogleTranslate(C103, ""en"", ""hy"")"),"Չափազանց բարձր")</f>
        <v>Չափազանց բարձր</v>
      </c>
      <c r="G103" s="3" t="str">
        <f>IFERROR(__xludf.DUMMYFUNCTION("GoogleTranslate(C103, ""en"", ""vi"")"),"Cực kỳ cao")</f>
        <v>Cực kỳ cao</v>
      </c>
      <c r="H103" s="3" t="str">
        <f>IFERROR(__xludf.DUMMYFUNCTION("GoogleTranslate(C103, ""en"", ""az"")"),"Son dərəcə yüksək")</f>
        <v>Son dərəcə yüksək</v>
      </c>
      <c r="I103" s="3" t="str">
        <f>IFERROR(__xludf.DUMMYFUNCTION("GoogleTranslate(C103, ""en"", ""eu"")"),"Oso altua")</f>
        <v>Oso altua</v>
      </c>
      <c r="J103" s="3" t="str">
        <f>IFERROR(__xludf.DUMMYFUNCTION("GoogleTranslate(C103, ""en"", ""be"")"),"Надзвычай высока")</f>
        <v>Надзвычай высока</v>
      </c>
      <c r="K103" s="3" t="str">
        <f>IFERROR(__xludf.DUMMYFUNCTION("GoogleTranslate(C103, ""en"", ""bn"")"),"অত্যন্ত উচ্চ")</f>
        <v>অত্যন্ত উচ্চ</v>
      </c>
      <c r="L103" s="3" t="str">
        <f>IFERROR(__xludf.DUMMYFUNCTION("GoogleTranslate(C103, ""en"", ""bg"")"),"Изключително високо")</f>
        <v>Изключително високо</v>
      </c>
      <c r="M103" s="3" t="str">
        <f>IFERROR(__xludf.DUMMYFUNCTION("GoogleTranslate(C103, ""en"", ""my"")"),"အလွန့်အလွန်မြင့်သည်။")</f>
        <v>အလွန့်အလွန်မြင့်သည်။</v>
      </c>
      <c r="N103" s="3" t="str">
        <f>IFERROR(__xludf.DUMMYFUNCTION("GoogleTranslate(C103, ""en"", ""ca"")"),"Extremadament alt")</f>
        <v>Extremadament alt</v>
      </c>
      <c r="O103" s="3" t="str">
        <f>IFERROR(__xludf.DUMMYFUNCTION("GoogleTranslate(C103, ""en"", ""zh-cn"")"),"极高")</f>
        <v>极高</v>
      </c>
      <c r="P103" s="3" t="str">
        <f>IFERROR(__xludf.DUMMYFUNCTION("GoogleTranslate(C103, ""en"", ""zh-TW"")"),"極高")</f>
        <v>極高</v>
      </c>
      <c r="Q103" s="3" t="str">
        <f>IFERROR(__xludf.DUMMYFUNCTION("GoogleTranslate(C103, ""en"", ""hr"")"),"Izuzetno visoko")</f>
        <v>Izuzetno visoko</v>
      </c>
      <c r="R103" s="3" t="str">
        <f>IFERROR(__xludf.DUMMYFUNCTION("GoogleTranslate(C103, ""en"", ""cs"")"),"Extrémně vysoká")</f>
        <v>Extrémně vysoká</v>
      </c>
      <c r="S103" s="3" t="str">
        <f>IFERROR(__xludf.DUMMYFUNCTION("GoogleTranslate(C103, ""en"", ""da"")"),"Ekstremt høj")</f>
        <v>Ekstremt høj</v>
      </c>
      <c r="T103" s="3" t="str">
        <f>IFERROR(__xludf.DUMMYFUNCTION("GoogleTranslate(C103, ""en"", ""nl"")"),"Extreem hoog")</f>
        <v>Extreem hoog</v>
      </c>
      <c r="U103" s="3" t="str">
        <f>IFERROR(__xludf.DUMMYFUNCTION("GoogleTranslate(C103, ""en"", ""et"")"),"Äärmiselt kõrge")</f>
        <v>Äärmiselt kõrge</v>
      </c>
      <c r="V103" s="1" t="str">
        <f t="shared" si="3"/>
        <v>Extremely high</v>
      </c>
      <c r="W103" s="3" t="str">
        <f>IFERROR(__xludf.DUMMYFUNCTION("GoogleTranslate(C103, ""en"", ""fi"")"),"Erittäin korkea")</f>
        <v>Erittäin korkea</v>
      </c>
      <c r="X103" s="3" t="str">
        <f>IFERROR(__xludf.DUMMYFUNCTION("GoogleTranslate(C103, ""en"", ""fr"")"),"Extrêmement élevé")</f>
        <v>Extrêmement élevé</v>
      </c>
      <c r="Y103" s="3" t="str">
        <f>IFERROR(__xludf.DUMMYFUNCTION("GoogleTranslate(C103, ""en"", ""de"")"),"Extrem hoch")</f>
        <v>Extrem hoch</v>
      </c>
      <c r="Z103" s="3" t="str">
        <f>IFERROR(__xludf.DUMMYFUNCTION("GoogleTranslate(C103, ""en"", ""el"")"),"Εξαιρετικά ψηλά")</f>
        <v>Εξαιρετικά ψηλά</v>
      </c>
      <c r="AA103" s="3" t="str">
        <f>IFERROR(__xludf.DUMMYFUNCTION("GoogleTranslate(C103, ""en"", ""iw"")"),"גבוה במיוחד")</f>
        <v>גבוה במיוחד</v>
      </c>
      <c r="AB103" s="3" t="str">
        <f>IFERROR(__xludf.DUMMYFUNCTION("GoogleTranslate(C103, ""en"", ""hi"")"),"अत्यंत ऊंचा")</f>
        <v>अत्यंत ऊंचा</v>
      </c>
      <c r="AC103" s="3" t="str">
        <f>IFERROR(__xludf.DUMMYFUNCTION("GoogleTranslate(C103, ""en"", ""hu"")"),"Rendkívül magas")</f>
        <v>Rendkívül magas</v>
      </c>
      <c r="AD103" s="3" t="str">
        <f>IFERROR(__xludf.DUMMYFUNCTION("GoogleTranslate(C103, ""en"", ""is"")"),"Ofsalega hátt")</f>
        <v>Ofsalega hátt</v>
      </c>
      <c r="AE103" s="3" t="str">
        <f>IFERROR(__xludf.DUMMYFUNCTION("GoogleTranslate(C103, ""en"", ""id"")"),"Sangat tinggi")</f>
        <v>Sangat tinggi</v>
      </c>
      <c r="AF103" s="3" t="str">
        <f>IFERROR(__xludf.DUMMYFUNCTION("GoogleTranslate(C103, ""en"", ""in"")"),"Sangat tinggi")</f>
        <v>Sangat tinggi</v>
      </c>
      <c r="AG103" s="3" t="str">
        <f>IFERROR(__xludf.DUMMYFUNCTION("GoogleTranslate(C103, ""en"", ""it"")"),"Estremamente alto")</f>
        <v>Estremamente alto</v>
      </c>
      <c r="AH103" s="3" t="str">
        <f>IFERROR(__xludf.DUMMYFUNCTION("GoogleTranslate(C103, ""en"", ""ja"")"),"非常に高い")</f>
        <v>非常に高い</v>
      </c>
      <c r="AI103" s="3" t="str">
        <f>IFERROR(__xludf.DUMMYFUNCTION("GoogleTranslate(C103, ""en"", ""kn"")"),"ಅತ್ಯಂತ ಹೆಚ್ಚು")</f>
        <v>ಅತ್ಯಂತ ಹೆಚ್ಚು</v>
      </c>
      <c r="AJ103" s="3" t="str">
        <f>IFERROR(__xludf.DUMMYFUNCTION("GoogleTranslate(C103, ""en"", ""km"")"),"ខ្ពស់ណាស់។")</f>
        <v>ខ្ពស់ណាស់។</v>
      </c>
      <c r="AK103" s="3" t="str">
        <f>IFERROR(__xludf.DUMMYFUNCTION("GoogleTranslate(C103, ""en"", ""ko"")"),"매우 높음")</f>
        <v>매우 높음</v>
      </c>
      <c r="AL103" s="3" t="str">
        <f>IFERROR(__xludf.DUMMYFUNCTION("GoogleTranslate(C103, ""en"", ""lo"")"),"ສູງທີ່ສຸດ")</f>
        <v>ສູງທີ່ສຸດ</v>
      </c>
      <c r="AM103" s="3" t="str">
        <f>IFERROR(__xludf.DUMMYFUNCTION("GoogleTranslate(C103, ""en"", ""lv"")"),"Ārkārtīgi augsts")</f>
        <v>Ārkārtīgi augsts</v>
      </c>
      <c r="AN103" s="3" t="str">
        <f>IFERROR(__xludf.DUMMYFUNCTION("GoogleTranslate(C103, ""en"", ""lt"")"),"Itin aukštai")</f>
        <v>Itin aukštai</v>
      </c>
      <c r="AO103" s="3" t="str">
        <f>IFERROR(__xludf.DUMMYFUNCTION("GoogleTranslate(C103, ""en"", ""mk"")"),"Исклучително висока")</f>
        <v>Исклучително висока</v>
      </c>
      <c r="AP103" s="3" t="str">
        <f>IFERROR(__xludf.DUMMYFUNCTION("GoogleTranslate(C103, ""en"", ""ms"")"),"Sangat tinggi")</f>
        <v>Sangat tinggi</v>
      </c>
      <c r="AQ103" s="3" t="str">
        <f>IFERROR(__xludf.DUMMYFUNCTION("GoogleTranslate(C103, ""en"", ""ml"")"),"വളരെ ഉയർന്നത്")</f>
        <v>വളരെ ഉയർന്നത്</v>
      </c>
      <c r="AR103" s="3" t="str">
        <f>IFERROR(__xludf.DUMMYFUNCTION("GoogleTranslate(C103, ""en"", ""mr"")"),"अत्यंत उच्च")</f>
        <v>अत्यंत उच्च</v>
      </c>
      <c r="AS103" s="3" t="str">
        <f>IFERROR(__xludf.DUMMYFUNCTION("GoogleTranslate(C103, ""en"", ""mn"")"),"Маш өндөр")</f>
        <v>Маш өндөр</v>
      </c>
      <c r="AT103" s="3" t="str">
        <f>IFERROR(__xludf.DUMMYFUNCTION("GoogleTranslate(C103, ""en"", ""ne"")"),"अति उच्च")</f>
        <v>अति उच्च</v>
      </c>
      <c r="AU103" s="3" t="str">
        <f>IFERROR(__xludf.DUMMYFUNCTION("GoogleTranslate(C103, ""en"", ""nb"")"),"Ekstremt høy")</f>
        <v>Ekstremt høy</v>
      </c>
      <c r="AV103" s="3" t="str">
        <f>IFERROR(__xludf.DUMMYFUNCTION("GoogleTranslate(C103, ""en"", ""fa"")"),"فوق العاده بالا")</f>
        <v>فوق العاده بالا</v>
      </c>
      <c r="AW103" s="3" t="str">
        <f>IFERROR(__xludf.DUMMYFUNCTION("GoogleTranslate(C103, ""en"", ""pl"")"),"Niezwykle wysoki")</f>
        <v>Niezwykle wysoki</v>
      </c>
      <c r="AX103" s="3" t="str">
        <f>IFERROR(__xludf.DUMMYFUNCTION("GoogleTranslate(C103, ""en"", ""pt"")"),"Extremamente alto")</f>
        <v>Extremamente alto</v>
      </c>
      <c r="AY103" s="3" t="str">
        <f>IFERROR(__xludf.DUMMYFUNCTION("GoogleTranslate(C103, ""en"", ""ro"")"),"Extrem de sus")</f>
        <v>Extrem de sus</v>
      </c>
      <c r="AZ103" s="3" t="str">
        <f>IFERROR(__xludf.DUMMYFUNCTION("GoogleTranslate(C103, ""en"", ""ru"")"),"Чрезвычайно высокий")</f>
        <v>Чрезвычайно высокий</v>
      </c>
      <c r="BA103" s="3" t="str">
        <f>IFERROR(__xludf.DUMMYFUNCTION("GoogleTranslate(C103, ""en"", ""sr"")"),"Екстремно висока")</f>
        <v>Екстремно висока</v>
      </c>
      <c r="BB103" s="3" t="str">
        <f>IFERROR(__xludf.DUMMYFUNCTION("GoogleTranslate(C103, ""en"", ""si"")"),"අතිශයින් ඉහළයි")</f>
        <v>අතිශයින් ඉහළයි</v>
      </c>
      <c r="BC103" s="3" t="str">
        <f>IFERROR(__xludf.DUMMYFUNCTION("GoogleTranslate(C103, ""en"", ""sk"")"),"Mimoriadne vysoká")</f>
        <v>Mimoriadne vysoká</v>
      </c>
      <c r="BD103" s="3" t="str">
        <f>IFERROR(__xludf.DUMMYFUNCTION("GoogleTranslate(C103, ""en"", ""sl"")"),"Izredno visoko")</f>
        <v>Izredno visoko</v>
      </c>
      <c r="BE103" s="3" t="str">
        <f>IFERROR(__xludf.DUMMYFUNCTION("GoogleTranslate(C103, ""en"", ""es"")"),"Extremadamente alto")</f>
        <v>Extremadamente alto</v>
      </c>
      <c r="BF103" s="3" t="str">
        <f>IFERROR(__xludf.DUMMYFUNCTION("GoogleTranslate(C103, ""en"", ""sw"")"),"Juu sana")</f>
        <v>Juu sana</v>
      </c>
      <c r="BG103" s="3" t="str">
        <f>IFERROR(__xludf.DUMMYFUNCTION("GoogleTranslate(C103, ""en"", ""sv"")"),"Extremt högt")</f>
        <v>Extremt högt</v>
      </c>
      <c r="BH103" s="3" t="str">
        <f>IFERROR(__xludf.DUMMYFUNCTION("GoogleTranslate(C103, ""en"", ""te"")"),"చాలా ఎక్కువ")</f>
        <v>చాలా ఎక్కువ</v>
      </c>
      <c r="BI103" s="3" t="str">
        <f>IFERROR(__xludf.DUMMYFUNCTION("GoogleTranslate(C103, ""en"", ""th"")"),"สูงมาก")</f>
        <v>สูงมาก</v>
      </c>
      <c r="BJ103" s="3" t="str">
        <f>IFERROR(__xludf.DUMMYFUNCTION("GoogleTranslate(C103, ""en"", ""tr"")"),"Son derece yüksek")</f>
        <v>Son derece yüksek</v>
      </c>
      <c r="BK103" s="3" t="str">
        <f>IFERROR(__xludf.DUMMYFUNCTION("GoogleTranslate(C103, ""en"", ""uk"")"),"Надзвичайно високий")</f>
        <v>Надзвичайно високий</v>
      </c>
      <c r="BL103" s="3" t="str">
        <f>IFERROR(__xludf.DUMMYFUNCTION("GoogleTranslate(C103, ""en"", ""zu"")"),"Iphakeme kakhulu")</f>
        <v>Iphakeme kakhulu</v>
      </c>
    </row>
    <row r="104">
      <c r="A104" s="1" t="str">
        <f t="shared" si="1"/>
        <v>UV_rays_are_extremely_dangerous._Avoid_going_outdoors_during_this_time_if_possible,_and_if_you_must_go_out,_take_all_possible_protective_measures.</v>
      </c>
      <c r="B104" s="4" t="s">
        <v>161</v>
      </c>
      <c r="C104" s="1" t="str">
        <f t="shared" si="2"/>
        <v>UV rays are extremely dangerous. Avoid going outdoors during this time if possible, and if you must go out, take all possible protective measures.</v>
      </c>
      <c r="D104" s="3" t="str">
        <f>IFERROR(__xludf.DUMMYFUNCTION("GoogleTranslate(C104, ""en"", ""es"")"),"Los rayos ultravioleta son extremadamente peligrosos. Evite salir al aire libre durante este tiempo si es posible, y si debe salir, tome todas las medidas de protección posibles.")</f>
        <v>Los rayos ultravioleta son extremadamente peligrosos. Evite salir al aire libre durante este tiempo si es posible, y si debe salir, tome todas las medidas de protección posibles.</v>
      </c>
      <c r="E104" s="3" t="str">
        <f>IFERROR(__xludf.DUMMYFUNCTION("GoogleTranslate(C104, ""en"", ""ar"")"),"الأشعة فوق البنفسجية خطيرة للغاية. تجنب الخروج في الهواء الطلق خلال هذا الوقت إن أمكن، وإذا كان لا بد من الخروج، فاتخذ جميع تدابير الحماية الممكنة.")</f>
        <v>الأشعة فوق البنفسجية خطيرة للغاية. تجنب الخروج في الهواء الطلق خلال هذا الوقت إن أمكن، وإذا كان لا بد من الخروج، فاتخذ جميع تدابير الحماية الممكنة.</v>
      </c>
      <c r="F104" s="3" t="str">
        <f>IFERROR(__xludf.DUMMYFUNCTION("GoogleTranslate(C104, ""en"", ""hy"")"),"Ուլտրամանուշակագույն ճառագայթները չափազանց վտանգավոր են։ Հնարավորության դեպքում խուսափեք դրսում դուրս գալ այս ժամանակահատվածում, և եթե դուք պետք է դուրս գաք, ձեռնարկեք բոլոր հնարավոր պաշտպանիչ միջոցները:")</f>
        <v>Ուլտրամանուշակագույն ճառագայթները չափազանց վտանգավոր են։ Հնարավորության դեպքում խուսափեք դրսում դուրս գալ այս ժամանակահատվածում, և եթե դուք պետք է դուրս գաք, ձեռնարկեք բոլոր հնարավոր պաշտպանիչ միջոցները:</v>
      </c>
      <c r="G104" s="3" t="str">
        <f>IFERROR(__xludf.DUMMYFUNCTION("GoogleTranslate(C104, ""en"", ""vi"")"),"Tia UV cực kỳ nguy hiểm. Tránh ra ngoài trời trong thời gian này nếu có thể và nếu buộc phải ra ngoài, hãy thực hiện mọi biện pháp bảo vệ có thể.")</f>
        <v>Tia UV cực kỳ nguy hiểm. Tránh ra ngoài trời trong thời gian này nếu có thể và nếu buộc phải ra ngoài, hãy thực hiện mọi biện pháp bảo vệ có thể.</v>
      </c>
      <c r="H104" s="3" t="str">
        <f>IFERROR(__xludf.DUMMYFUNCTION("GoogleTranslate(C104, ""en"", ""az"")"),"UV şüaları son dərəcə təhlükəlidir. Mümkünsə, bu müddət ərzində açıq havaya çıxmaqdan çəkinin və çölə çıxmaq məcburiyyətindəsinizsə, bütün mümkün qoruyucu tədbirləri alın.")</f>
        <v>UV şüaları son dərəcə təhlükəlidir. Mümkünsə, bu müddət ərzində açıq havaya çıxmaqdan çəkinin və çölə çıxmaq məcburiyyətindəsinizsə, bütün mümkün qoruyucu tədbirləri alın.</v>
      </c>
      <c r="I104" s="3" t="str">
        <f>IFERROR(__xludf.DUMMYFUNCTION("GoogleTranslate(C104, ""en"", ""eu"")"),"UV izpiak oso arriskutsuak dira. Saihestu denbora horretan kalera ateratzea ahal bada, eta kalera atera behar baduzu, hartu ahal diren babes neurri guztiak.")</f>
        <v>UV izpiak oso arriskutsuak dira. Saihestu denbora horretan kalera ateratzea ahal bada, eta kalera atera behar baduzu, hartu ahal diren babes neurri guztiak.</v>
      </c>
      <c r="J104" s="3" t="str">
        <f>IFERROR(__xludf.DUMMYFUNCTION("GoogleTranslate(C104, ""en"", ""be"")"),"УФ-прамяні надзвычай небяспечныя. Па магчымасці пазбягайце выхаду на вуліцу ў гэты час, а калі вам трэба выйсці, прыміце ўсе магчымыя меры абароны.")</f>
        <v>УФ-прамяні надзвычай небяспечныя. Па магчымасці пазбягайце выхаду на вуліцу ў гэты час, а калі вам трэба выйсці, прыміце ўсе магчымыя меры абароны.</v>
      </c>
      <c r="K104" s="3" t="str">
        <f>IFERROR(__xludf.DUMMYFUNCTION("GoogleTranslate(C104, ""en"", ""bn"")"),"UV রশ্মি অত্যন্ত বিপজ্জনক। সম্ভব হলে এই সময়ের মধ্যে বাইরে যাওয়া এড়িয়ে চলুন, এবং যদি আপনাকে বাইরে যেতেই হয় তবে সম্ভাব্য সমস্ত প্রতিরক্ষামূলক ব্যবস্থা নিন।")</f>
        <v>UV রশ্মি অত্যন্ত বিপজ্জনক। সম্ভব হলে এই সময়ের মধ্যে বাইরে যাওয়া এড়িয়ে চলুন, এবং যদি আপনাকে বাইরে যেতেই হয় তবে সম্ভাব্য সমস্ত প্রতিরক্ষামূলক ব্যবস্থা নিন।</v>
      </c>
      <c r="L104" s="3" t="str">
        <f>IFERROR(__xludf.DUMMYFUNCTION("GoogleTranslate(C104, ""en"", ""bg"")"),"UV лъчите са изключително опасни. Избягвайте да излизате на открито през това време, ако е възможно, а ако трябва да излезете, вземете всички възможни предпазни мерки.")</f>
        <v>UV лъчите са изключително опасни. Избягвайте да излизате на открито през това време, ако е възможно, а ако трябва да излезете, вземете всички възможни предпазни мерки.</v>
      </c>
      <c r="M104" s="3" t="str">
        <f>IFERROR(__xludf.DUMMYFUNCTION("GoogleTranslate(C104, ""en"", ""my"")"),"ခရမ်းလွန်ရောင်ခြည်သည် အလွန်အန္တရာယ်များသည်။ ဖြစ်နိုင်လျှင် ဤအချိန်အတွင်း အပြင်ထွက်ခြင်းကို ရှောင်ကြဉ်ပြီး အပြင်ထွက်ရမည်ဆိုပါက တတ်နိုင်သမျှ အကာအကွယ်အစီအမံများ ပြုလုပ်ပါ။")</f>
        <v>ခရမ်းလွန်ရောင်ခြည်သည် အလွန်အန္တရာယ်များသည်။ ဖြစ်နိုင်လျှင် ဤအချိန်အတွင်း အပြင်ထွက်ခြင်းကို ရှောင်ကြဉ်ပြီး အပြင်ထွက်ရမည်ဆိုပါက တတ်နိုင်သမျှ အကာအကွယ်အစီအမံများ ပြုလုပ်ပါ။</v>
      </c>
      <c r="N104" s="3" t="str">
        <f>IFERROR(__xludf.DUMMYFUNCTION("GoogleTranslate(C104, ""en"", ""ca"")"),"Els raigs UV són extremadament perillosos. Eviteu sortir a l'aire lliure durant aquest temps si és possible, i si heu de sortir, preneu totes les mesures de protecció possibles.")</f>
        <v>Els raigs UV són extremadament perillosos. Eviteu sortir a l'aire lliure durant aquest temps si és possible, i si heu de sortir, preneu totes les mesures de protecció possibles.</v>
      </c>
      <c r="O104" s="3" t="str">
        <f>IFERROR(__xludf.DUMMYFUNCTION("GoogleTranslate(C104, ""en"", ""zh-cn"")"),"紫外线极其危险。尽量避免这段时间外出，如果必须外出，要采取一切可能的防护措施。")</f>
        <v>紫外线极其危险。尽量避免这段时间外出，如果必须外出，要采取一切可能的防护措施。</v>
      </c>
      <c r="P104" s="3" t="str">
        <f>IFERROR(__xludf.DUMMYFUNCTION("GoogleTranslate(C104, ""en"", ""zh-TW"")"),"紫外線極度危險。盡量避免這段時間外出，如果必須外出，要採取一切可能的防護措施。")</f>
        <v>紫外線極度危險。盡量避免這段時間外出，如果必須外出，要採取一切可能的防護措施。</v>
      </c>
      <c r="Q104" s="3" t="str">
        <f>IFERROR(__xludf.DUMMYFUNCTION("GoogleTranslate(C104, ""en"", ""hr"")"),"UV zrake su izuzetno opasne. Izbjegavajte izlaske u to vrijeme ako je moguće, a ako morate izaći, poduzmite sve moguće mjere zaštite.")</f>
        <v>UV zrake su izuzetno opasne. Izbjegavajte izlaske u to vrijeme ako je moguće, a ako morate izaći, poduzmite sve moguće mjere zaštite.</v>
      </c>
      <c r="R104" s="3" t="str">
        <f>IFERROR(__xludf.DUMMYFUNCTION("GoogleTranslate(C104, ""en"", ""cs"")"),"UV záření je extrémně nebezpečné. Během této doby pokud možno nevycházejte ven, a pokud musíte ven, udělejte veškerá možná ochranná opatření.")</f>
        <v>UV záření je extrémně nebezpečné. Během této doby pokud možno nevycházejte ven, a pokud musíte ven, udělejte veškerá možná ochranná opatření.</v>
      </c>
      <c r="S104" s="3" t="str">
        <f>IFERROR(__xludf.DUMMYFUNCTION("GoogleTranslate(C104, ""en"", ""da"")"),"UV-stråler er ekstremt farlige. Undgå at gå udendørs i denne tid, hvis det er muligt, og hvis du skal ud, skal du tage alle mulige beskyttelsesforanstaltninger.")</f>
        <v>UV-stråler er ekstremt farlige. Undgå at gå udendørs i denne tid, hvis det er muligt, og hvis du skal ud, skal du tage alle mulige beskyttelsesforanstaltninger.</v>
      </c>
      <c r="T104" s="3" t="str">
        <f>IFERROR(__xludf.DUMMYFUNCTION("GoogleTranslate(C104, ""en"", ""nl"")"),"UV-stralen zijn uiterst gevaarlijk. Ga gedurende deze periode indien mogelijk niet naar buiten en als u toch naar buiten moet, neem dan alle mogelijke beschermende maatregelen.")</f>
        <v>UV-stralen zijn uiterst gevaarlijk. Ga gedurende deze periode indien mogelijk niet naar buiten en als u toch naar buiten moet, neem dan alle mogelijke beschermende maatregelen.</v>
      </c>
      <c r="U104" s="3" t="str">
        <f>IFERROR(__xludf.DUMMYFUNCTION("GoogleTranslate(C104, ""en"", ""et"")"),"UV-kiirgus on äärmiselt ohtlik. Võimalusel vältige sel ajal õues minekut ja kui peate välja minema, võtke kasutusele kõikvõimalikud kaitsemeetmed.")</f>
        <v>UV-kiirgus on äärmiselt ohtlik. Võimalusel vältige sel ajal õues minekut ja kui peate välja minema, võtke kasutusele kõikvõimalikud kaitsemeetmed.</v>
      </c>
      <c r="V104" s="1" t="str">
        <f t="shared" si="3"/>
        <v>UV rays are extremely dangerous. Avoid going outdoors during this time if possible, and if you must go out, take all possible protective measures.</v>
      </c>
      <c r="W104" s="3" t="str">
        <f>IFERROR(__xludf.DUMMYFUNCTION("GoogleTranslate(C104, ""en"", ""fi"")"),"UV-säteet ovat erittäin vaarallisia. Vältä ulkoilua tänä aikana, jos mahdollista, ja jos sinun täytyy mennä ulos, ryhdy kaikkiin mahdollisiin suojatoimenpiteisiin.")</f>
        <v>UV-säteet ovat erittäin vaarallisia. Vältä ulkoilua tänä aikana, jos mahdollista, ja jos sinun täytyy mennä ulos, ryhdy kaikkiin mahdollisiin suojatoimenpiteisiin.</v>
      </c>
      <c r="X104" s="3" t="str">
        <f>IFERROR(__xludf.DUMMYFUNCTION("GoogleTranslate(C104, ""en"", ""fr"")"),"Les rayons UV sont extrêmement dangereux. Évitez si possible de sortir à l’extérieur pendant cette période, et si vous devez sortir, prenez toutes les mesures de protection possibles.")</f>
        <v>Les rayons UV sont extrêmement dangereux. Évitez si possible de sortir à l’extérieur pendant cette période, et si vous devez sortir, prenez toutes les mesures de protection possibles.</v>
      </c>
      <c r="Y104" s="3" t="str">
        <f>IFERROR(__xludf.DUMMYFUNCTION("GoogleTranslate(C104, ""en"", ""de"")"),"UV-Strahlen sind äußerst gefährlich. Vermeiden Sie es, während dieser Zeit ins Freie zu gehen, und treffen Sie alle möglichen Schutzmaßnahmen, wenn Sie rausgehen müssen.")</f>
        <v>UV-Strahlen sind äußerst gefährlich. Vermeiden Sie es, während dieser Zeit ins Freie zu gehen, und treffen Sie alle möglichen Schutzmaßnahmen, wenn Sie rausgehen müssen.</v>
      </c>
      <c r="Z104" s="3" t="str">
        <f>IFERROR(__xludf.DUMMYFUNCTION("GoogleTranslate(C104, ""en"", ""el"")"),"Οι ακτίνες UV είναι εξαιρετικά επικίνδυνες. Αποφύγετε να βγείτε σε εξωτερικούς χώρους κατά τη διάρκεια αυτής της περιόδου, αν είναι δυνατόν, και εάν πρέπει να βγείτε έξω, λάβετε όλα τα πιθανά προστατευτικά μέτρα.")</f>
        <v>Οι ακτίνες UV είναι εξαιρετικά επικίνδυνες. Αποφύγετε να βγείτε σε εξωτερικούς χώρους κατά τη διάρκεια αυτής της περιόδου, αν είναι δυνατόν, και εάν πρέπει να βγείτε έξω, λάβετε όλα τα πιθανά προστατευτικά μέτρα.</v>
      </c>
      <c r="AA104" s="3" t="str">
        <f>IFERROR(__xludf.DUMMYFUNCTION("GoogleTranslate(C104, ""en"", ""iw"")"),"קרני UV מסוכנות ביותר. הימנע מיציאה לחוץ במהלך הזמן הזה אם אפשר, ואם אתה חייב לצאת החוצה, נקוט בכל אמצעי ההגנה האפשריים.")</f>
        <v>קרני UV מסוכנות ביותר. הימנע מיציאה לחוץ במהלך הזמן הזה אם אפשר, ואם אתה חייב לצאת החוצה, נקוט בכל אמצעי ההגנה האפשריים.</v>
      </c>
      <c r="AB104" s="3" t="str">
        <f>IFERROR(__xludf.DUMMYFUNCTION("GoogleTranslate(C104, ""en"", ""hi"")"),"यूवी किरणें बेहद खतरनाक होती हैं। यदि संभव हो तो इस दौरान बाहर जाने से बचें और यदि आपको बाहर जाना ही पड़े तो सभी संभव सुरक्षात्मक उपाय करें।")</f>
        <v>यूवी किरणें बेहद खतरनाक होती हैं। यदि संभव हो तो इस दौरान बाहर जाने से बचें और यदि आपको बाहर जाना ही पड़े तो सभी संभव सुरक्षात्मक उपाय करें।</v>
      </c>
      <c r="AC104" s="3" t="str">
        <f>IFERROR(__xludf.DUMMYFUNCTION("GoogleTranslate(C104, ""en"", ""hu"")"),"Az UV-sugárzás rendkívül veszélyes. Ez idő alatt lehetőleg ne menjen ki a szabadba, és ha ki kell mennie, tegyen meg minden lehetséges óvintézkedést.")</f>
        <v>Az UV-sugárzás rendkívül veszélyes. Ez idő alatt lehetőleg ne menjen ki a szabadba, és ha ki kell mennie, tegyen meg minden lehetséges óvintézkedést.</v>
      </c>
      <c r="AD104" s="3" t="str">
        <f>IFERROR(__xludf.DUMMYFUNCTION("GoogleTranslate(C104, ""en"", ""is"")"),"UV geislar eru mjög hættulegir. Forðastu að fara utandyra á þessum tíma ef mögulegt er og ef þú verður að fara út skaltu gera allar mögulegar verndarráðstafanir.")</f>
        <v>UV geislar eru mjög hættulegir. Forðastu að fara utandyra á þessum tíma ef mögulegt er og ef þú verður að fara út skaltu gera allar mögulegar verndarráðstafanir.</v>
      </c>
      <c r="AE104" s="3" t="str">
        <f>IFERROR(__xludf.DUMMYFUNCTION("GoogleTranslate(C104, ""en"", ""id"")"),"Sinar UV sangat berbahaya. Hindari keluar rumah selama waktu ini jika memungkinkan, dan jika Anda harus keluar, lakukan semua tindakan perlindungan yang mungkin dilakukan.")</f>
        <v>Sinar UV sangat berbahaya. Hindari keluar rumah selama waktu ini jika memungkinkan, dan jika Anda harus keluar, lakukan semua tindakan perlindungan yang mungkin dilakukan.</v>
      </c>
      <c r="AF104" s="3" t="str">
        <f>IFERROR(__xludf.DUMMYFUNCTION("GoogleTranslate(C104, ""en"", ""in"")"),"Sinar UV sangat berbahaya. Hindari keluar rumah selama waktu ini jika memungkinkan, dan jika Anda harus keluar, lakukan semua tindakan perlindungan yang mungkin dilakukan.")</f>
        <v>Sinar UV sangat berbahaya. Hindari keluar rumah selama waktu ini jika memungkinkan, dan jika Anda harus keluar, lakukan semua tindakan perlindungan yang mungkin dilakukan.</v>
      </c>
      <c r="AG104" s="3" t="str">
        <f>IFERROR(__xludf.DUMMYFUNCTION("GoogleTranslate(C104, ""en"", ""it"")"),"I raggi UV sono estremamente pericolosi. Se possibile, evita di uscire all'aperto durante questo periodo e, se devi uscire, adotta tutte le misure protettive possibili.")</f>
        <v>I raggi UV sono estremamente pericolosi. Se possibile, evita di uscire all'aperto durante questo periodo e, se devi uscire, adotta tutte le misure protettive possibili.</v>
      </c>
      <c r="AH104" s="3" t="str">
        <f>IFERROR(__xludf.DUMMYFUNCTION("GoogleTranslate(C104, ""en"", ""ja"")"),"紫外線は非常に危険です。この時期はできる限り外出を避け、やむを得ず外出する場合は万全の対策を講じてください。")</f>
        <v>紫外線は非常に危険です。この時期はできる限り外出を避け、やむを得ず外出する場合は万全の対策を講じてください。</v>
      </c>
      <c r="AI104" s="3" t="str">
        <f>IFERROR(__xludf.DUMMYFUNCTION("GoogleTranslate(C104, ""en"", ""kn"")"),"ಯುವಿ ಕಿರಣಗಳು ಅತ್ಯಂತ ಅಪಾಯಕಾರಿ. ಸಾಧ್ಯವಾದರೆ ಈ ಸಮಯದಲ್ಲಿ ಹೊರಾಂಗಣಕ್ಕೆ ಹೋಗುವುದನ್ನು ತಪ್ಪಿಸಿ ಮತ್ತು ನೀವು ಹೊರಗೆ ಹೋಗಬೇಕಾದರೆ, ಸಾಧ್ಯವಿರುವ ಎಲ್ಲಾ ರಕ್ಷಣಾತ್ಮಕ ಕ್ರಮಗಳನ್ನು ತೆಗೆದುಕೊಳ್ಳಿ.")</f>
        <v>ಯುವಿ ಕಿರಣಗಳು ಅತ್ಯಂತ ಅಪಾಯಕಾರಿ. ಸಾಧ್ಯವಾದರೆ ಈ ಸಮಯದಲ್ಲಿ ಹೊರಾಂಗಣಕ್ಕೆ ಹೋಗುವುದನ್ನು ತಪ್ಪಿಸಿ ಮತ್ತು ನೀವು ಹೊರಗೆ ಹೋಗಬೇಕಾದರೆ, ಸಾಧ್ಯವಿರುವ ಎಲ್ಲಾ ರಕ್ಷಣಾತ್ಮಕ ಕ್ರಮಗಳನ್ನು ತೆಗೆದುಕೊಳ್ಳಿ.</v>
      </c>
      <c r="AJ104" s="3" t="str">
        <f>IFERROR(__xludf.DUMMYFUNCTION("GoogleTranslate(C104, ""en"", ""km"")"),"កាំរស្មីយូវីមានគ្រោះថ្នាក់ខ្លាំងណាស់។ ជៀសវាងការចេញទៅខាងក្រៅក្នុងអំឡុងពេលនេះប្រសិនបើអាចធ្វើទៅបាន ហើយប្រសិនបើអ្នកត្រូវតែចេញទៅក្រៅ សូមចាត់វិធានការការពារដែលអាចធ្វើទៅបាន។")</f>
        <v>កាំរស្មីយូវីមានគ្រោះថ្នាក់ខ្លាំងណាស់។ ជៀសវាងការចេញទៅខាងក្រៅក្នុងអំឡុងពេលនេះប្រសិនបើអាចធ្វើទៅបាន ហើយប្រសិនបើអ្នកត្រូវតែចេញទៅក្រៅ សូមចាត់វិធានការការពារដែលអាចធ្វើទៅបាន។</v>
      </c>
      <c r="AK104" s="3" t="str">
        <f>IFERROR(__xludf.DUMMYFUNCTION("GoogleTranslate(C104, ""en"", ""ko"")"),"자외선은 매우 위험합니다. 이 기간에는 가능하면 야외 활동을 피하고, 부득이하게 외출해야 하는 경우 가능한 모든 보호 조치를 취하세요.")</f>
        <v>자외선은 매우 위험합니다. 이 기간에는 가능하면 야외 활동을 피하고, 부득이하게 외출해야 하는 경우 가능한 모든 보호 조치를 취하세요.</v>
      </c>
      <c r="AL104" s="3" t="str">
        <f>IFERROR(__xludf.DUMMYFUNCTION("GoogleTranslate(C104, ""en"", ""lo"")"),"ຮັງສີ UV ແມ່ນອັນຕະລາຍທີ່ສຸດ. ຫຼີກເວັ້ນການອອກໄປຂ້າງນອກໃນຊ່ວງເວລານີ້ຖ້າເປັນໄປໄດ້, ແລະຖ້າທ່ານຕ້ອງອອກໄປ, ໃຊ້ມາດຕະການປ້ອງກັນທີ່ເປັນໄປໄດ້.")</f>
        <v>ຮັງສີ UV ແມ່ນອັນຕະລາຍທີ່ສຸດ. ຫຼີກເວັ້ນການອອກໄປຂ້າງນອກໃນຊ່ວງເວລານີ້ຖ້າເປັນໄປໄດ້, ແລະຖ້າທ່ານຕ້ອງອອກໄປ, ໃຊ້ມາດຕະການປ້ອງກັນທີ່ເປັນໄປໄດ້.</v>
      </c>
      <c r="AM104" s="3" t="str">
        <f>IFERROR(__xludf.DUMMYFUNCTION("GoogleTranslate(C104, ""en"", ""lv"")"),"UV stari ir ārkārtīgi bīstami. Ja iespējams, izvairieties no došanās ārā šajā laikā, un, ja jums ir jāiziet ārā, veiciet visus iespējamos aizsardzības pasākumus.")</f>
        <v>UV stari ir ārkārtīgi bīstami. Ja iespējams, izvairieties no došanās ārā šajā laikā, un, ja jums ir jāiziet ārā, veiciet visus iespējamos aizsardzības pasākumus.</v>
      </c>
      <c r="AN104" s="3" t="str">
        <f>IFERROR(__xludf.DUMMYFUNCTION("GoogleTranslate(C104, ""en"", ""lt"")"),"UV spinduliai yra labai pavojingi. Jei įmanoma, venkite eiti į lauką, o jei turite išeiti, imkitės visų įmanomų apsaugos priemonių.")</f>
        <v>UV spinduliai yra labai pavojingi. Jei įmanoma, venkite eiti į lauką, o jei turite išeiti, imkitės visų įmanomų apsaugos priemonių.</v>
      </c>
      <c r="AO104" s="3" t="str">
        <f>IFERROR(__xludf.DUMMYFUNCTION("GoogleTranslate(C104, ""en"", ""mk"")"),"УВ зраците се исклучително опасни. Доколку е можно, избегнувајте да излегувате на отворено во ова време, а доколку морате да излезете, преземете ги сите можни заштитни мерки.")</f>
        <v>УВ зраците се исклучително опасни. Доколку е можно, избегнувајте да излегувате на отворено во ова време, а доколку морате да излезете, преземете ги сите можни заштитни мерки.</v>
      </c>
      <c r="AP104" s="3" t="str">
        <f>IFERROR(__xludf.DUMMYFUNCTION("GoogleTranslate(C104, ""en"", ""ms"")"),"Sinaran UV sangat berbahaya. Elakkan keluar rumah pada masa ini jika boleh, dan jika anda mesti keluar, ambil semua langkah perlindungan yang mungkin.")</f>
        <v>Sinaran UV sangat berbahaya. Elakkan keluar rumah pada masa ini jika boleh, dan jika anda mesti keluar, ambil semua langkah perlindungan yang mungkin.</v>
      </c>
      <c r="AQ104" s="3" t="str">
        <f>IFERROR(__xludf.DUMMYFUNCTION("GoogleTranslate(C104, ""en"", ""ml"")"),"അൾട്രാവയലറ്റ് രശ്മികൾ വളരെ അപകടകരമാണ്. സാധ്യമെങ്കിൽ ഈ സമയത്ത് വെളിയിൽ പോകുന്നത് ഒഴിവാക്കുക, പുറത്ത് പോകേണ്ടി വന്നാൽ സാധ്യമായ എല്ലാ സംരക്ഷണ നടപടികളും സ്വീകരിക്കുക.")</f>
        <v>അൾട്രാവയലറ്റ് രശ്മികൾ വളരെ അപകടകരമാണ്. സാധ്യമെങ്കിൽ ഈ സമയത്ത് വെളിയിൽ പോകുന്നത് ഒഴിവാക്കുക, പുറത്ത് പോകേണ്ടി വന്നാൽ സാധ്യമായ എല്ലാ സംരക്ഷണ നടപടികളും സ്വീകരിക്കുക.</v>
      </c>
      <c r="AR104" s="3" t="str">
        <f>IFERROR(__xludf.DUMMYFUNCTION("GoogleTranslate(C104, ""en"", ""mr"")"),"अतिनील किरण अत्यंत धोकादायक असतात. शक्य असल्यास या काळात घराबाहेर जाणे टाळा आणि जर तुम्हाला बाहेर जाणे आवश्यक असेल तर सर्व संभाव्य संरक्षणात्मक उपाय करा.")</f>
        <v>अतिनील किरण अत्यंत धोकादायक असतात. शक्य असल्यास या काळात घराबाहेर जाणे टाळा आणि जर तुम्हाला बाहेर जाणे आवश्यक असेल तर सर्व संभाव्य संरक्षणात्मक उपाय करा.</v>
      </c>
      <c r="AS104" s="3" t="str">
        <f>IFERROR(__xludf.DUMMYFUNCTION("GoogleTranslate(C104, ""en"", ""mn"")"),"Хэт ягаан туяа нь маш аюултай. Энэ хугацаанд боломжтой бол гадаа гарахаас зайлсхийж, гарах шаардлагатай бол хамгаалах бүх арга хэмжээг аваарай.")</f>
        <v>Хэт ягаан туяа нь маш аюултай. Энэ хугацаанд боломжтой бол гадаа гарахаас зайлсхийж, гарах шаардлагатай бол хамгаалах бүх арга хэмжээг аваарай.</v>
      </c>
      <c r="AT104" s="3" t="str">
        <f>IFERROR(__xludf.DUMMYFUNCTION("GoogleTranslate(C104, ""en"", ""ne"")"),"पराबैंगनी किरणहरू धेरै खतरनाक हुन्छन्। सम्भव भएसम्म यस समयमा बाहिर नजानुहोस्, र यदि तपाईं बाहिर जानु पर्छ भने, सबै सम्भावित सुरक्षा उपायहरू लिनुहोस्।")</f>
        <v>पराबैंगनी किरणहरू धेरै खतरनाक हुन्छन्। सम्भव भएसम्म यस समयमा बाहिर नजानुहोस्, र यदि तपाईं बाहिर जानु पर्छ भने, सबै सम्भावित सुरक्षा उपायहरू लिनुहोस्।</v>
      </c>
      <c r="AU104" s="3" t="str">
        <f>IFERROR(__xludf.DUMMYFUNCTION("GoogleTranslate(C104, ""en"", ""nb"")"),"UV-stråler er ekstremt farlige. Unngå å gå utendørs i løpet av denne tiden hvis mulig, og hvis du må gå ut, ta alle mulige beskyttelsestiltak.")</f>
        <v>UV-stråler er ekstremt farlige. Unngå å gå utendørs i løpet av denne tiden hvis mulig, og hvis du må gå ut, ta alle mulige beskyttelsestiltak.</v>
      </c>
      <c r="AV104" s="3" t="str">
        <f>IFERROR(__xludf.DUMMYFUNCTION("GoogleTranslate(C104, ""en"", ""fa"")"),"اشعه ماوراء بنفش بسیار خطرناک است. در صورت امکان از بیرون رفتن در این مدت خودداری کنید و اگر مجبورید بیرون بروید، تمام اقدامات حفاظتی ممکن را انجام دهید.")</f>
        <v>اشعه ماوراء بنفش بسیار خطرناک است. در صورت امکان از بیرون رفتن در این مدت خودداری کنید و اگر مجبورید بیرون بروید، تمام اقدامات حفاظتی ممکن را انجام دهید.</v>
      </c>
      <c r="AW104" s="3" t="str">
        <f>IFERROR(__xludf.DUMMYFUNCTION("GoogleTranslate(C104, ""en"", ""pl"")"),"Promienie UV są niezwykle niebezpieczne. Jeśli to możliwe, unikaj wychodzenia na zewnątrz w tym czasie, a jeśli musisz, zastosuj wszelkie możliwe środki ostrożności.")</f>
        <v>Promienie UV są niezwykle niebezpieczne. Jeśli to możliwe, unikaj wychodzenia na zewnątrz w tym czasie, a jeśli musisz, zastosuj wszelkie możliwe środki ostrożności.</v>
      </c>
      <c r="AX104" s="3" t="str">
        <f>IFERROR(__xludf.DUMMYFUNCTION("GoogleTranslate(C104, ""en"", ""pt"")"),"Os raios UV são extremamente perigosos. Evite sair de casa durante esse período, se possível, e se precisar sair, tome todas as medidas de proteção possíveis.")</f>
        <v>Os raios UV são extremamente perigosos. Evite sair de casa durante esse período, se possível, e se precisar sair, tome todas as medidas de proteção possíveis.</v>
      </c>
      <c r="AY104" s="3" t="str">
        <f>IFERROR(__xludf.DUMMYFUNCTION("GoogleTranslate(C104, ""en"", ""ro"")"),"Razele UV sunt extrem de periculoase. Evitați să ieșiți în aer liber în această perioadă dacă este posibil, iar dacă trebuie să ieșiți, luați toate măsurile de protecție posibile.")</f>
        <v>Razele UV sunt extrem de periculoase. Evitați să ieșiți în aer liber în această perioadă dacă este posibil, iar dacă trebuie să ieșiți, luați toate măsurile de protecție posibile.</v>
      </c>
      <c r="AZ104" s="3" t="str">
        <f>IFERROR(__xludf.DUMMYFUNCTION("GoogleTranslate(C104, ""en"", ""ru"")"),"УФ-лучи чрезвычайно опасны. По возможности избегайте выхода на улицу в это время, а если вам необходимо выйти на улицу, примите все возможные меры защиты.")</f>
        <v>УФ-лучи чрезвычайно опасны. По возможности избегайте выхода на улицу в это время, а если вам необходимо выйти на улицу, примите все возможные меры защиты.</v>
      </c>
      <c r="BA104" s="3" t="str">
        <f>IFERROR(__xludf.DUMMYFUNCTION("GoogleTranslate(C104, ""en"", ""sr"")"),"УВ зраци су изузетно опасни. Избегавајте да излазите напоље током овог времена ако је могуће, а ако морате да изађете, предузмите све могуће заштитне мере.")</f>
        <v>УВ зраци су изузетно опасни. Избегавајте да излазите напоље током овог времена ако је могуће, а ако морате да изађете, предузмите све могуће заштитне мере.</v>
      </c>
      <c r="BB104" s="3" t="str">
        <f>IFERROR(__xludf.DUMMYFUNCTION("GoogleTranslate(C104, ""en"", ""si"")"),"පාරජම්බුල කිරණ අතිශයින්ම භයානකයි. හැකි නම්, මෙම කාලය තුළ එළිමහනේ යාමෙන් වළකින්න, ඔබ පිටතට යා යුතු නම්, හැකි සෑම ආරක්ෂක පියවරක්ම ගන්න.")</f>
        <v>පාරජම්බුල කිරණ අතිශයින්ම භයානකයි. හැකි නම්, මෙම කාලය තුළ එළිමහනේ යාමෙන් වළකින්න, ඔබ පිටතට යා යුතු නම්, හැකි සෑම ආරක්ෂක පියවරක්ම ගන්න.</v>
      </c>
      <c r="BC104" s="3" t="str">
        <f>IFERROR(__xludf.DUMMYFUNCTION("GoogleTranslate(C104, ""en"", ""sk"")"),"UV žiarenie je mimoriadne nebezpečné. Ak je to možné, vyhnite sa v tomto čase vonku a ak musíte ísť von, urobte všetky možné ochranné opatrenia.")</f>
        <v>UV žiarenie je mimoriadne nebezpečné. Ak je to možné, vyhnite sa v tomto čase vonku a ak musíte ísť von, urobte všetky možné ochranné opatrenia.</v>
      </c>
      <c r="BD104" s="3" t="str">
        <f>IFERROR(__xludf.DUMMYFUNCTION("GoogleTranslate(C104, ""en"", ""sl"")"),"UV žarki so izjemno nevarni. Če je le mogoče, se v tem času izogibajte izhodu na prosto, če pa že morate ven, poskrbite za vse možne zaščitne ukrepe.")</f>
        <v>UV žarki so izjemno nevarni. Če je le mogoče, se v tem času izogibajte izhodu na prosto, če pa že morate ven, poskrbite za vse možne zaščitne ukrepe.</v>
      </c>
      <c r="BE104" s="3" t="str">
        <f>IFERROR(__xludf.DUMMYFUNCTION("GoogleTranslate(C104, ""en"", ""es"")"),"Los rayos ultravioleta son extremadamente peligrosos. Evite salir al aire libre durante este tiempo si es posible, y si debe salir, tome todas las medidas de protección posibles.")</f>
        <v>Los rayos ultravioleta son extremadamente peligrosos. Evite salir al aire libre durante este tiempo si es posible, y si debe salir, tome todas las medidas de protección posibles.</v>
      </c>
      <c r="BF104" s="3" t="str">
        <f>IFERROR(__xludf.DUMMYFUNCTION("GoogleTranslate(C104, ""en"", ""sw"")"),"Mionzi ya UV ni hatari sana. Epuka kwenda nje wakati huu ikiwezekana, na ikiwa ni lazima utoke nje, chukua hatua zote za ulinzi zinazowezekana.")</f>
        <v>Mionzi ya UV ni hatari sana. Epuka kwenda nje wakati huu ikiwezekana, na ikiwa ni lazima utoke nje, chukua hatua zote za ulinzi zinazowezekana.</v>
      </c>
      <c r="BG104" s="3" t="str">
        <f>IFERROR(__xludf.DUMMYFUNCTION("GoogleTranslate(C104, ""en"", ""sv"")"),"UV-strålar är extremt farliga. Undvik att gå utomhus under denna tid om möjligt, och om du måste gå ut, vidta alla möjliga skyddsåtgärder.")</f>
        <v>UV-strålar är extremt farliga. Undvik att gå utomhus under denna tid om möjligt, och om du måste gå ut, vidta alla möjliga skyddsåtgärder.</v>
      </c>
      <c r="BH104" s="3" t="str">
        <f>IFERROR(__xludf.DUMMYFUNCTION("GoogleTranslate(C104, ""en"", ""te"")"),"UV కిరణాలు చాలా ప్రమాదకరమైనవి. వీలైతే ఈ సమయంలో ఆరుబయట వెళ్లడం మానుకోండి మరియు మీరు తప్పనిసరిగా బయటకు వెళ్లినట్లయితే, సాధ్యమైన అన్ని రక్షణ చర్యలను తీసుకోండి.")</f>
        <v>UV కిరణాలు చాలా ప్రమాదకరమైనవి. వీలైతే ఈ సమయంలో ఆరుబయట వెళ్లడం మానుకోండి మరియు మీరు తప్పనిసరిగా బయటకు వెళ్లినట్లయితే, సాధ్యమైన అన్ని రక్షణ చర్యలను తీసుకోండి.</v>
      </c>
      <c r="BI104" s="3" t="str">
        <f>IFERROR(__xludf.DUMMYFUNCTION("GoogleTranslate(C104, ""en"", ""th"")"),"รังสียูวีเป็นอันตรายอย่างยิ่ง หลีกเลี่ยงการออกไปกลางแจ้งในช่วงเวลานี้หากเป็นไปได้ และหากคุณต้องออกไปข้างนอก ให้ใช้มาตรการป้องกันที่เป็นไปได้ทั้งหมด")</f>
        <v>รังสียูวีเป็นอันตรายอย่างยิ่ง หลีกเลี่ยงการออกไปกลางแจ้งในช่วงเวลานี้หากเป็นไปได้ และหากคุณต้องออกไปข้างนอก ให้ใช้มาตรการป้องกันที่เป็นไปได้ทั้งหมด</v>
      </c>
      <c r="BJ104" s="3" t="str">
        <f>IFERROR(__xludf.DUMMYFUNCTION("GoogleTranslate(C104, ""en"", ""tr"")"),"UV ışınları son derece tehlikelidir. Bu süre zarfında mümkünse dışarı çıkmaktan kaçının ve dışarı çıkmanız gerekiyorsa mümkün olan tüm koruyucu önlemleri alın.")</f>
        <v>UV ışınları son derece tehlikelidir. Bu süre zarfında mümkünse dışarı çıkmaktan kaçının ve dışarı çıkmanız gerekiyorsa mümkün olan tüm koruyucu önlemleri alın.</v>
      </c>
      <c r="BK104" s="3" t="str">
        <f>IFERROR(__xludf.DUMMYFUNCTION("GoogleTranslate(C104, ""en"", ""uk"")"),"УФ-промені надзвичайно небезпечні. Уникайте виходу на вулицю в цей час, якщо це можливо, і якщо вам потрібно вийти, вживайте всіх можливих заходів захисту.")</f>
        <v>УФ-промені надзвичайно небезпечні. Уникайте виходу на вулицю в цей час, якщо це можливо, і якщо вам потрібно вийти, вживайте всіх можливих заходів захисту.</v>
      </c>
      <c r="BL104" s="3" t="str">
        <f>IFERROR(__xludf.DUMMYFUNCTION("GoogleTranslate(C104, ""en"", ""zu"")"),"Imisebe ye-UV iyingozi kakhulu. Gwema ukuphuma ngaphandle ngalesi sikhathi uma kungenzeka, futhi uma kufanele uphume, thatha zonke izinyathelo zokuzivikela.")</f>
        <v>Imisebe ye-UV iyingozi kakhulu. Gwema ukuphuma ngaphandle ngalesi sikhathi uma kungenzeka, futhi uma kufanele uphume, thatha zonke izinyathelo zokuzivikela.</v>
      </c>
    </row>
    <row r="105">
      <c r="A105" s="1" t="str">
        <f t="shared" si="1"/>
        <v>Weather_forecast_{name}_for_the_next_7_days.</v>
      </c>
      <c r="B105" s="4" t="s">
        <v>162</v>
      </c>
      <c r="C105" s="1" t="str">
        <f t="shared" si="2"/>
        <v>Weather forecast {name} for the next 7 days.</v>
      </c>
      <c r="D105" s="3" t="str">
        <f>IFERROR(__xludf.DUMMYFUNCTION("GoogleTranslate(C105, ""en"", ""es"")"),"Previsión meteorológica {nombre} para los próximos 7 días.")</f>
        <v>Previsión meteorológica {nombre} para los próximos 7 días.</v>
      </c>
      <c r="E105" s="3" t="str">
        <f>IFERROR(__xludf.DUMMYFUNCTION("GoogleTranslate(C105, ""en"", ""ar"")"),"توقعات الطقس {name} للأيام السبعة القادمة.")</f>
        <v>توقعات الطقس {name} للأيام السبعة القادمة.</v>
      </c>
      <c r="F105" s="3" t="str">
        <f>IFERROR(__xludf.DUMMYFUNCTION("GoogleTranslate(C105, ""en"", ""hy"")"),"Եղանակի կանխատեսում {name} առաջիկա 7 օրվա համար։")</f>
        <v>Եղանակի կանխատեսում {name} առաջիկա 7 օրվա համար։</v>
      </c>
      <c r="G105" s="3" t="str">
        <f>IFERROR(__xludf.DUMMYFUNCTION("GoogleTranslate(C105, ""en"", ""vi"")"),"Dự báo thời tiết {name} trong 7 ngày tới.")</f>
        <v>Dự báo thời tiết {name} trong 7 ngày tới.</v>
      </c>
      <c r="H105" s="3" t="str">
        <f>IFERROR(__xludf.DUMMYFUNCTION("GoogleTranslate(C105, ""en"", ""az"")"),"Növbəti 7 gün üçün {name} hava proqnozu.")</f>
        <v>Növbəti 7 gün üçün {name} hava proqnozu.</v>
      </c>
      <c r="I105" s="3" t="str">
        <f>IFERROR(__xludf.DUMMYFUNCTION("GoogleTranslate(C105, ""en"", ""eu"")"),"{name} eguraldiaren iragarpena hurrengo 7 egunetarako.")</f>
        <v>{name} eguraldiaren iragarpena hurrengo 7 egunetarako.</v>
      </c>
      <c r="J105" s="3" t="str">
        <f>IFERROR(__xludf.DUMMYFUNCTION("GoogleTranslate(C105, ""en"", ""be"")"),"Прагноз надвор'я {name} на наступныя 7 дзён.")</f>
        <v>Прагноз надвор'я {name} на наступныя 7 дзён.</v>
      </c>
      <c r="K105" s="3" t="str">
        <f>IFERROR(__xludf.DUMMYFUNCTION("GoogleTranslate(C105, ""en"", ""bn"")"),"আগামী ৭ দিনের আবহাওয়ার পূর্বাভাস {name}।")</f>
        <v>আগামী ৭ দিনের আবহাওয়ার পূর্বাভাস {name}।</v>
      </c>
      <c r="L105" s="3" t="str">
        <f>IFERROR(__xludf.DUMMYFUNCTION("GoogleTranslate(C105, ""en"", ""bg"")"),"Прогноза за времето {name} за следващите 7 дни.")</f>
        <v>Прогноза за времето {name} за следващите 7 дни.</v>
      </c>
      <c r="M105" s="3" t="str">
        <f>IFERROR(__xludf.DUMMYFUNCTION("GoogleTranslate(C105, ""en"", ""my"")"),"နောက် ၇ ရက်အတွက် မိုးလေဝသခန့်မှန်းချက် {name}။")</f>
        <v>နောက် ၇ ရက်အတွက် မိုးလေဝသခန့်မှန်းချက် {name}။</v>
      </c>
      <c r="N105" s="3" t="str">
        <f>IFERROR(__xludf.DUMMYFUNCTION("GoogleTranslate(C105, ""en"", ""ca"")"),"Previsió meteorològica {name} per als propers 7 dies.")</f>
        <v>Previsió meteorològica {name} per als propers 7 dies.</v>
      </c>
      <c r="O105" s="3" t="str">
        <f>IFERROR(__xludf.DUMMYFUNCTION("GoogleTranslate(C105, ""en"", ""zh-cn"")"),"未来 7 天的天气预报 {name}。")</f>
        <v>未来 7 天的天气预报 {name}。</v>
      </c>
      <c r="P105" s="3" t="str">
        <f>IFERROR(__xludf.DUMMYFUNCTION("GoogleTranslate(C105, ""en"", ""zh-TW"")"),"未來 7 天的天氣預報 {name}。")</f>
        <v>未來 7 天的天氣預報 {name}。</v>
      </c>
      <c r="Q105" s="3" t="str">
        <f>IFERROR(__xludf.DUMMYFUNCTION("GoogleTranslate(C105, ""en"", ""hr"")"),"Vremenska prognoza {name} za sljedećih 7 dana.")</f>
        <v>Vremenska prognoza {name} za sljedećih 7 dana.</v>
      </c>
      <c r="R105" s="3" t="str">
        <f>IFERROR(__xludf.DUMMYFUNCTION("GoogleTranslate(C105, ""en"", ""cs"")"),"Předpověď počasí {name} na příštích 7 dní.")</f>
        <v>Předpověď počasí {name} na příštích 7 dní.</v>
      </c>
      <c r="S105" s="3" t="str">
        <f>IFERROR(__xludf.DUMMYFUNCTION("GoogleTranslate(C105, ""en"", ""da"")"),"Vejrudsigt {name} for de næste 7 dage.")</f>
        <v>Vejrudsigt {name} for de næste 7 dage.</v>
      </c>
      <c r="T105" s="3" t="str">
        <f>IFERROR(__xludf.DUMMYFUNCTION("GoogleTranslate(C105, ""en"", ""nl"")"),"Weersverwachting {naam} voor de komende 7 dagen.")</f>
        <v>Weersverwachting {naam} voor de komende 7 dagen.</v>
      </c>
      <c r="U105" s="3" t="str">
        <f>IFERROR(__xludf.DUMMYFUNCTION("GoogleTranslate(C105, ""en"", ""et"")"),"Ilmaprognoos {name} järgmiseks 7 päevaks.")</f>
        <v>Ilmaprognoos {name} järgmiseks 7 päevaks.</v>
      </c>
      <c r="V105" s="1" t="str">
        <f t="shared" si="3"/>
        <v>Weather forecast {name} for the next 7 days.</v>
      </c>
      <c r="W105" s="3" t="str">
        <f>IFERROR(__xludf.DUMMYFUNCTION("GoogleTranslate(C105, ""en"", ""fi"")"),"Sääennuste {name} seuraaville 7 päivälle.")</f>
        <v>Sääennuste {name} seuraaville 7 päivälle.</v>
      </c>
      <c r="X105" s="3" t="str">
        <f>IFERROR(__xludf.DUMMYFUNCTION("GoogleTranslate(C105, ""en"", ""fr"")"),"Prévisions météo {name} pour les 7 prochains jours.")</f>
        <v>Prévisions météo {name} pour les 7 prochains jours.</v>
      </c>
      <c r="Y105" s="3" t="str">
        <f>IFERROR(__xludf.DUMMYFUNCTION("GoogleTranslate(C105, ""en"", ""de"")"),"Wettervorhersage {name} für die nächsten 7 Tage.")</f>
        <v>Wettervorhersage {name} für die nächsten 7 Tage.</v>
      </c>
      <c r="Z105" s="3" t="str">
        <f>IFERROR(__xludf.DUMMYFUNCTION("GoogleTranslate(C105, ""en"", ""el"")"),"Πρόγνωση καιρού {name} για τις επόμενες 7 ημέρες.")</f>
        <v>Πρόγνωση καιρού {name} για τις επόμενες 7 ημέρες.</v>
      </c>
      <c r="AA105" s="3" t="str">
        <f>IFERROR(__xludf.DUMMYFUNCTION("GoogleTranslate(C105, ""en"", ""iw"")"),"תחזית מזג האוויר {name} ל-7 הימים הבאים.")</f>
        <v>תחזית מזג האוויר {name} ל-7 הימים הבאים.</v>
      </c>
      <c r="AB105" s="3" t="str">
        <f>IFERROR(__xludf.DUMMYFUNCTION("GoogleTranslate(C105, ""en"", ""hi"")"),"अगले 7 दिनों के लिए मौसम का पूर्वानुमान {नाम}।")</f>
        <v>अगले 7 दिनों के लिए मौसम का पूर्वानुमान {नाम}।</v>
      </c>
      <c r="AC105" s="3" t="str">
        <f>IFERROR(__xludf.DUMMYFUNCTION("GoogleTranslate(C105, ""en"", ""hu"")"),"Időjárás előrejelzés {name} a következő 7 napra.")</f>
        <v>Időjárás előrejelzés {name} a következő 7 napra.</v>
      </c>
      <c r="AD105" s="3" t="str">
        <f>IFERROR(__xludf.DUMMYFUNCTION("GoogleTranslate(C105, ""en"", ""is"")"),"Veðurspá {name} fyrir næstu 7 daga.")</f>
        <v>Veðurspá {name} fyrir næstu 7 daga.</v>
      </c>
      <c r="AE105" s="3" t="str">
        <f>IFERROR(__xludf.DUMMYFUNCTION("GoogleTranslate(C105, ""en"", ""id"")"),"Prakiraan cuaca {name} untuk 7 hari ke depan.")</f>
        <v>Prakiraan cuaca {name} untuk 7 hari ke depan.</v>
      </c>
      <c r="AF105" s="3" t="str">
        <f>IFERROR(__xludf.DUMMYFUNCTION("GoogleTranslate(C105, ""en"", ""in"")"),"Prakiraan cuaca {name} untuk 7 hari ke depan.")</f>
        <v>Prakiraan cuaca {name} untuk 7 hari ke depan.</v>
      </c>
      <c r="AG105" s="3" t="str">
        <f>IFERROR(__xludf.DUMMYFUNCTION("GoogleTranslate(C105, ""en"", ""it"")"),"Previsioni meteo {name} per i prossimi 7 giorni.")</f>
        <v>Previsioni meteo {name} per i prossimi 7 giorni.</v>
      </c>
      <c r="AH105" s="3" t="str">
        <f>IFERROR(__xludf.DUMMYFUNCTION("GoogleTranslate(C105, ""en"", ""ja"")"),"今後 7 日間の {name} の天気予報。")</f>
        <v>今後 7 日間の {name} の天気予報。</v>
      </c>
      <c r="AI105" s="3" t="str">
        <f>IFERROR(__xludf.DUMMYFUNCTION("GoogleTranslate(C105, ""en"", ""kn"")"),"ಮುಂದಿನ 7 ದಿನಗಳವರೆಗೆ {name} ಹವಾಮಾನ ಮುನ್ಸೂಚನೆ.")</f>
        <v>ಮುಂದಿನ 7 ದಿನಗಳವರೆಗೆ {name} ಹವಾಮಾನ ಮುನ್ಸೂಚನೆ.</v>
      </c>
      <c r="AJ105" s="3" t="str">
        <f>IFERROR(__xludf.DUMMYFUNCTION("GoogleTranslate(C105, ""en"", ""km"")"),"ការព្យាករណ៍អាកាសធាតុ {name} សម្រាប់ 7 ថ្ងៃបន្ទាប់។")</f>
        <v>ការព្យាករណ៍អាកាសធាតុ {name} សម្រាប់ 7 ថ្ងៃបន្ទាប់។</v>
      </c>
      <c r="AK105" s="3" t="str">
        <f>IFERROR(__xludf.DUMMYFUNCTION("GoogleTranslate(C105, ""en"", ""ko"")"),"앞으로 7일 동안의 일기 예보 {name}입니다.")</f>
        <v>앞으로 7일 동안의 일기 예보 {name}입니다.</v>
      </c>
      <c r="AL105" s="3" t="str">
        <f>IFERROR(__xludf.DUMMYFUNCTION("GoogleTranslate(C105, ""en"", ""lo"")"),"ພະຍາກອນອາກາດ {name} ສໍາລັບ 7 ມື້ຕໍ່ໄປ.")</f>
        <v>ພະຍາກອນອາກາດ {name} ສໍາລັບ 7 ມື້ຕໍ່ໄປ.</v>
      </c>
      <c r="AM105" s="3" t="str">
        <f>IFERROR(__xludf.DUMMYFUNCTION("GoogleTranslate(C105, ""en"", ""lv"")"),"Laika prognoze {name} nākamajām 7 dienām.")</f>
        <v>Laika prognoze {name} nākamajām 7 dienām.</v>
      </c>
      <c r="AN105" s="3" t="str">
        <f>IFERROR(__xludf.DUMMYFUNCTION("GoogleTranslate(C105, ""en"", ""lt"")"),"Orų prognozė {name} ateinančioms 7 dienoms.")</f>
        <v>Orų prognozė {name} ateinančioms 7 dienoms.</v>
      </c>
      <c r="AO105" s="3" t="str">
        <f>IFERROR(__xludf.DUMMYFUNCTION("GoogleTranslate(C105, ""en"", ""mk"")"),"Временска прогноза {name} за следните 7 дена.")</f>
        <v>Временска прогноза {name} за следните 7 дена.</v>
      </c>
      <c r="AP105" s="3" t="str">
        <f>IFERROR(__xludf.DUMMYFUNCTION("GoogleTranslate(C105, ""en"", ""ms"")"),"Ramalan cuaca {name} untuk 7 hari seterusnya.")</f>
        <v>Ramalan cuaca {name} untuk 7 hari seterusnya.</v>
      </c>
      <c r="AQ105" s="3" t="str">
        <f>IFERROR(__xludf.DUMMYFUNCTION("GoogleTranslate(C105, ""en"", ""ml"")"),"അടുത്ത 7 ദിവസത്തേക്കുള്ള കാലാവസ്ഥാ പ്രവചനം {name}.")</f>
        <v>അടുത്ത 7 ദിവസത്തേക്കുള്ള കാലാവസ്ഥാ പ്രവചനം {name}.</v>
      </c>
      <c r="AR105" s="3" t="str">
        <f>IFERROR(__xludf.DUMMYFUNCTION("GoogleTranslate(C105, ""en"", ""mr"")"),"पुढील ७ दिवसांसाठी हवामान अंदाज {name}.")</f>
        <v>पुढील ७ दिवसांसाठी हवामान अंदाज {name}.</v>
      </c>
      <c r="AS105" s="3" t="str">
        <f>IFERROR(__xludf.DUMMYFUNCTION("GoogleTranslate(C105, ""en"", ""mn"")"),"Дараагийн 7 хоногийн цаг агаарын урьдчилсан мэдээ {name}.")</f>
        <v>Дараагийн 7 хоногийн цаг агаарын урьдчилсан мэдээ {name}.</v>
      </c>
      <c r="AT105" s="3" t="str">
        <f>IFERROR(__xludf.DUMMYFUNCTION("GoogleTranslate(C105, ""en"", ""ne"")"),"आगामी ७ दिनको मौसम पूर्वानुमान {name}।")</f>
        <v>आगामी ७ दिनको मौसम पूर्वानुमान {name}।</v>
      </c>
      <c r="AU105" s="3" t="str">
        <f>IFERROR(__xludf.DUMMYFUNCTION("GoogleTranslate(C105, ""en"", ""nb"")"),"Værmelding {name} for de neste 7 dagene.")</f>
        <v>Værmelding {name} for de neste 7 dagene.</v>
      </c>
      <c r="AV105" s="3" t="str">
        <f>IFERROR(__xludf.DUMMYFUNCTION("GoogleTranslate(C105, ""en"", ""fa"")"),"پیش بینی آب و هوا {name} برای 7 روز آینده.")</f>
        <v>پیش بینی آب و هوا {name} برای 7 روز آینده.</v>
      </c>
      <c r="AW105" s="3" t="str">
        <f>IFERROR(__xludf.DUMMYFUNCTION("GoogleTranslate(C105, ""en"", ""pl"")"),"Prognoza pogody {name} na następne 7 dni.")</f>
        <v>Prognoza pogody {name} na następne 7 dni.</v>
      </c>
      <c r="AX105" s="3" t="str">
        <f>IFERROR(__xludf.DUMMYFUNCTION("GoogleTranslate(C105, ""en"", ""pt"")"),"Previsão do tempo {nome} para os próximos 7 dias.")</f>
        <v>Previsão do tempo {nome} para os próximos 7 dias.</v>
      </c>
      <c r="AY105" s="3" t="str">
        <f>IFERROR(__xludf.DUMMYFUNCTION("GoogleTranslate(C105, ""en"", ""ro"")"),"Prognoza meteo {name} pentru următoarele 7 zile.")</f>
        <v>Prognoza meteo {name} pentru următoarele 7 zile.</v>
      </c>
      <c r="AZ105" s="3" t="str">
        <f>IFERROR(__xludf.DUMMYFUNCTION("GoogleTranslate(C105, ""en"", ""ru"")"),"Прогноз погоды {имя} на ближайшие 7 дней.")</f>
        <v>Прогноз погоды {имя} на ближайшие 7 дней.</v>
      </c>
      <c r="BA105" s="3" t="str">
        <f>IFERROR(__xludf.DUMMYFUNCTION("GoogleTranslate(C105, ""en"", ""sr"")"),"Временска прогноза {наме} за наредних 7 дана.")</f>
        <v>Временска прогноза {наме} за наредних 7 дана.</v>
      </c>
      <c r="BB105" s="3" t="str">
        <f>IFERROR(__xludf.DUMMYFUNCTION("GoogleTranslate(C105, ""en"", ""si"")"),"ඉදිරි දින 7 සඳහා කාලගුණ අනාවැකිය {name}.")</f>
        <v>ඉදිරි දින 7 සඳහා කාලගුණ අනාවැකිය {name}.</v>
      </c>
      <c r="BC105" s="3" t="str">
        <f>IFERROR(__xludf.DUMMYFUNCTION("GoogleTranslate(C105, ""en"", ""sk"")"),"Predpoveď počasia {name} na nasledujúcich 7 dní.")</f>
        <v>Predpoveď počasia {name} na nasledujúcich 7 dní.</v>
      </c>
      <c r="BD105" s="3" t="str">
        <f>IFERROR(__xludf.DUMMYFUNCTION("GoogleTranslate(C105, ""en"", ""sl"")"),"Vremenska napoved {name} za naslednjih 7 dni.")</f>
        <v>Vremenska napoved {name} za naslednjih 7 dni.</v>
      </c>
      <c r="BE105" s="3" t="str">
        <f>IFERROR(__xludf.DUMMYFUNCTION("GoogleTranslate(C105, ""en"", ""es"")"),"Previsión meteorológica {nombre} para los próximos 7 días.")</f>
        <v>Previsión meteorológica {nombre} para los próximos 7 días.</v>
      </c>
      <c r="BF105" s="3" t="str">
        <f>IFERROR(__xludf.DUMMYFUNCTION("GoogleTranslate(C105, ""en"", ""sw"")"),"Utabiri wa hali ya hewa {name} kwa siku 7 zijazo.")</f>
        <v>Utabiri wa hali ya hewa {name} kwa siku 7 zijazo.</v>
      </c>
      <c r="BG105" s="3" t="str">
        <f>IFERROR(__xludf.DUMMYFUNCTION("GoogleTranslate(C105, ""en"", ""sv"")"),"Väderprognos {name} för de kommande 7 dagarna.")</f>
        <v>Väderprognos {name} för de kommande 7 dagarna.</v>
      </c>
      <c r="BH105" s="3" t="str">
        <f>IFERROR(__xludf.DUMMYFUNCTION("GoogleTranslate(C105, ""en"", ""te"")"),"రాబోయే 7 రోజులలో {name} వాతావరణ సూచన.")</f>
        <v>రాబోయే 7 రోజులలో {name} వాతావరణ సూచన.</v>
      </c>
      <c r="BI105" s="3" t="str">
        <f>IFERROR(__xludf.DUMMYFUNCTION("GoogleTranslate(C105, ""en"", ""th"")"),"พยากรณ์อากาศ {name} ในอีก 7 วันข้างหน้า")</f>
        <v>พยากรณ์อากาศ {name} ในอีก 7 วันข้างหน้า</v>
      </c>
      <c r="BJ105" s="3" t="str">
        <f>IFERROR(__xludf.DUMMYFUNCTION("GoogleTranslate(C105, ""en"", ""tr"")"),"Önümüzdeki 7 gün için {name} hava durumu tahmini.")</f>
        <v>Önümüzdeki 7 gün için {name} hava durumu tahmini.</v>
      </c>
      <c r="BK105" s="3" t="str">
        <f>IFERROR(__xludf.DUMMYFUNCTION("GoogleTranslate(C105, ""en"", ""uk"")"),"Прогноз погоди {name} на наступні 7 днів.")</f>
        <v>Прогноз погоди {name} на наступні 7 днів.</v>
      </c>
      <c r="BL105" s="3" t="str">
        <f>IFERROR(__xludf.DUMMYFUNCTION("GoogleTranslate(C105, ""en"", ""zu"")"),"Isibikezelo sezulu {name} sezinsuku ezingu-7 ezilandelayo.")</f>
        <v>Isibikezelo sezulu {name} sezinsuku ezingu-7 ezilandelayo.</v>
      </c>
    </row>
    <row r="106">
      <c r="A106" s="1" t="str">
        <f t="shared" si="1"/>
        <v>Temperature_and_chance_of_rain_in_{name}_in_the_next_7_days</v>
      </c>
      <c r="B106" s="4" t="s">
        <v>163</v>
      </c>
      <c r="C106" s="1" t="str">
        <f t="shared" si="2"/>
        <v>Temperature and chance of rain in {name} in the next 7 days</v>
      </c>
      <c r="D106" s="3" t="str">
        <f>IFERROR(__xludf.DUMMYFUNCTION("GoogleTranslate(C106, ""en"", ""es"")"),"Temperatura y probabilidad de lluvia en {nombre} en los próximos 7 días")</f>
        <v>Temperatura y probabilidad de lluvia en {nombre} en los próximos 7 días</v>
      </c>
      <c r="E106" s="3" t="str">
        <f>IFERROR(__xludf.DUMMYFUNCTION("GoogleTranslate(C106, ""en"", ""ar"")"),"درجة الحرارة واحتمال هطول الأمطار في {الاسم} خلال السبعة أيام القادمة")</f>
        <v>درجة الحرارة واحتمال هطول الأمطار في {الاسم} خلال السبعة أيام القادمة</v>
      </c>
      <c r="F106" s="3" t="str">
        <f>IFERROR(__xludf.DUMMYFUNCTION("GoogleTranslate(C106, ""en"", ""hy"")"),"Ջերմաստիճանը և անձրևի հավանականությունը {name}-ում առաջիկա 7 օրվա ընթացքում")</f>
        <v>Ջերմաստիճանը և անձրևի հավանականությունը {name}-ում առաջիկա 7 օրվա ընթացքում</v>
      </c>
      <c r="G106" s="3" t="str">
        <f>IFERROR(__xludf.DUMMYFUNCTION("GoogleTranslate(C106, ""en"", ""vi"")"),"Nhiệt độ và khả năng có mưa ở {name} trong 7 ngày tới")</f>
        <v>Nhiệt độ và khả năng có mưa ở {name} trong 7 ngày tới</v>
      </c>
      <c r="H106" s="3" t="str">
        <f>IFERROR(__xludf.DUMMYFUNCTION("GoogleTranslate(C106, ""en"", ""az"")"),"Növbəti 7 gündə {name} ərazisində temperatur və yağış ehtimalı")</f>
        <v>Növbəti 7 gündə {name} ərazisində temperatur və yağış ehtimalı</v>
      </c>
      <c r="I106" s="3" t="str">
        <f>IFERROR(__xludf.DUMMYFUNCTION("GoogleTranslate(C106, ""en"", ""eu"")"),"Tenperatura eta euria egiteko aukera {name}n hurrengo 7 egunetan")</f>
        <v>Tenperatura eta euria egiteko aukera {name}n hurrengo 7 egunetan</v>
      </c>
      <c r="J106" s="3" t="str">
        <f>IFERROR(__xludf.DUMMYFUNCTION("GoogleTranslate(C106, ""en"", ""be"")"),"Тэмпература і верагоднасць дажджу ў {name} у наступныя 7 дзён")</f>
        <v>Тэмпература і верагоднасць дажджу ў {name} у наступныя 7 дзён</v>
      </c>
      <c r="K106" s="3" t="str">
        <f>IFERROR(__xludf.DUMMYFUNCTION("GoogleTranslate(C106, ""en"", ""bn"")"),"আগামী ৭ দিনে {name}-এ তাপমাত্রা এবং বৃষ্টির সম্ভাবনা")</f>
        <v>আগামী ৭ দিনে {name}-এ তাপমাত্রা এবং বৃষ্টির সম্ভাবনা</v>
      </c>
      <c r="L106" s="3" t="str">
        <f>IFERROR(__xludf.DUMMYFUNCTION("GoogleTranslate(C106, ""en"", ""bg"")"),"Температура и вероятност за дъжд в {name} през следващите 7 дни")</f>
        <v>Температура и вероятност за дъжд в {name} през следващите 7 дни</v>
      </c>
      <c r="M106" s="3" t="str">
        <f>IFERROR(__xludf.DUMMYFUNCTION("GoogleTranslate(C106, ""en"", ""my"")"),"နောက် ၇ ရက်အတွင်း {name} တွင် အပူချိန်နှင့် မိုးရွာနိုင်ခြေ")</f>
        <v>နောက် ၇ ရက်အတွင်း {name} တွင် အပူချိန်နှင့် မိုးရွာနိုင်ခြေ</v>
      </c>
      <c r="N106" s="3" t="str">
        <f>IFERROR(__xludf.DUMMYFUNCTION("GoogleTranslate(C106, ""en"", ""ca"")"),"Temperatura i probabilitat de pluja a {name} durant els propers 7 dies")</f>
        <v>Temperatura i probabilitat de pluja a {name} durant els propers 7 dies</v>
      </c>
      <c r="O106" s="3" t="str">
        <f>IFERROR(__xludf.DUMMYFUNCTION("GoogleTranslate(C106, ""en"", ""zh-cn"")"),"未来 7 天内{name} 的气温和下雨概率")</f>
        <v>未来 7 天内{name} 的气温和下雨概率</v>
      </c>
      <c r="P106" s="3" t="str">
        <f>IFERROR(__xludf.DUMMYFUNCTION("GoogleTranslate(C106, ""en"", ""zh-TW"")"),"未來 7 天內{name} 的氣溫和下雨機率")</f>
        <v>未來 7 天內{name} 的氣溫和下雨機率</v>
      </c>
      <c r="Q106" s="3" t="str">
        <f>IFERROR(__xludf.DUMMYFUNCTION("GoogleTranslate(C106, ""en"", ""hr"")"),"Temperatura i mogućnost kiše u {name} u sljedećih 7 dana")</f>
        <v>Temperatura i mogućnost kiše u {name} u sljedećih 7 dana</v>
      </c>
      <c r="R106" s="3" t="str">
        <f>IFERROR(__xludf.DUMMYFUNCTION("GoogleTranslate(C106, ""en"", ""cs"")"),"Teplota a možnost deště v {name} v příštích 7 dnech")</f>
        <v>Teplota a možnost deště v {name} v příštích 7 dnech</v>
      </c>
      <c r="S106" s="3" t="str">
        <f>IFERROR(__xludf.DUMMYFUNCTION("GoogleTranslate(C106, ""en"", ""da"")"),"Temperatur og chance for regn i {name} i løbet af de næste 7 dage")</f>
        <v>Temperatur og chance for regn i {name} i løbet af de næste 7 dage</v>
      </c>
      <c r="T106" s="3" t="str">
        <f>IFERROR(__xludf.DUMMYFUNCTION("GoogleTranslate(C106, ""en"", ""nl"")"),"Temperatuur en kans op regen in {name} de komende 7 dagen")</f>
        <v>Temperatuur en kans op regen in {name} de komende 7 dagen</v>
      </c>
      <c r="U106" s="3" t="str">
        <f>IFERROR(__xludf.DUMMYFUNCTION("GoogleTranslate(C106, ""en"", ""et"")"),"Temperatuur ja vihma võimalus asukohas {name} järgmise 7 päeva jooksul")</f>
        <v>Temperatuur ja vihma võimalus asukohas {name} järgmise 7 päeva jooksul</v>
      </c>
      <c r="V106" s="1" t="str">
        <f t="shared" si="3"/>
        <v>Temperature and chance of rain in {name} in the next 7 days</v>
      </c>
      <c r="W106" s="3" t="str">
        <f>IFERROR(__xludf.DUMMYFUNCTION("GoogleTranslate(C106, ""en"", ""fi"")"),"Lämpötila ja sateen mahdollisuus paikassa {name} seuraavan 7 päivän aikana")</f>
        <v>Lämpötila ja sateen mahdollisuus paikassa {name} seuraavan 7 päivän aikana</v>
      </c>
      <c r="X106" s="3" t="str">
        <f>IFERROR(__xludf.DUMMYFUNCTION("GoogleTranslate(C106, ""en"", ""fr"")"),"Température et risque de pluie à {name} dans les 7 prochains jours")</f>
        <v>Température et risque de pluie à {name} dans les 7 prochains jours</v>
      </c>
      <c r="Y106" s="3" t="str">
        <f>IFERROR(__xludf.DUMMYFUNCTION("GoogleTranslate(C106, ""en"", ""de"")"),"Temperatur und Regenwahrscheinlichkeit in {name} in den nächsten 7 Tagen")</f>
        <v>Temperatur und Regenwahrscheinlichkeit in {name} in den nächsten 7 Tagen</v>
      </c>
      <c r="Z106" s="3" t="str">
        <f>IFERROR(__xludf.DUMMYFUNCTION("GoogleTranslate(C106, ""en"", ""el"")"),"Θερμοκρασία και πιθανότητα βροχής στο {name} τις επόμενες 7 ημέρες")</f>
        <v>Θερμοκρασία και πιθανότητα βροχής στο {name} τις επόμενες 7 ημέρες</v>
      </c>
      <c r="AA106" s="3" t="str">
        <f>IFERROR(__xludf.DUMMYFUNCTION("GoogleTranslate(C106, ""en"", ""iw"")"),"טמפרטורה וסיכוי לגשם ב-{name} ב-7 הימים הקרובים")</f>
        <v>טמפרטורה וסיכוי לגשם ב-{name} ב-7 הימים הקרובים</v>
      </c>
      <c r="AB106" s="3" t="str">
        <f>IFERROR(__xludf.DUMMYFUNCTION("GoogleTranslate(C106, ""en"", ""hi"")"),"अगले 7 दिनों में {नाम} में तापमान और बारिश की संभावना")</f>
        <v>अगले 7 दिनों में {नाम} में तापमान और बारिश की संभावना</v>
      </c>
      <c r="AC106" s="3" t="str">
        <f>IFERROR(__xludf.DUMMYFUNCTION("GoogleTranslate(C106, ""en"", ""hu"")"),"Hőmérséklet és eső valószínűsége itt: {name} a következő 7 napban")</f>
        <v>Hőmérséklet és eső valószínűsége itt: {name} a következő 7 napban</v>
      </c>
      <c r="AD106" s="3" t="str">
        <f>IFERROR(__xludf.DUMMYFUNCTION("GoogleTranslate(C106, ""en"", ""is"")"),"Hiti og líkur á rigningu í {name} næstu 7 daga")</f>
        <v>Hiti og líkur á rigningu í {name} næstu 7 daga</v>
      </c>
      <c r="AE106" s="3" t="str">
        <f>IFERROR(__xludf.DUMMYFUNCTION("GoogleTranslate(C106, ""en"", ""id"")"),"Suhu dan kemungkinan hujan di {name} dalam 7 hari ke depan")</f>
        <v>Suhu dan kemungkinan hujan di {name} dalam 7 hari ke depan</v>
      </c>
      <c r="AF106" s="3" t="str">
        <f>IFERROR(__xludf.DUMMYFUNCTION("GoogleTranslate(C106, ""en"", ""in"")"),"Suhu dan kemungkinan hujan di {name} dalam 7 hari ke depan")</f>
        <v>Suhu dan kemungkinan hujan di {name} dalam 7 hari ke depan</v>
      </c>
      <c r="AG106" s="3" t="str">
        <f>IFERROR(__xludf.DUMMYFUNCTION("GoogleTranslate(C106, ""en"", ""it"")"),"Temperatura e possibilità di pioggia a {name} nei prossimi 7 giorni")</f>
        <v>Temperatura e possibilità di pioggia a {name} nei prossimi 7 giorni</v>
      </c>
      <c r="AH106" s="3" t="str">
        <f>IFERROR(__xludf.DUMMYFUNCTION("GoogleTranslate(C106, ""en"", ""ja"")"),"今後 7 日間の {name} の気温と降水確率")</f>
        <v>今後 7 日間の {name} の気温と降水確率</v>
      </c>
      <c r="AI106" s="3" t="str">
        <f>IFERROR(__xludf.DUMMYFUNCTION("GoogleTranslate(C106, ""en"", ""kn"")"),"ಮುಂದಿನ 7 ದಿನಗಳಲ್ಲಿ {name} ನಲ್ಲಿ ತಾಪಮಾನ ಮತ್ತು ಮಳೆಯ ಸಾಧ್ಯತೆ")</f>
        <v>ಮುಂದಿನ 7 ದಿನಗಳಲ್ಲಿ {name} ನಲ್ಲಿ ತಾಪಮಾನ ಮತ್ತು ಮಳೆಯ ಸಾಧ್ಯತೆ</v>
      </c>
      <c r="AJ106" s="3" t="str">
        <f>IFERROR(__xludf.DUMMYFUNCTION("GoogleTranslate(C106, ""en"", ""km"")"),"សីតុណ្ហភាព និងឱកាសមានភ្លៀងធ្លាក់ក្នុង {name} ក្នុងរយៈពេល 7 ថ្ងៃបន្ទាប់")</f>
        <v>សីតុណ្ហភាព និងឱកាសមានភ្លៀងធ្លាក់ក្នុង {name} ក្នុងរយៈពេល 7 ថ្ងៃបន្ទាប់</v>
      </c>
      <c r="AK106" s="3" t="str">
        <f>IFERROR(__xludf.DUMMYFUNCTION("GoogleTranslate(C106, ""en"", ""ko"")"),"향후 7일 동안 {name}의 기온과 비가 올 확률")</f>
        <v>향후 7일 동안 {name}의 기온과 비가 올 확률</v>
      </c>
      <c r="AL106" s="3" t="str">
        <f>IFERROR(__xludf.DUMMYFUNCTION("GoogleTranslate(C106, ""en"", ""lo"")"),"ອຸນຫະພູມ ແລະ ໂອກາດທີ່ຈະມີຝົນຕົກໃນ {name} ໃນ 7 ມື້ຕໍ່ໄປ")</f>
        <v>ອຸນຫະພູມ ແລະ ໂອກາດທີ່ຈະມີຝົນຕົກໃນ {name} ໃນ 7 ມື້ຕໍ່ໄປ</v>
      </c>
      <c r="AM106" s="3" t="str">
        <f>IFERROR(__xludf.DUMMYFUNCTION("GoogleTranslate(C106, ""en"", ""lv"")"),"Temperatūra un lietus iespējamība šajā vietā: {name} nākamajās 7 dienās")</f>
        <v>Temperatūra un lietus iespējamība šajā vietā: {name} nākamajās 7 dienās</v>
      </c>
      <c r="AN106" s="3" t="str">
        <f>IFERROR(__xludf.DUMMYFUNCTION("GoogleTranslate(C106, ""en"", ""lt"")"),"Temperatūra ir lietaus tikimybė {name} per ateinančias 7 dienas")</f>
        <v>Temperatūra ir lietaus tikimybė {name} per ateinančias 7 dienas</v>
      </c>
      <c r="AO106" s="3" t="str">
        <f>IFERROR(__xludf.DUMMYFUNCTION("GoogleTranslate(C106, ""en"", ""mk"")"),"Температура и можност за дожд во {name} во следните 7 дена")</f>
        <v>Температура и можност за дожд во {name} во следните 7 дена</v>
      </c>
      <c r="AP106" s="3" t="str">
        <f>IFERROR(__xludf.DUMMYFUNCTION("GoogleTranslate(C106, ""en"", ""ms"")"),"Suhu dan kemungkinan hujan di {name} dalam masa 7 hari akan datang")</f>
        <v>Suhu dan kemungkinan hujan di {name} dalam masa 7 hari akan datang</v>
      </c>
      <c r="AQ106" s="3" t="str">
        <f>IFERROR(__xludf.DUMMYFUNCTION("GoogleTranslate(C106, ""en"", ""ml"")"),"അടുത്ത 7 ദിവസങ്ങളിൽ {name} എന്ന സ്ഥലത്ത് താപനിലയും മഴയ്ക്കുള്ള സാധ്യതയും")</f>
        <v>അടുത്ത 7 ദിവസങ്ങളിൽ {name} എന്ന സ്ഥലത്ത് താപനിലയും മഴയ്ക്കുള്ള സാധ്യതയും</v>
      </c>
      <c r="AR106" s="3" t="str">
        <f>IFERROR(__xludf.DUMMYFUNCTION("GoogleTranslate(C106, ""en"", ""mr"")"),"पुढील ७ दिवसांमध्ये तापमान आणि {name} मध्ये पावसाची शक्यता")</f>
        <v>पुढील ७ दिवसांमध्ये तापमान आणि {name} मध्ये पावसाची शक्यता</v>
      </c>
      <c r="AS106" s="3" t="str">
        <f>IFERROR(__xludf.DUMMYFUNCTION("GoogleTranslate(C106, ""en"", ""mn"")"),"Дараагийн 7 хоногт {name}-д температур ба бороо орох магадлал")</f>
        <v>Дараагийн 7 хоногт {name}-д температур ба бороо орох магадлал</v>
      </c>
      <c r="AT106" s="3" t="str">
        <f>IFERROR(__xludf.DUMMYFUNCTION("GoogleTranslate(C106, ""en"", ""ne"")"),"आगामी ७ दिनमा {name} मा तापक्रम र वर्षाको सम्भावना")</f>
        <v>आगामी ७ दिनमा {name} मा तापक्रम र वर्षाको सम्भावना</v>
      </c>
      <c r="AU106" s="3" t="str">
        <f>IFERROR(__xludf.DUMMYFUNCTION("GoogleTranslate(C106, ""en"", ""nb"")"),"Temperatur og sjanse for regn i {name} de neste 7 dagene")</f>
        <v>Temperatur og sjanse for regn i {name} de neste 7 dagene</v>
      </c>
      <c r="AV106" s="3" t="str">
        <f>IFERROR(__xludf.DUMMYFUNCTION("GoogleTranslate(C106, ""en"", ""fa"")"),"دما و احتمال بارندگی در {name} در ۷ روز آینده")</f>
        <v>دما و احتمال بارندگی در {name} در ۷ روز آینده</v>
      </c>
      <c r="AW106" s="3" t="str">
        <f>IFERROR(__xludf.DUMMYFUNCTION("GoogleTranslate(C106, ""en"", ""pl"")"),"Temperatura i prawdopodobieństwo opadów deszczu w {name} w ciągu najbliższych 7 dni")</f>
        <v>Temperatura i prawdopodobieństwo opadów deszczu w {name} w ciągu najbliższych 7 dni</v>
      </c>
      <c r="AX106" s="3" t="str">
        <f>IFERROR(__xludf.DUMMYFUNCTION("GoogleTranslate(C106, ""en"", ""pt"")"),"Temperatura e probabilidade de chuva em {name} nos próximos 7 dias")</f>
        <v>Temperatura e probabilidade de chuva em {name} nos próximos 7 dias</v>
      </c>
      <c r="AY106" s="3" t="str">
        <f>IFERROR(__xludf.DUMMYFUNCTION("GoogleTranslate(C106, ""en"", ""ro"")"),"Temperatura și șansa de ploaie în {name} în următoarele 7 zile")</f>
        <v>Temperatura și șansa de ploaie în {name} în următoarele 7 zile</v>
      </c>
      <c r="AZ106" s="3" t="str">
        <f>IFERROR(__xludf.DUMMYFUNCTION("GoogleTranslate(C106, ""en"", ""ru"")"),"Температура и вероятность дождя в {name} в ближайшие 7 дней")</f>
        <v>Температура и вероятность дождя в {name} в ближайшие 7 дней</v>
      </c>
      <c r="BA106" s="3" t="str">
        <f>IFERROR(__xludf.DUMMYFUNCTION("GoogleTranslate(C106, ""en"", ""sr"")"),"Температура и могућност кише у {наме} у наредних 7 дана")</f>
        <v>Температура и могућност кише у {наме} у наредних 7 дана</v>
      </c>
      <c r="BB106" s="3" t="str">
        <f>IFERROR(__xludf.DUMMYFUNCTION("GoogleTranslate(C106, ""en"", ""si"")"),"ඉදිරි දින 7 තුළ {name} හි උෂ්ණත්වය සහ වර්ෂාව ඇතිවීමේ හැකියාව")</f>
        <v>ඉදිරි දින 7 තුළ {name} හි උෂ්ණත්වය සහ වර්ෂාව ඇතිවීමේ හැකියාව</v>
      </c>
      <c r="BC106" s="3" t="str">
        <f>IFERROR(__xludf.DUMMYFUNCTION("GoogleTranslate(C106, ""en"", ""sk"")"),"Teplota a možnosť dažďa v mieste {name} v nasledujúcich 7 dňoch")</f>
        <v>Teplota a možnosť dažďa v mieste {name} v nasledujúcich 7 dňoch</v>
      </c>
      <c r="BD106" s="3" t="str">
        <f>IFERROR(__xludf.DUMMYFUNCTION("GoogleTranslate(C106, ""en"", ""sl"")"),"Temperatura in možnost dežja v {name} v naslednjih 7 dneh")</f>
        <v>Temperatura in možnost dežja v {name} v naslednjih 7 dneh</v>
      </c>
      <c r="BE106" s="3" t="str">
        <f>IFERROR(__xludf.DUMMYFUNCTION("GoogleTranslate(C106, ""en"", ""es"")"),"Temperatura y probabilidad de lluvia en {nombre} en los próximos 7 días")</f>
        <v>Temperatura y probabilidad de lluvia en {nombre} en los próximos 7 días</v>
      </c>
      <c r="BF106" s="3" t="str">
        <f>IFERROR(__xludf.DUMMYFUNCTION("GoogleTranslate(C106, ""en"", ""sw"")"),"Halijoto na uwezekano wa mvua katika {name} katika siku 7 zijazo")</f>
        <v>Halijoto na uwezekano wa mvua katika {name} katika siku 7 zijazo</v>
      </c>
      <c r="BG106" s="3" t="str">
        <f>IFERROR(__xludf.DUMMYFUNCTION("GoogleTranslate(C106, ""en"", ""sv"")"),"Temperatur och risk för regn i {name} under de kommande 7 dagarna")</f>
        <v>Temperatur och risk för regn i {name} under de kommande 7 dagarna</v>
      </c>
      <c r="BH106" s="3" t="str">
        <f>IFERROR(__xludf.DUMMYFUNCTION("GoogleTranslate(C106, ""en"", ""te"")"),"రాబోయే 7 రోజుల్లో {name}లో ఉష్ణోగ్రత మరియు వర్షం పడే అవకాశం")</f>
        <v>రాబోయే 7 రోజుల్లో {name}లో ఉష్ణోగ్రత మరియు వర్షం పడే అవకాశం</v>
      </c>
      <c r="BI106" s="3" t="str">
        <f>IFERROR(__xludf.DUMMYFUNCTION("GoogleTranslate(C106, ""en"", ""th"")"),"อุณหภูมิและโอกาสเกิดฝนตกใน {name} ในอีก 7 วันข้างหน้า")</f>
        <v>อุณหภูมิและโอกาสเกิดฝนตกใน {name} ในอีก 7 วันข้างหน้า</v>
      </c>
      <c r="BJ106" s="3" t="str">
        <f>IFERROR(__xludf.DUMMYFUNCTION("GoogleTranslate(C106, ""en"", ""tr"")"),"Önümüzdeki 7 gün içinde {name} için sıcaklık ve yağmur ihtimali")</f>
        <v>Önümüzdeki 7 gün içinde {name} için sıcaklık ve yağmur ihtimali</v>
      </c>
      <c r="BK106" s="3" t="str">
        <f>IFERROR(__xludf.DUMMYFUNCTION("GoogleTranslate(C106, ""en"", ""uk"")"),"Температура та ймовірність дощу в {name} протягом наступних 7 днів")</f>
        <v>Температура та ймовірність дощу в {name} протягом наступних 7 днів</v>
      </c>
      <c r="BL106" s="3" t="str">
        <f>IFERROR(__xludf.DUMMYFUNCTION("GoogleTranslate(C106, ""en"", ""zu"")"),"Izinga lokushisa nethuba lemvula e-{name} ezinsukwini ezingu-7 ezilandelayo")</f>
        <v>Izinga lokushisa nethuba lemvula e-{name} ezinsukwini ezingu-7 ezilandelayo</v>
      </c>
    </row>
    <row r="107">
      <c r="A107" s="1" t="str">
        <f t="shared" si="1"/>
        <v>Chance_of_rain_{name}_next_{number}_days.</v>
      </c>
      <c r="B107" s="4" t="s">
        <v>164</v>
      </c>
      <c r="C107" s="1" t="str">
        <f t="shared" si="2"/>
        <v>Chance of rain {name} next {number} days.</v>
      </c>
      <c r="D107" s="3" t="str">
        <f>IFERROR(__xludf.DUMMYFUNCTION("GoogleTranslate(C107, ""en"", ""es"")"),"Probabilidad de lluvia {nombre} los próximos {número} días.")</f>
        <v>Probabilidad de lluvia {nombre} los próximos {número} días.</v>
      </c>
      <c r="E107" s="3" t="str">
        <f>IFERROR(__xludf.DUMMYFUNCTION("GoogleTranslate(C107, ""en"", ""ar"")"),"فرصة هطول أمطار {الاسم} القادمة {عدد} الأيام.")</f>
        <v>فرصة هطول أمطار {الاسم} القادمة {عدد} الأيام.</v>
      </c>
      <c r="F107" s="3" t="str">
        <f>IFERROR(__xludf.DUMMYFUNCTION("GoogleTranslate(C107, ""en"", ""hy"")"),"Անձրևի հավանականություն {name} հաջորդ {number} օրերին:")</f>
        <v>Անձրևի հավանականություն {name} հաջորդ {number} օրերին:</v>
      </c>
      <c r="G107" s="3" t="str">
        <f>IFERROR(__xludf.DUMMYFUNCTION("GoogleTranslate(C107, ""en"", ""vi"")"),"Có thể có mưa {name} ngày tới {number} ngày tới.")</f>
        <v>Có thể có mưa {name} ngày tới {number} ngày tới.</v>
      </c>
      <c r="H107" s="3" t="str">
        <f>IFERROR(__xludf.DUMMYFUNCTION("GoogleTranslate(C107, ""en"", ""az"")"),"Növbəti {number} gündə yağış {name} ehtimalı.")</f>
        <v>Növbəti {number} gündə yağış {name} ehtimalı.</v>
      </c>
      <c r="I107" s="3" t="str">
        <f>IFERROR(__xludf.DUMMYFUNCTION("GoogleTranslate(C107, ""en"", ""eu"")"),"Euria egiteko aukera {name} hurrengo {number} egunetan.")</f>
        <v>Euria egiteko aukera {name} hurrengo {number} egunetan.</v>
      </c>
      <c r="J107" s="3" t="str">
        <f>IFERROR(__xludf.DUMMYFUNCTION("GoogleTranslate(C107, ""en"", ""be"")"),"Верагоднасць дажджу {name} наступныя {number} дзён.")</f>
        <v>Верагоднасць дажджу {name} наступныя {number} дзён.</v>
      </c>
      <c r="K107" s="3" t="str">
        <f>IFERROR(__xludf.DUMMYFUNCTION("GoogleTranslate(C107, ""en"", ""bn"")"),"আগামী {number} দিন {name} বৃষ্টির সম্ভাবনা।")</f>
        <v>আগামী {number} দিন {name} বৃষ্টির সম্ভাবনা।</v>
      </c>
      <c r="L107" s="3" t="str">
        <f>IFERROR(__xludf.DUMMYFUNCTION("GoogleTranslate(C107, ""en"", ""bg"")"),"Вероятност за дъжд {name} следващите {number} дни.")</f>
        <v>Вероятност за дъжд {name} следващите {number} дни.</v>
      </c>
      <c r="M107" s="3" t="str">
        <f>IFERROR(__xludf.DUMMYFUNCTION("GoogleTranslate(C107, ""en"", ""my"")"),"နောက် {number} ရက်အတွင်း မိုးရွာနိုင်ခြေ")</f>
        <v>နောက် {number} ရက်အတွင်း မိုးရွာနိုင်ခြေ</v>
      </c>
      <c r="N107" s="3" t="str">
        <f>IFERROR(__xludf.DUMMYFUNCTION("GoogleTranslate(C107, ""en"", ""ca"")"),"Possibilitat de pluja {name} els propers {number} dies.")</f>
        <v>Possibilitat de pluja {name} els propers {number} dies.</v>
      </c>
      <c r="O107" s="3" t="str">
        <f>IFERROR(__xludf.DUMMYFUNCTION("GoogleTranslate(C107, ""en"", ""zh-cn"")"),"未来 {number} 天可能会下雨 {name}。")</f>
        <v>未来 {number} 天可能会下雨 {name}。</v>
      </c>
      <c r="P107" s="3" t="str">
        <f>IFERROR(__xludf.DUMMYFUNCTION("GoogleTranslate(C107, ""en"", ""zh-TW"")"),"未來 {number} 天可能會下雨 {name}。")</f>
        <v>未來 {number} 天可能會下雨 {name}。</v>
      </c>
      <c r="Q107" s="3" t="str">
        <f>IFERROR(__xludf.DUMMYFUNCTION("GoogleTranslate(C107, ""en"", ""hr"")"),"Mogućnost kiše {name} sljedećih {number} dana.")</f>
        <v>Mogućnost kiše {name} sljedećih {number} dana.</v>
      </c>
      <c r="R107" s="3" t="str">
        <f>IFERROR(__xludf.DUMMYFUNCTION("GoogleTranslate(C107, ""en"", ""cs"")"),"Pravděpodobnost deště {name} v příštích {number} dnech.")</f>
        <v>Pravděpodobnost deště {name} v příštích {number} dnech.</v>
      </c>
      <c r="S107" s="3" t="str">
        <f>IFERROR(__xludf.DUMMYFUNCTION("GoogleTranslate(C107, ""en"", ""da"")"),"Mulighed for regn {name} de næste {number} dage.")</f>
        <v>Mulighed for regn {name} de næste {number} dage.</v>
      </c>
      <c r="T107" s="3" t="str">
        <f>IFERROR(__xludf.DUMMYFUNCTION("GoogleTranslate(C107, ""en"", ""nl"")"),"Kans op regen {naam} komende {aantal} dagen.")</f>
        <v>Kans op regen {naam} komende {aantal} dagen.</v>
      </c>
      <c r="U107" s="3" t="str">
        <f>IFERROR(__xludf.DUMMYFUNCTION("GoogleTranslate(C107, ""en"", ""et"")"),"Vihma võimalus {name} järgmisel {number} päeval.")</f>
        <v>Vihma võimalus {name} järgmisel {number} päeval.</v>
      </c>
      <c r="V107" s="1" t="str">
        <f t="shared" si="3"/>
        <v>Chance of rain {name} next {number} days.</v>
      </c>
      <c r="W107" s="3" t="str">
        <f>IFERROR(__xludf.DUMMYFUNCTION("GoogleTranslate(C107, ""en"", ""fi"")"),"Sateen mahdollisuus {name} seuraavan {number} päivän aikana.")</f>
        <v>Sateen mahdollisuus {name} seuraavan {number} päivän aikana.</v>
      </c>
      <c r="X107" s="3" t="str">
        <f>IFERROR(__xludf.DUMMYFUNCTION("GoogleTranslate(C107, ""en"", ""fr"")"),"Risque de pluie {name} prochains {number} jours.")</f>
        <v>Risque de pluie {name} prochains {number} jours.</v>
      </c>
      <c r="Y107" s="3" t="str">
        <f>IFERROR(__xludf.DUMMYFUNCTION("GoogleTranslate(C107, ""en"", ""de"")"),"Wahrscheinlichkeit, dass es in den nächsten {Anzahl} Tagen an {name} regnen wird.")</f>
        <v>Wahrscheinlichkeit, dass es in den nächsten {Anzahl} Tagen an {name} regnen wird.</v>
      </c>
      <c r="Z107" s="3" t="str">
        <f>IFERROR(__xludf.DUMMYFUNCTION("GoogleTranslate(C107, ""en"", ""el"")"),"Πιθανότητα βροχής {name} τις επόμενες {number} ημέρες.")</f>
        <v>Πιθανότητα βροχής {name} τις επόμενες {number} ημέρες.</v>
      </c>
      <c r="AA107" s="3" t="str">
        <f>IFERROR(__xludf.DUMMYFUNCTION("GoogleTranslate(C107, ""en"", ""iw"")"),"סיכוי לגשם {name} ב-{number} הימים הבאים.")</f>
        <v>סיכוי לגשם {name} ב-{number} הימים הבאים.</v>
      </c>
      <c r="AB107" s="3" t="str">
        <f>IFERROR(__xludf.DUMMYFUNCTION("GoogleTranslate(C107, ""en"", ""hi"")"),"अगले {संख्या} दिनों में बारिश {नाम} की संभावना।")</f>
        <v>अगले {संख्या} दिनों में बारिश {नाम} की संभावना।</v>
      </c>
      <c r="AC107" s="3" t="str">
        <f>IFERROR(__xludf.DUMMYFUNCTION("GoogleTranslate(C107, ""en"", ""hu"")"),"Eső valószínűsége {name} a következő {number} napon.")</f>
        <v>Eső valószínűsége {name} a következő {number} napon.</v>
      </c>
      <c r="AD107" s="3" t="str">
        <f>IFERROR(__xludf.DUMMYFUNCTION("GoogleTranslate(C107, ""en"", ""is"")"),"Líkur á rigningu {name} næstu {number} daga.")</f>
        <v>Líkur á rigningu {name} næstu {number} daga.</v>
      </c>
      <c r="AE107" s="3" t="str">
        <f>IFERROR(__xludf.DUMMYFUNCTION("GoogleTranslate(C107, ""en"", ""id"")"),"Kemungkinan hujan {name} {number} hari mendatang.")</f>
        <v>Kemungkinan hujan {name} {number} hari mendatang.</v>
      </c>
      <c r="AF107" s="3" t="str">
        <f>IFERROR(__xludf.DUMMYFUNCTION("GoogleTranslate(C107, ""en"", ""in"")"),"Kemungkinan hujan {name} {number} hari mendatang.")</f>
        <v>Kemungkinan hujan {name} {number} hari mendatang.</v>
      </c>
      <c r="AG107" s="3" t="str">
        <f>IFERROR(__xludf.DUMMYFUNCTION("GoogleTranslate(C107, ""en"", ""it"")"),"Possibilità di pioggia {nome} nei prossimi {numero} giorni.")</f>
        <v>Possibilità di pioggia {nome} nei prossimi {numero} giorni.</v>
      </c>
      <c r="AH107" s="3" t="str">
        <f>IFERROR(__xludf.DUMMYFUNCTION("GoogleTranslate(C107, ""en"", ""ja"")"),"今後 {number} 日間、{name} が降る可能性があります。")</f>
        <v>今後 {number} 日間、{name} が降る可能性があります。</v>
      </c>
      <c r="AI107" s="3" t="str">
        <f>IFERROR(__xludf.DUMMYFUNCTION("GoogleTranslate(C107, ""en"", ""kn"")"),"ಮುಂದಿನ {number} ದಿನಗಳಲ್ಲಿ {name} ಮಳೆಯಾಗುವ ಸಾಧ್ಯತೆ.")</f>
        <v>ಮುಂದಿನ {number} ದಿನಗಳಲ್ಲಿ {name} ಮಳೆಯಾಗುವ ಸಾಧ್ಯತೆ.</v>
      </c>
      <c r="AJ107" s="3" t="str">
        <f>IFERROR(__xludf.DUMMYFUNCTION("GoogleTranslate(C107, ""en"", ""km"")"),"ឱកាសភ្លៀង {name} {number} ថ្ងៃបន្ទាប់។")</f>
        <v>ឱកាសភ្លៀង {name} {number} ថ្ងៃបន្ទាប់។</v>
      </c>
      <c r="AK107" s="3" t="str">
        <f>IFERROR(__xludf.DUMMYFUNCTION("GoogleTranslate(C107, ""en"", ""ko"")"),"다음 {number}일 동안 {name}에 비가 올 확률이 있습니다.")</f>
        <v>다음 {number}일 동안 {name}에 비가 올 확률이 있습니다.</v>
      </c>
      <c r="AL107" s="3" t="str">
        <f>IFERROR(__xludf.DUMMYFUNCTION("GoogleTranslate(C107, ""en"", ""lo"")"),"ໂອກາດຝົນຕົກ {name} {number} ມື້ຕໍ່ໄປ.")</f>
        <v>ໂອກາດຝົນຕົກ {name} {number} ມື້ຕໍ່ໄປ.</v>
      </c>
      <c r="AM107" s="3" t="str">
        <f>IFERROR(__xludf.DUMMYFUNCTION("GoogleTranslate(C107, ""en"", ""lv"")"),"Iespējams lietus {name} nākamajās {number} dienās.")</f>
        <v>Iespējams lietus {name} nākamajās {number} dienās.</v>
      </c>
      <c r="AN107" s="3" t="str">
        <f>IFERROR(__xludf.DUMMYFUNCTION("GoogleTranslate(C107, ""en"", ""lt"")"),"Lietaus tikimybė {name} kitas {number} dienas.")</f>
        <v>Lietaus tikimybė {name} kitas {number} dienas.</v>
      </c>
      <c r="AO107" s="3" t="str">
        <f>IFERROR(__xludf.DUMMYFUNCTION("GoogleTranslate(C107, ""en"", ""mk"")"),"Можност за дожд {name} следните {number} дена.")</f>
        <v>Можност за дожд {name} следните {number} дена.</v>
      </c>
      <c r="AP107" s="3" t="str">
        <f>IFERROR(__xludf.DUMMYFUNCTION("GoogleTranslate(C107, ""en"", ""ms"")"),"Kemungkinan hujan {name} {number} hari berikutnya.")</f>
        <v>Kemungkinan hujan {name} {number} hari berikutnya.</v>
      </c>
      <c r="AQ107" s="3" t="str">
        <f>IFERROR(__xludf.DUMMYFUNCTION("GoogleTranslate(C107, ""en"", ""ml"")"),"അടുത്ത {number} ദിവസങ്ങളിൽ {name} മഴയ്ക്ക് സാധ്യത.")</f>
        <v>അടുത്ത {number} ദിവസങ്ങളിൽ {name} മഴയ്ക്ക് സാധ്യത.</v>
      </c>
      <c r="AR107" s="3" t="str">
        <f>IFERROR(__xludf.DUMMYFUNCTION("GoogleTranslate(C107, ""en"", ""mr"")"),"पुढील {number} दिवस {name} पावसाची शक्यता.")</f>
        <v>पुढील {number} दिवस {name} पावसाची शक्यता.</v>
      </c>
      <c r="AS107" s="3" t="str">
        <f>IFERROR(__xludf.DUMMYFUNCTION("GoogleTranslate(C107, ""en"", ""mn"")"),"Дараагийн {number} өдөр бороо орох магадлал {name}.")</f>
        <v>Дараагийн {number} өдөр бороо орох магадлал {name}.</v>
      </c>
      <c r="AT107" s="3" t="str">
        <f>IFERROR(__xludf.DUMMYFUNCTION("GoogleTranslate(C107, ""en"", ""ne"")"),"आगामी {number} दिन {name} वर्षाको सम्भावना।")</f>
        <v>आगामी {number} दिन {name} वर्षाको सम्भावना।</v>
      </c>
      <c r="AU107" s="3" t="str">
        <f>IFERROR(__xludf.DUMMYFUNCTION("GoogleTranslate(C107, ""en"", ""nb"")"),"Mulighet for regn {name} neste {number} dager.")</f>
        <v>Mulighet for regn {name} neste {number} dager.</v>
      </c>
      <c r="AV107" s="3" t="str">
        <f>IFERROR(__xludf.DUMMYFUNCTION("GoogleTranslate(C107, ""en"", ""fa"")"),"احتمال بارندگی {name} {number} روز آینده.")</f>
        <v>احتمال بارندگی {name} {number} روز آینده.</v>
      </c>
      <c r="AW107" s="3" t="str">
        <f>IFERROR(__xludf.DUMMYFUNCTION("GoogleTranslate(C107, ""en"", ""pl"")"),"Prawdopodobieństwo deszczu {name} w ciągu następnych {number} dni.")</f>
        <v>Prawdopodobieństwo deszczu {name} w ciągu następnych {number} dni.</v>
      </c>
      <c r="AX107" s="3" t="str">
        <f>IFERROR(__xludf.DUMMYFUNCTION("GoogleTranslate(C107, ""en"", ""pt"")"),"Possibilidade de chuva {name} nos próximos {number} dias.")</f>
        <v>Possibilidade de chuva {name} nos próximos {number} dias.</v>
      </c>
      <c r="AY107" s="3" t="str">
        <f>IFERROR(__xludf.DUMMYFUNCTION("GoogleTranslate(C107, ""en"", ""ro"")"),"Şanse de ploaie {name} în următoarele {number} zile.")</f>
        <v>Şanse de ploaie {name} în următoarele {number} zile.</v>
      </c>
      <c r="AZ107" s="3" t="str">
        <f>IFERROR(__xludf.DUMMYFUNCTION("GoogleTranslate(C107, ""en"", ""ru"")"),"Вероятность дождя {name} в следующие {number} дней.")</f>
        <v>Вероятность дождя {name} в следующие {number} дней.</v>
      </c>
      <c r="BA107" s="3" t="str">
        <f>IFERROR(__xludf.DUMMYFUNCTION("GoogleTranslate(C107, ""en"", ""sr"")"),"Могућа киша {наме} следећих {нумбер} дана.")</f>
        <v>Могућа киша {наме} следећих {нумбер} дана.</v>
      </c>
      <c r="BB107" s="3" t="str">
        <f>IFERROR(__xludf.DUMMYFUNCTION("GoogleTranslate(C107, ""en"", ""si"")"),"ඉදිරි දින {number} {name} වර්ෂාවට ඇති ඉඩකඩ.")</f>
        <v>ඉදිරි දින {number} {name} වර්ෂාවට ඇති ඉඩකඩ.</v>
      </c>
      <c r="BC107" s="3" t="str">
        <f>IFERROR(__xludf.DUMMYFUNCTION("GoogleTranslate(C107, ""en"", ""sk"")"),"Pravdepodobnosť dažďa {name} počas nasledujúcich {number} dní.")</f>
        <v>Pravdepodobnosť dažďa {name} počas nasledujúcich {number} dní.</v>
      </c>
      <c r="BD107" s="3" t="str">
        <f>IFERROR(__xludf.DUMMYFUNCTION("GoogleTranslate(C107, ""en"", ""sl"")"),"Možnost dežja {name} naslednjih {number} dni.")</f>
        <v>Možnost dežja {name} naslednjih {number} dni.</v>
      </c>
      <c r="BE107" s="3" t="str">
        <f>IFERROR(__xludf.DUMMYFUNCTION("GoogleTranslate(C107, ""en"", ""es"")"),"Probabilidad de lluvia {nombre} los próximos {número} días.")</f>
        <v>Probabilidad de lluvia {nombre} los próximos {número} días.</v>
      </c>
      <c r="BF107" s="3" t="str">
        <f>IFERROR(__xludf.DUMMYFUNCTION("GoogleTranslate(C107, ""en"", ""sw"")"),"Uwezekano wa mvua kunyesha {name} siku {number} zijazo.")</f>
        <v>Uwezekano wa mvua kunyesha {name} siku {number} zijazo.</v>
      </c>
      <c r="BG107" s="3" t="str">
        <f>IFERROR(__xludf.DUMMYFUNCTION("GoogleTranslate(C107, ""en"", ""sv"")"),"Risk för regn {name} nästa {number} dagar.")</f>
        <v>Risk för regn {name} nästa {number} dagar.</v>
      </c>
      <c r="BH107" s="3" t="str">
        <f>IFERROR(__xludf.DUMMYFUNCTION("GoogleTranslate(C107, ""en"", ""te"")"),"తదుపరి {number} రోజులు {name} వర్షం పడే అవకాశం.")</f>
        <v>తదుపరి {number} రోజులు {name} వర్షం పడే అవకాశం.</v>
      </c>
      <c r="BI107" s="3" t="str">
        <f>IFERROR(__xludf.DUMMYFUNCTION("GoogleTranslate(C107, ""en"", ""th"")"),"โอกาสที่ฝนจะตก {name} ข้างหน้า {number} วัน")</f>
        <v>โอกาสที่ฝนจะตก {name} ข้างหน้า {number} วัน</v>
      </c>
      <c r="BJ107" s="3" t="str">
        <f>IFERROR(__xludf.DUMMYFUNCTION("GoogleTranslate(C107, ""en"", ""tr"")"),"Önümüzdeki {number} gün {name} yağmur ihtimali.")</f>
        <v>Önümüzdeki {number} gün {name} yağmur ihtimali.</v>
      </c>
      <c r="BK107" s="3" t="str">
        <f>IFERROR(__xludf.DUMMYFUNCTION("GoogleTranslate(C107, ""en"", ""uk"")"),"Можливий дощ {name} наступних {number} днів.")</f>
        <v>Можливий дощ {name} наступних {number} днів.</v>
      </c>
      <c r="BL107" s="3" t="str">
        <f>IFERROR(__xludf.DUMMYFUNCTION("GoogleTranslate(C107, ""en"", ""zu"")"),"Ithuba lemvula {name} ezinsukwini ezingu-{number} ezilandelayo.")</f>
        <v>Ithuba lemvula {name} ezinsukwini ezingu-{number} ezilandelayo.</v>
      </c>
    </row>
    <row r="108">
      <c r="A108" s="5" t="str">
        <f t="shared" si="1"/>
        <v>Average_temperature_{name}_next_{number}_days.</v>
      </c>
      <c r="B108" s="6" t="s">
        <v>165</v>
      </c>
      <c r="C108" s="5" t="str">
        <f t="shared" si="2"/>
        <v>Average temperature {name} next {number} days.</v>
      </c>
      <c r="D108" s="7" t="str">
        <f>IFERROR(__xludf.DUMMYFUNCTION("GoogleTranslate(C108, ""en"", ""es"")"),"Temperatura promedio {nombre} los próximos {número} días.")</f>
        <v>Temperatura promedio {nombre} los próximos {número} días.</v>
      </c>
      <c r="E108" s="7" t="str">
        <f>IFERROR(__xludf.DUMMYFUNCTION("GoogleTranslate(C108, ""en"", ""ar"")"),"متوسط ​​درجة الحرارة {name} الأيام الـ {number} القادمة.")</f>
        <v>متوسط ​​درجة الحرارة {name} الأيام الـ {number} القادمة.</v>
      </c>
      <c r="F108" s="7" t="str">
        <f>IFERROR(__xludf.DUMMYFUNCTION("GoogleTranslate(C108, ""en"", ""hy"")"),"Միջին ջերմաստիճանը {name} հաջորդ {number} օրվա ընթացքում:")</f>
        <v>Միջին ջերմաստիճանը {name} հաջորդ {number} օրվա ընթացքում:</v>
      </c>
      <c r="G108" s="7" t="str">
        <f>IFERROR(__xludf.DUMMYFUNCTION("GoogleTranslate(C108, ""en"", ""vi"")"),"Nhiệt độ trung bình {name} ngày tới {number} ngày tới.")</f>
        <v>Nhiệt độ trung bình {name} ngày tới {number} ngày tới.</v>
      </c>
      <c r="H108" s="7" t="str">
        <f>IFERROR(__xludf.DUMMYFUNCTION("GoogleTranslate(C108, ""en"", ""az"")"),"Növbəti {number} gündə orta temperatur {name}.")</f>
        <v>Növbəti {number} gündə orta temperatur {name}.</v>
      </c>
      <c r="I108" s="7" t="str">
        <f>IFERROR(__xludf.DUMMYFUNCTION("GoogleTranslate(C108, ""en"", ""eu"")"),"Batez besteko tenperatura {name} hurrengo {number} egunetan.")</f>
        <v>Batez besteko tenperatura {name} hurrengo {number} egunetan.</v>
      </c>
      <c r="J108" s="7" t="str">
        <f>IFERROR(__xludf.DUMMYFUNCTION("GoogleTranslate(C108, ""en"", ""be"")"),"Сярэдняя тэмпература {name} наступныя {number} дзён.")</f>
        <v>Сярэдняя тэмпература {name} наступныя {number} дзён.</v>
      </c>
      <c r="K108" s="7" t="str">
        <f>IFERROR(__xludf.DUMMYFUNCTION("GoogleTranslate(C108, ""en"", ""bn"")"),"গড় তাপমাত্রা {name} পরবর্তী {number} দিন।")</f>
        <v>গড় তাপমাত্রা {name} পরবর্তী {number} দিন।</v>
      </c>
      <c r="L108" s="7" t="str">
        <f>IFERROR(__xludf.DUMMYFUNCTION("GoogleTranslate(C108, ""en"", ""bg"")"),"Средна температура {name} следващите {number} дни.")</f>
        <v>Средна температура {name} следващите {number} дни.</v>
      </c>
      <c r="M108" s="7" t="str">
        <f>IFERROR(__xludf.DUMMYFUNCTION("GoogleTranslate(C108, ""en"", ""my"")"),"ပျမ်းမျှအပူချိန် {name} လာမည့် {number} ရက်။")</f>
        <v>ပျမ်းမျှအပူချိန် {name} လာမည့် {number} ရက်။</v>
      </c>
      <c r="N108" s="7" t="str">
        <f>IFERROR(__xludf.DUMMYFUNCTION("GoogleTranslate(C108, ""en"", ""ca"")"),"Temperatura mitjana {name} els propers {number} dies.")</f>
        <v>Temperatura mitjana {name} els propers {number} dies.</v>
      </c>
      <c r="O108" s="7" t="str">
        <f>IFERROR(__xludf.DUMMYFUNCTION("GoogleTranslate(C108, ""en"", ""zh-cn"")"),"未来 {number} 天的平均气温 {name}。")</f>
        <v>未来 {number} 天的平均气温 {name}。</v>
      </c>
      <c r="P108" s="7" t="str">
        <f>IFERROR(__xludf.DUMMYFUNCTION("GoogleTranslate(C108, ""en"", ""zh-TW"")"),"未來 {number} 天的平均氣溫 {name}。")</f>
        <v>未來 {number} 天的平均氣溫 {name}。</v>
      </c>
      <c r="Q108" s="7" t="str">
        <f>IFERROR(__xludf.DUMMYFUNCTION("GoogleTranslate(C108, ""en"", ""hr"")"),"Prosječna temperatura {name} sljedećih {number} dana.")</f>
        <v>Prosječna temperatura {name} sljedećih {number} dana.</v>
      </c>
      <c r="R108" s="7" t="str">
        <f>IFERROR(__xludf.DUMMYFUNCTION("GoogleTranslate(C108, ""en"", ""cs"")"),"Průměrná teplota {name} v následujících {number} dnech.")</f>
        <v>Průměrná teplota {name} v následujících {number} dnech.</v>
      </c>
      <c r="S108" s="7" t="str">
        <f>IFERROR(__xludf.DUMMYFUNCTION("GoogleTranslate(C108, ""en"", ""da"")"),"Gennemsnitstemperatur {name} næste {number} dage.")</f>
        <v>Gennemsnitstemperatur {name} næste {number} dage.</v>
      </c>
      <c r="T108" s="7" t="str">
        <f>IFERROR(__xludf.DUMMYFUNCTION("GoogleTranslate(C108, ""en"", ""nl"")"),"Gemiddelde temperatuur {naam} komende {aantal} dagen.")</f>
        <v>Gemiddelde temperatuur {naam} komende {aantal} dagen.</v>
      </c>
      <c r="U108" s="7" t="str">
        <f>IFERROR(__xludf.DUMMYFUNCTION("GoogleTranslate(C108, ""en"", ""et"")"),"Keskmine temperatuur {name} järgmisel {number} päeval.")</f>
        <v>Keskmine temperatuur {name} järgmisel {number} päeval.</v>
      </c>
      <c r="V108" s="5" t="str">
        <f t="shared" si="3"/>
        <v>Average temperature {name} next {number} days.</v>
      </c>
      <c r="W108" s="7" t="str">
        <f>IFERROR(__xludf.DUMMYFUNCTION("GoogleTranslate(C108, ""en"", ""fi"")"),"Keskilämpötila {name} seuraavat {number} päivää.")</f>
        <v>Keskilämpötila {name} seuraavat {number} päivää.</v>
      </c>
      <c r="X108" s="7" t="str">
        <f>IFERROR(__xludf.DUMMYFUNCTION("GoogleTranslate(C108, ""en"", ""fr"")"),"Température moyenne {name} prochains {number} jours.")</f>
        <v>Température moyenne {name} prochains {number} jours.</v>
      </c>
      <c r="Y108" s="7" t="str">
        <f>IFERROR(__xludf.DUMMYFUNCTION("GoogleTranslate(C108, ""en"", ""de"")"),"Durchschnittstemperatur {name} in den nächsten {number} Tagen.")</f>
        <v>Durchschnittstemperatur {name} in den nächsten {number} Tagen.</v>
      </c>
      <c r="Z108" s="7" t="str">
        <f>IFERROR(__xludf.DUMMYFUNCTION("GoogleTranslate(C108, ""en"", ""el"")"),"Μέση θερμοκρασία {name} επόμενες {number} ημέρες.")</f>
        <v>Μέση θερμοκρασία {name} επόμενες {number} ημέρες.</v>
      </c>
      <c r="AA108" s="7" t="str">
        <f>IFERROR(__xludf.DUMMYFUNCTION("GoogleTranslate(C108, ""en"", ""iw"")"),"טמפרטורה ממוצעת {name} ב-{number} הימים הבאים.")</f>
        <v>טמפרטורה ממוצעת {name} ב-{number} הימים הבאים.</v>
      </c>
      <c r="AB108" s="7" t="str">
        <f>IFERROR(__xludf.DUMMYFUNCTION("GoogleTranslate(C108, ""en"", ""hi"")"),"अगले {संख्या} दिनों का औसत तापमान {नाम}।")</f>
        <v>अगले {संख्या} दिनों का औसत तापमान {नाम}।</v>
      </c>
      <c r="AC108" s="7" t="str">
        <f>IFERROR(__xludf.DUMMYFUNCTION("GoogleTranslate(C108, ""en"", ""hu"")"),"Átlaghőmérséklet: {name} a következő {number} napon.")</f>
        <v>Átlaghőmérséklet: {name} a következő {number} napon.</v>
      </c>
      <c r="AD108" s="7" t="str">
        <f>IFERROR(__xludf.DUMMYFUNCTION("GoogleTranslate(C108, ""en"", ""is"")"),"Meðalhiti {name} næstu {number} daga.")</f>
        <v>Meðalhiti {name} næstu {number} daga.</v>
      </c>
      <c r="AE108" s="7" t="str">
        <f>IFERROR(__xludf.DUMMYFUNCTION("GoogleTranslate(C108, ""en"", ""id"")"),"Suhu rata-rata {name} {number} hari berikutnya.")</f>
        <v>Suhu rata-rata {name} {number} hari berikutnya.</v>
      </c>
      <c r="AF108" s="7" t="str">
        <f>IFERROR(__xludf.DUMMYFUNCTION("GoogleTranslate(C108, ""en"", ""in"")"),"Suhu rata-rata {name} {number} hari berikutnya.")</f>
        <v>Suhu rata-rata {name} {number} hari berikutnya.</v>
      </c>
      <c r="AG108" s="7" t="str">
        <f>IFERROR(__xludf.DUMMYFUNCTION("GoogleTranslate(C108, ""en"", ""it"")"),"Temperatura media {nome} prossimi {numero} giorni.")</f>
        <v>Temperatura media {nome} prossimi {numero} giorni.</v>
      </c>
      <c r="AH108" s="7" t="str">
        <f>IFERROR(__xludf.DUMMYFUNCTION("GoogleTranslate(C108, ""en"", ""ja"")"),"{name} の今後の {number} 日間の平均気温。")</f>
        <v>{name} の今後の {number} 日間の平均気温。</v>
      </c>
      <c r="AI108" s="7" t="str">
        <f>IFERROR(__xludf.DUMMYFUNCTION("GoogleTranslate(C108, ""en"", ""kn"")"),"ಮುಂದಿನ {number} ದಿನಗಳಲ್ಲಿ ಸರಾಸರಿ ತಾಪಮಾನ {name}.")</f>
        <v>ಮುಂದಿನ {number} ದಿನಗಳಲ್ಲಿ ಸರಾಸರಿ ತಾಪಮಾನ {name}.</v>
      </c>
      <c r="AJ108" s="7" t="str">
        <f>IFERROR(__xludf.DUMMYFUNCTION("GoogleTranslate(C108, ""en"", ""km"")"),"សីតុណ្ហភាពជាមធ្យម {name} {number} ថ្ងៃបន្ទាប់។")</f>
        <v>សីតុណ្ហភាពជាមធ្យម {name} {number} ថ្ងៃបន្ទាប់។</v>
      </c>
      <c r="AK108" s="7" t="str">
        <f>IFERROR(__xludf.DUMMYFUNCTION("GoogleTranslate(C108, ""en"", ""ko"")"),"평균 기온 {name} 다음 {number}일.")</f>
        <v>평균 기온 {name} 다음 {number}일.</v>
      </c>
      <c r="AL108" s="7" t="str">
        <f>IFERROR(__xludf.DUMMYFUNCTION("GoogleTranslate(C108, ""en"", ""lo"")"),"ອຸນຫະພູມສະເລ່ຍ {name} {number} ມື້ຖັດໄປ.")</f>
        <v>ອຸນຫະພູມສະເລ່ຍ {name} {number} ມື້ຖັດໄປ.</v>
      </c>
      <c r="AM108" s="7" t="str">
        <f>IFERROR(__xludf.DUMMYFUNCTION("GoogleTranslate(C108, ""en"", ""lv"")"),"Vidējā temperatūra {name} nākamajās {number} dienās.")</f>
        <v>Vidējā temperatūra {name} nākamajās {number} dienās.</v>
      </c>
      <c r="AN108" s="7" t="str">
        <f>IFERROR(__xludf.DUMMYFUNCTION("GoogleTranslate(C108, ""en"", ""lt"")"),"Vidutinė temperatūra {name} kitas {number} dienas.")</f>
        <v>Vidutinė temperatūra {name} kitas {number} dienas.</v>
      </c>
      <c r="AO108" s="7" t="str">
        <f>IFERROR(__xludf.DUMMYFUNCTION("GoogleTranslate(C108, ""en"", ""mk"")"),"Просечна температура {name} следните {number} дена.")</f>
        <v>Просечна температура {name} следните {number} дена.</v>
      </c>
      <c r="AP108" s="7" t="str">
        <f>IFERROR(__xludf.DUMMYFUNCTION("GoogleTranslate(C108, ""en"", ""ms"")"),"Purata suhu {name} {number} hari berikutnya.")</f>
        <v>Purata suhu {name} {number} hari berikutnya.</v>
      </c>
      <c r="AQ108" s="7" t="str">
        <f>IFERROR(__xludf.DUMMYFUNCTION("GoogleTranslate(C108, ""en"", ""ml"")"),"അടുത്ത {number} ദിവസങ്ങളിലെ ശരാശരി താപനില {name}.")</f>
        <v>അടുത്ത {number} ദിവസങ്ങളിലെ ശരാശരി താപനില {name}.</v>
      </c>
      <c r="AR108" s="7" t="str">
        <f>IFERROR(__xludf.DUMMYFUNCTION("GoogleTranslate(C108, ""en"", ""mr"")"),"पुढील {number} दिवसांचे सरासरी तापमान {name}.")</f>
        <v>पुढील {number} दिवसांचे सरासरी तापमान {name}.</v>
      </c>
      <c r="AS108" s="7" t="str">
        <f>IFERROR(__xludf.DUMMYFUNCTION("GoogleTranslate(C108, ""en"", ""mn"")"),"Дараагийн {number} өдрийн дундаж температур {name}.")</f>
        <v>Дараагийн {number} өдрийн дундаж температур {name}.</v>
      </c>
      <c r="AT108" s="7" t="str">
        <f>IFERROR(__xludf.DUMMYFUNCTION("GoogleTranslate(C108, ""en"", ""ne"")"),"अर्को {number} दिनको औसत तापक्रम {name}।")</f>
        <v>अर्को {number} दिनको औसत तापक्रम {name}।</v>
      </c>
      <c r="AU108" s="7" t="str">
        <f>IFERROR(__xludf.DUMMYFUNCTION("GoogleTranslate(C108, ""en"", ""nb"")"),"Gjennomsnittlig temperatur {name} neste {number} dager.")</f>
        <v>Gjennomsnittlig temperatur {name} neste {number} dager.</v>
      </c>
      <c r="AV108" s="7" t="str">
        <f>IFERROR(__xludf.DUMMYFUNCTION("GoogleTranslate(C108, ""en"", ""fa"")"),"میانگین دمای {name} {number} روز آینده.")</f>
        <v>میانگین دمای {name} {number} روز آینده.</v>
      </c>
      <c r="AW108" s="7" t="str">
        <f>IFERROR(__xludf.DUMMYFUNCTION("GoogleTranslate(C108, ""en"", ""pl"")"),"Średnia temperatura {name} w ciągu następnych {number} dni.")</f>
        <v>Średnia temperatura {name} w ciągu następnych {number} dni.</v>
      </c>
      <c r="AX108" s="7" t="str">
        <f>IFERROR(__xludf.DUMMYFUNCTION("GoogleTranslate(C108, ""en"", ""pt"")"),"Temperatura média {nome} nos próximos {número} dias.")</f>
        <v>Temperatura média {nome} nos próximos {número} dias.</v>
      </c>
      <c r="AY108" s="7" t="str">
        <f>IFERROR(__xludf.DUMMYFUNCTION("GoogleTranslate(C108, ""en"", ""ro"")"),"Temperatura medie {name} următoarele {number} zile.")</f>
        <v>Temperatura medie {name} următoarele {number} zile.</v>
      </c>
      <c r="AZ108" s="7" t="str">
        <f>IFERROR(__xludf.DUMMYFUNCTION("GoogleTranslate(C108, ""en"", ""ru"")"),"Средняя температура {name} в следующие {number} дней.")</f>
        <v>Средняя температура {name} в следующие {number} дней.</v>
      </c>
      <c r="BA108" s="7" t="str">
        <f>IFERROR(__xludf.DUMMYFUNCTION("GoogleTranslate(C108, ""en"", ""sr"")"),"Просечна температура {наме} следећих {нумбер} дана.")</f>
        <v>Просечна температура {наме} следећих {нумбер} дана.</v>
      </c>
      <c r="BB108" s="7" t="str">
        <f>IFERROR(__xludf.DUMMYFUNCTION("GoogleTranslate(C108, ""en"", ""si"")"),"සාමාන්‍ය උෂ්ණත්වය {name} ඉදිරි දින {number}.")</f>
        <v>සාමාන්‍ය උෂ්ණත්වය {name} ඉදිරි දින {number}.</v>
      </c>
      <c r="BC108" s="7" t="str">
        <f>IFERROR(__xludf.DUMMYFUNCTION("GoogleTranslate(C108, ""en"", ""sk"")"),"Priemerná teplota {name} nasledujúcich {number} dní.")</f>
        <v>Priemerná teplota {name} nasledujúcich {number} dní.</v>
      </c>
      <c r="BD108" s="7" t="str">
        <f>IFERROR(__xludf.DUMMYFUNCTION("GoogleTranslate(C108, ""en"", ""sl"")"),"Povprečna temperatura {name} naslednjih {number} dni.")</f>
        <v>Povprečna temperatura {name} naslednjih {number} dni.</v>
      </c>
      <c r="BE108" s="7" t="str">
        <f>IFERROR(__xludf.DUMMYFUNCTION("GoogleTranslate(C108, ""en"", ""es"")"),"Temperatura promedio {nombre} los próximos {número} días.")</f>
        <v>Temperatura promedio {nombre} los próximos {número} días.</v>
      </c>
      <c r="BF108" s="7" t="str">
        <f>IFERROR(__xludf.DUMMYFUNCTION("GoogleTranslate(C108, ""en"", ""sw"")"),"Wastani wa halijoto {name} siku {number} zijazo.")</f>
        <v>Wastani wa halijoto {name} siku {number} zijazo.</v>
      </c>
      <c r="BG108" s="7" t="str">
        <f>IFERROR(__xludf.DUMMYFUNCTION("GoogleTranslate(C108, ""en"", ""sv"")"),"Medeltemperatur {name} nästa {number} dagar.")</f>
        <v>Medeltemperatur {name} nästa {number} dagar.</v>
      </c>
      <c r="BH108" s="7" t="str">
        <f>IFERROR(__xludf.DUMMYFUNCTION("GoogleTranslate(C108, ""en"", ""te"")"),"వచ్చే {number} రోజులలో సగటు ఉష్ణోగ్రత {name}.")</f>
        <v>వచ్చే {number} రోజులలో సగటు ఉష్ణోగ్రత {name}.</v>
      </c>
      <c r="BI108" s="7" t="str">
        <f>IFERROR(__xludf.DUMMYFUNCTION("GoogleTranslate(C108, ""en"", ""th"")"),"อุณหภูมิเฉลี่ย {name} ถัดไป {number} วัน")</f>
        <v>อุณหภูมิเฉลี่ย {name} ถัดไป {number} วัน</v>
      </c>
      <c r="BJ108" s="7" t="str">
        <f>IFERROR(__xludf.DUMMYFUNCTION("GoogleTranslate(C108, ""en"", ""tr"")"),"Önümüzdeki {number} günün ortalama sıcaklığı {name}.")</f>
        <v>Önümüzdeki {number} günün ortalama sıcaklığı {name}.</v>
      </c>
      <c r="BK108" s="7" t="str">
        <f>IFERROR(__xludf.DUMMYFUNCTION("GoogleTranslate(C108, ""en"", ""uk"")"),"Середня температура {name} наступні {number} днів.")</f>
        <v>Середня температура {name} наступні {number} днів.</v>
      </c>
      <c r="BL108" s="7" t="str">
        <f>IFERROR(__xludf.DUMMYFUNCTION("GoogleTranslate(C108, ""en"", ""zu"")"),"Izinga lokushisa elimaphakathi elingu-{name} ezinsukwini ezingu-{number} ezilandelayo.")</f>
        <v>Izinga lokushisa elimaphakathi elingu-{name} ezinsukwini ezingu-{number} ezilandelayo.</v>
      </c>
    </row>
    <row r="109">
      <c r="A109" s="5" t="str">
        <f t="shared" si="1"/>
        <v>Uv_index_{name}_next_{number}_days.</v>
      </c>
      <c r="B109" s="6" t="s">
        <v>166</v>
      </c>
      <c r="C109" s="5" t="str">
        <f t="shared" si="2"/>
        <v>Uv index {name} next {number} days.</v>
      </c>
      <c r="D109" s="7" t="str">
        <f>IFERROR(__xludf.DUMMYFUNCTION("GoogleTranslate(C109, ""en"", ""es"")"),"Índice ultravioleta {nombre} los próximos {número} días.")</f>
        <v>Índice ultravioleta {nombre} los próximos {número} días.</v>
      </c>
      <c r="E109" s="7" t="str">
        <f>IFERROR(__xludf.DUMMYFUNCTION("GoogleTranslate(C109, ""en"", ""ar"")"),"مؤشر الأشعة فوق البنفسجية {name} الأيام الـ {number} القادمة.")</f>
        <v>مؤشر الأشعة فوق البنفسجية {name} الأيام الـ {number} القادمة.</v>
      </c>
      <c r="F109" s="7" t="str">
        <f>IFERROR(__xludf.DUMMYFUNCTION("GoogleTranslate(C109, ""en"", ""hy"")"),"Ուլտրամանուշակագույն ինդեքս {name} հաջորդ {number} օրերին:")</f>
        <v>Ուլտրամանուշակագույն ինդեքս {name} հաջորդ {number} օրերին:</v>
      </c>
      <c r="G109" s="7" t="str">
        <f>IFERROR(__xludf.DUMMYFUNCTION("GoogleTranslate(C109, ""en"", ""vi"")"),"Chỉ số UV {name} ngày {number} ngày tới.")</f>
        <v>Chỉ số UV {name} ngày {number} ngày tới.</v>
      </c>
      <c r="H109" s="7" t="str">
        <f>IFERROR(__xludf.DUMMYFUNCTION("GoogleTranslate(C109, ""en"", ""az"")"),"Uv indeksi {name} növbəti {number} gün.")</f>
        <v>Uv indeksi {name} növbəti {number} gün.</v>
      </c>
      <c r="I109" s="7" t="str">
        <f>IFERROR(__xludf.DUMMYFUNCTION("GoogleTranslate(C109, ""en"", ""eu"")"),"Uv indizea {name} hurrengo {number} egunetan.")</f>
        <v>Uv indizea {name} hurrengo {number} egunetan.</v>
      </c>
      <c r="J109" s="7" t="str">
        <f>IFERROR(__xludf.DUMMYFUNCTION("GoogleTranslate(C109, ""en"", ""be"")"),"Ультрафіялетавы індэкс {імя} у наступныя {number} дзён.")</f>
        <v>Ультрафіялетавы індэкс {імя} у наступныя {number} дзён.</v>
      </c>
      <c r="K109" s="7" t="str">
        <f>IFERROR(__xludf.DUMMYFUNCTION("GoogleTranslate(C109, ""en"", ""bn"")"),"Uv সূচক {name} পরবর্তী {number} দিন।")</f>
        <v>Uv সূচক {name} পরবর্তী {number} দিন।</v>
      </c>
      <c r="L109" s="7" t="str">
        <f>IFERROR(__xludf.DUMMYFUNCTION("GoogleTranslate(C109, ""en"", ""bg"")"),"Uv индекс {name} следващите {number} дни.")</f>
        <v>Uv индекс {name} следващите {number} дни.</v>
      </c>
      <c r="M109" s="7" t="str">
        <f>IFERROR(__xludf.DUMMYFUNCTION("GoogleTranslate(C109, ""en"", ""my"")"),"Uv အညွှန်း {name} နောက် {number} ရက်။")</f>
        <v>Uv အညွှန်း {name} နောက် {number} ရက်။</v>
      </c>
      <c r="N109" s="7" t="str">
        <f>IFERROR(__xludf.DUMMYFUNCTION("GoogleTranslate(C109, ""en"", ""ca"")"),"Índex UV {name} propers {number} dies.")</f>
        <v>Índex UV {name} propers {number} dies.</v>
      </c>
      <c r="O109" s="7" t="str">
        <f>IFERROR(__xludf.DUMMYFUNCTION("GoogleTranslate(C109, ""en"", ""zh-cn"")"),"接下来 {number} 天的紫外线指数 {name}。")</f>
        <v>接下来 {number} 天的紫外线指数 {name}。</v>
      </c>
      <c r="P109" s="7" t="str">
        <f>IFERROR(__xludf.DUMMYFUNCTION("GoogleTranslate(C109, ""en"", ""zh-TW"")"),"接下來 {number} 天的紫外線指數 {name}。")</f>
        <v>接下來 {number} 天的紫外線指數 {name}。</v>
      </c>
      <c r="Q109" s="7" t="str">
        <f>IFERROR(__xludf.DUMMYFUNCTION("GoogleTranslate(C109, ""en"", ""hr"")"),"Uv indeks {name} sljedećih {number} dana.")</f>
        <v>Uv indeks {name} sljedećih {number} dana.</v>
      </c>
      <c r="R109" s="7" t="str">
        <f>IFERROR(__xludf.DUMMYFUNCTION("GoogleTranslate(C109, ""en"", ""cs"")"),"UV index {name} příštích {number} dnů.")</f>
        <v>UV index {name} příštích {number} dnů.</v>
      </c>
      <c r="S109" s="7" t="str">
        <f>IFERROR(__xludf.DUMMYFUNCTION("GoogleTranslate(C109, ""en"", ""da"")"),"Uv-indeks {name} næste {number} dage.")</f>
        <v>Uv-indeks {name} næste {number} dage.</v>
      </c>
      <c r="T109" s="7" t="str">
        <f>IFERROR(__xludf.DUMMYFUNCTION("GoogleTranslate(C109, ""en"", ""nl"")"),"UV-index {naam} komende {aantal} dagen.")</f>
        <v>UV-index {naam} komende {aantal} dagen.</v>
      </c>
      <c r="U109" s="7" t="str">
        <f>IFERROR(__xludf.DUMMYFUNCTION("GoogleTranslate(C109, ""en"", ""et"")"),"UV-indeks {name} järgmise {number} päeva jooksul.")</f>
        <v>UV-indeks {name} järgmise {number} päeva jooksul.</v>
      </c>
      <c r="V109" s="5" t="str">
        <f t="shared" si="3"/>
        <v>Uv index {name} next {number} days.</v>
      </c>
      <c r="W109" s="7" t="str">
        <f>IFERROR(__xludf.DUMMYFUNCTION("GoogleTranslate(C109, ""en"", ""fi"")"),"UV-indeksi {name} seuraavat {number} päivää.")</f>
        <v>UV-indeksi {name} seuraavat {number} päivää.</v>
      </c>
      <c r="X109" s="7" t="str">
        <f>IFERROR(__xludf.DUMMYFUNCTION("GoogleTranslate(C109, ""en"", ""fr"")"),"Index UV {nom} prochains {nombre} jours.")</f>
        <v>Index UV {nom} prochains {nombre} jours.</v>
      </c>
      <c r="Y109" s="7" t="str">
        <f>IFERROR(__xludf.DUMMYFUNCTION("GoogleTranslate(C109, ""en"", ""de"")"),"UV-Index {Name} nächste {Anzahl} Tage.")</f>
        <v>UV-Index {Name} nächste {Anzahl} Tage.</v>
      </c>
      <c r="Z109" s="7" t="str">
        <f>IFERROR(__xludf.DUMMYFUNCTION("GoogleTranslate(C109, ""en"", ""el"")"),"Δείκτης UV {name} επόμενες {number} ημέρες.")</f>
        <v>Δείκτης UV {name} επόμενες {number} ημέρες.</v>
      </c>
      <c r="AA109" s="7" t="str">
        <f>IFERROR(__xludf.DUMMYFUNCTION("GoogleTranslate(C109, ""en"", ""iw"")"),"אינדקס UV {name} ב-{number} הימים הבאים.")</f>
        <v>אינדקס UV {name} ב-{number} הימים הבאים.</v>
      </c>
      <c r="AB109" s="7" t="str">
        <f>IFERROR(__xludf.DUMMYFUNCTION("GoogleTranslate(C109, ""en"", ""hi"")"),"यूवी सूचकांक {नाम} अगले {संख्या} दिन।")</f>
        <v>यूवी सूचकांक {नाम} अगले {संख्या} दिन।</v>
      </c>
      <c r="AC109" s="7" t="str">
        <f>IFERROR(__xludf.DUMMYFUNCTION("GoogleTranslate(C109, ""en"", ""hu"")"),"UV-index {name} következő {number} napon.")</f>
        <v>UV-index {name} következő {number} napon.</v>
      </c>
      <c r="AD109" s="7" t="str">
        <f>IFERROR(__xludf.DUMMYFUNCTION("GoogleTranslate(C109, ""en"", ""is"")"),"UV vísitala {name} næstu {number} daga.")</f>
        <v>UV vísitala {name} næstu {number} daga.</v>
      </c>
      <c r="AE109" s="7" t="str">
        <f>IFERROR(__xludf.DUMMYFUNCTION("GoogleTranslate(C109, ""en"", ""id"")"),"Indeks UV {name} {number} hari ke depan.")</f>
        <v>Indeks UV {name} {number} hari ke depan.</v>
      </c>
      <c r="AF109" s="7" t="str">
        <f>IFERROR(__xludf.DUMMYFUNCTION("GoogleTranslate(C109, ""en"", ""in"")"),"Indeks UV {name} {number} hari ke depan.")</f>
        <v>Indeks UV {name} {number} hari ke depan.</v>
      </c>
      <c r="AG109" s="7" t="str">
        <f>IFERROR(__xludf.DUMMYFUNCTION("GoogleTranslate(C109, ""en"", ""it"")"),"Indice Uv {nome} prossimi {numero} giorni.")</f>
        <v>Indice Uv {nome} prossimi {numero} giorni.</v>
      </c>
      <c r="AH109" s="7" t="str">
        <f>IFERROR(__xludf.DUMMYFUNCTION("GoogleTranslate(C109, ""en"", ""ja"")"),"今後の {number} 日間の紫外線インデックス {name}。")</f>
        <v>今後の {number} 日間の紫外線インデックス {name}。</v>
      </c>
      <c r="AI109" s="7" t="str">
        <f>IFERROR(__xludf.DUMMYFUNCTION("GoogleTranslate(C109, ""en"", ""kn"")"),"ಯುವಿ ಸೂಚ್ಯಂಕ {name} ಮುಂದಿನ {number} ದಿನಗಳು.")</f>
        <v>ಯುವಿ ಸೂಚ್ಯಂಕ {name} ಮುಂದಿನ {number} ದಿನಗಳು.</v>
      </c>
      <c r="AJ109" s="7" t="str">
        <f>IFERROR(__xludf.DUMMYFUNCTION("GoogleTranslate(C109, ""en"", ""km"")"),"Uv index {name} បន្ទាប់ {number} ថ្ងៃ")</f>
        <v>Uv index {name} បន្ទាប់ {number} ថ្ងៃ</v>
      </c>
      <c r="AK109" s="7" t="str">
        <f>IFERROR(__xludf.DUMMYFUNCTION("GoogleTranslate(C109, ""en"", ""ko"")"),"자외선 지수 {name} 다음 {number}일.")</f>
        <v>자외선 지수 {name} 다음 {number}일.</v>
      </c>
      <c r="AL109" s="7" t="str">
        <f>IFERROR(__xludf.DUMMYFUNCTION("GoogleTranslate(C109, ""en"", ""lo"")"),"Uv index {name} ຕໍ່ໄປ {number} ມື້.")</f>
        <v>Uv index {name} ຕໍ່ໄປ {number} ມື້.</v>
      </c>
      <c r="AM109" s="7" t="str">
        <f>IFERROR(__xludf.DUMMYFUNCTION("GoogleTranslate(C109, ""en"", ""lv"")"),"UV indekss {name} nākamās {number} dienas.")</f>
        <v>UV indekss {name} nākamās {number} dienas.</v>
      </c>
      <c r="AN109" s="7" t="str">
        <f>IFERROR(__xludf.DUMMYFUNCTION("GoogleTranslate(C109, ""en"", ""lt"")"),"UV indeksas {name} kitas {number} d.")</f>
        <v>UV indeksas {name} kitas {number} d.</v>
      </c>
      <c r="AO109" s="7" t="str">
        <f>IFERROR(__xludf.DUMMYFUNCTION("GoogleTranslate(C109, ""en"", ""mk"")"),"УВ индекс {name} следните {number} дена.")</f>
        <v>УВ индекс {name} следните {number} дена.</v>
      </c>
      <c r="AP109" s="7" t="str">
        <f>IFERROR(__xludf.DUMMYFUNCTION("GoogleTranslate(C109, ""en"", ""ms"")"),"Indeks UV {nama} {number} hari berikutnya.")</f>
        <v>Indeks UV {nama} {number} hari berikutnya.</v>
      </c>
      <c r="AQ109" s="7" t="str">
        <f>IFERROR(__xludf.DUMMYFUNCTION("GoogleTranslate(C109, ""en"", ""ml"")"),"Uv സൂചിക {name} അടുത്ത {number} ദിവസങ്ങളിൽ.")</f>
        <v>Uv സൂചിക {name} അടുത്ത {number} ദിവസങ്ങളിൽ.</v>
      </c>
      <c r="AR109" s="7" t="str">
        <f>IFERROR(__xludf.DUMMYFUNCTION("GoogleTranslate(C109, ""en"", ""mr"")"),"Uv अनुक्रमणिका {name} पुढील {number} दिवस.")</f>
        <v>Uv अनुक्रमणिका {name} पुढील {number} दिवस.</v>
      </c>
      <c r="AS109" s="7" t="str">
        <f>IFERROR(__xludf.DUMMYFUNCTION("GoogleTranslate(C109, ""en"", ""mn"")"),"UV индекс {name} дараагийн {number} өдөр.")</f>
        <v>UV индекс {name} дараагийн {number} өдөр.</v>
      </c>
      <c r="AT109" s="7" t="str">
        <f>IFERROR(__xludf.DUMMYFUNCTION("GoogleTranslate(C109, ""en"", ""ne"")"),"Uv अनुक्रमणिका {name} अर्को {number} दिन।")</f>
        <v>Uv अनुक्रमणिका {name} अर्को {number} दिन।</v>
      </c>
      <c r="AU109" s="7" t="str">
        <f>IFERROR(__xludf.DUMMYFUNCTION("GoogleTranslate(C109, ""en"", ""nb"")"),"Uv-indeks {name} neste {number} dager.")</f>
        <v>Uv-indeks {name} neste {number} dager.</v>
      </c>
      <c r="AV109" s="7" t="str">
        <f>IFERROR(__xludf.DUMMYFUNCTION("GoogleTranslate(C109, ""en"", ""fa"")"),"شاخص UV {name} {number} روز آینده.")</f>
        <v>شاخص UV {name} {number} روز آینده.</v>
      </c>
      <c r="AW109" s="7" t="str">
        <f>IFERROR(__xludf.DUMMYFUNCTION("GoogleTranslate(C109, ""en"", ""pl"")"),"Indeks UV {name} następne {number} dni.")</f>
        <v>Indeks UV {name} następne {number} dni.</v>
      </c>
      <c r="AX109" s="7" t="str">
        <f>IFERROR(__xludf.DUMMYFUNCTION("GoogleTranslate(C109, ""en"", ""pt"")"),"Índice UV {nome} nos próximos {número} dias.")</f>
        <v>Índice UV {nome} nos próximos {número} dias.</v>
      </c>
      <c r="AY109" s="7" t="str">
        <f>IFERROR(__xludf.DUMMYFUNCTION("GoogleTranslate(C109, ""en"", ""ro"")"),"Index UV {name} următoarele {number} zile.")</f>
        <v>Index UV {name} următoarele {number} zile.</v>
      </c>
      <c r="AZ109" s="7" t="str">
        <f>IFERROR(__xludf.DUMMYFUNCTION("GoogleTranslate(C109, ""en"", ""ru"")"),"УФ-индекс {name} в ближайшие {number} дней.")</f>
        <v>УФ-индекс {name} в ближайшие {number} дней.</v>
      </c>
      <c r="BA109" s="7" t="str">
        <f>IFERROR(__xludf.DUMMYFUNCTION("GoogleTranslate(C109, ""en"", ""sr"")"),"Ув индекс {наме} следећих {нумбер} дана.")</f>
        <v>Ув индекс {наме} следећих {нумбер} дана.</v>
      </c>
      <c r="BB109" s="7" t="str">
        <f>IFERROR(__xludf.DUMMYFUNCTION("GoogleTranslate(C109, ""en"", ""si"")"),"Uv දර්ශකය {name} ඉදිරි දින {number}.")</f>
        <v>Uv දර්ශකය {name} ඉදිරි දින {number}.</v>
      </c>
      <c r="BC109" s="7" t="str">
        <f>IFERROR(__xludf.DUMMYFUNCTION("GoogleTranslate(C109, ""en"", ""sk"")"),"UV index {name} nasledujúcich {number} dní.")</f>
        <v>UV index {name} nasledujúcich {number} dní.</v>
      </c>
      <c r="BD109" s="7" t="str">
        <f>IFERROR(__xludf.DUMMYFUNCTION("GoogleTranslate(C109, ""en"", ""sl"")"),"Uv indeks {name} naslednjih {number} dni.")</f>
        <v>Uv indeks {name} naslednjih {number} dni.</v>
      </c>
      <c r="BE109" s="7" t="str">
        <f>IFERROR(__xludf.DUMMYFUNCTION("GoogleTranslate(C109, ""en"", ""es"")"),"Índice ultravioleta {nombre} los próximos {número} días.")</f>
        <v>Índice ultravioleta {nombre} los próximos {número} días.</v>
      </c>
      <c r="BF109" s="7" t="str">
        <f>IFERROR(__xludf.DUMMYFUNCTION("GoogleTranslate(C109, ""en"", ""sw"")"),"Uv index {name} siku {number} zijazo.")</f>
        <v>Uv index {name} siku {number} zijazo.</v>
      </c>
      <c r="BG109" s="7" t="str">
        <f>IFERROR(__xludf.DUMMYFUNCTION("GoogleTranslate(C109, ""en"", ""sv"")"),"Uv-index {name} nästa {number} dagar.")</f>
        <v>Uv-index {name} nästa {number} dagar.</v>
      </c>
      <c r="BH109" s="7" t="str">
        <f>IFERROR(__xludf.DUMMYFUNCTION("GoogleTranslate(C109, ""en"", ""te"")"),"Uv సూచిక {name} తదుపరి {number} రోజులు.")</f>
        <v>Uv సూచిక {name} తదుపరి {number} రోజులు.</v>
      </c>
      <c r="BI109" s="7" t="str">
        <f>IFERROR(__xludf.DUMMYFUNCTION("GoogleTranslate(C109, ""en"", ""th"")"),"ดัชนีรังสียูวี {name} ถัดไป {number} วัน")</f>
        <v>ดัชนีรังสียูวี {name} ถัดไป {number} วัน</v>
      </c>
      <c r="BJ109" s="7" t="str">
        <f>IFERROR(__xludf.DUMMYFUNCTION("GoogleTranslate(C109, ""en"", ""tr"")"),"UV indeksi {name} önümüzdeki {number} gün.")</f>
        <v>UV indeksi {name} önümüzdeki {number} gün.</v>
      </c>
      <c r="BK109" s="7" t="str">
        <f>IFERROR(__xludf.DUMMYFUNCTION("GoogleTranslate(C109, ""en"", ""uk"")"),"УФ-індекс {name} наступні {number} днів.")</f>
        <v>УФ-індекс {name} наступні {number} днів.</v>
      </c>
      <c r="BL109" s="7" t="str">
        <f>IFERROR(__xludf.DUMMYFUNCTION("GoogleTranslate(C109, ""en"", ""zu"")"),"Inkomba ye-Uv {name} ezinsukwini ezingu-{number} ezilandelayo.")</f>
        <v>Inkomba ye-Uv {name} ezinsukwini ezingu-{number} ezilandelayo.</v>
      </c>
    </row>
    <row r="110">
      <c r="A110" s="5" t="str">
        <f t="shared" si="1"/>
        <v>Weather_forecast_{name}_next_{number}_days</v>
      </c>
      <c r="B110" s="6" t="s">
        <v>167</v>
      </c>
      <c r="C110" s="5" t="str">
        <f t="shared" si="2"/>
        <v>Weather forecast {name} next {number} days</v>
      </c>
      <c r="D110" s="7" t="str">
        <f>IFERROR(__xludf.DUMMYFUNCTION("GoogleTranslate(C110, ""en"", ""es"")"),"Pronóstico del tiempo para {nombre} los próximos {número} días")</f>
        <v>Pronóstico del tiempo para {nombre} los próximos {número} días</v>
      </c>
      <c r="E110" s="7" t="str">
        <f>IFERROR(__xludf.DUMMYFUNCTION("GoogleTranslate(C110, ""en"", ""ar"")"),"توقعات الطقس {name} الأيام الـ {number} القادمة")</f>
        <v>توقعات الطقس {name} الأيام الـ {number} القادمة</v>
      </c>
      <c r="F110" s="7" t="str">
        <f>IFERROR(__xludf.DUMMYFUNCTION("GoogleTranslate(C110, ""en"", ""hy"")"),"Եղանակի կանխատեսում {name} հաջորդ {number} օրերին")</f>
        <v>Եղանակի կանխատեսում {name} հաջորդ {number} օրերին</v>
      </c>
      <c r="G110" s="7" t="str">
        <f>IFERROR(__xludf.DUMMYFUNCTION("GoogleTranslate(C110, ""en"", ""vi"")"),"Dự báo thời tiết {name} ngày {number} ngày tới")</f>
        <v>Dự báo thời tiết {name} ngày {number} ngày tới</v>
      </c>
      <c r="H110" s="7" t="str">
        <f>IFERROR(__xludf.DUMMYFUNCTION("GoogleTranslate(C110, ""en"", ""az"")"),"Növbəti {number} gündə hava proqnozu {name}")</f>
        <v>Növbəti {number} gündə hava proqnozu {name}</v>
      </c>
      <c r="I110" s="7" t="str">
        <f>IFERROR(__xludf.DUMMYFUNCTION("GoogleTranslate(C110, ""en"", ""eu"")"),"Eguraldi-iragarpena {name} hurrengo {number} egunetan")</f>
        <v>Eguraldi-iragarpena {name} hurrengo {number} egunetan</v>
      </c>
      <c r="J110" s="7" t="str">
        <f>IFERROR(__xludf.DUMMYFUNCTION("GoogleTranslate(C110, ""en"", ""be"")"),"Прагноз надвор'я {name} на наступныя {number} дзён")</f>
        <v>Прагноз надвор'я {name} на наступныя {number} дзён</v>
      </c>
      <c r="K110" s="7" t="str">
        <f>IFERROR(__xludf.DUMMYFUNCTION("GoogleTranslate(C110, ""en"", ""bn"")"),"আগামী {number} দিনের আবহাওয়ার পূর্বাভাস {name}")</f>
        <v>আগামী {number} দিনের আবহাওয়ার পূর্বাভাস {name}</v>
      </c>
      <c r="L110" s="7" t="str">
        <f>IFERROR(__xludf.DUMMYFUNCTION("GoogleTranslate(C110, ""en"", ""bg"")"),"Прогноза за времето {name} следващите {number} дни")</f>
        <v>Прогноза за времето {name} следващите {number} дни</v>
      </c>
      <c r="M110" s="7" t="str">
        <f>IFERROR(__xludf.DUMMYFUNCTION("GoogleTranslate(C110, ""en"", ""my"")"),"လာမည့် {number} ရက်များအတွက် မိုးလေဝသ ခန့်မှန်းချက် {name}")</f>
        <v>လာမည့် {number} ရက်များအတွက် မိုးလေဝသ ခန့်မှန်းချက် {name}</v>
      </c>
      <c r="N110" s="7" t="str">
        <f>IFERROR(__xludf.DUMMYFUNCTION("GoogleTranslate(C110, ""en"", ""ca"")"),"Previsió meteorològica {name} els propers {number} dies")</f>
        <v>Previsió meteorològica {name} els propers {number} dies</v>
      </c>
      <c r="O110" s="7" t="str">
        <f>IFERROR(__xludf.DUMMYFUNCTION("GoogleTranslate(C110, ""en"", ""zh-cn"")"),"天气预报 {name} 未来 {number} 天")</f>
        <v>天气预报 {name} 未来 {number} 天</v>
      </c>
      <c r="P110" s="7" t="str">
        <f>IFERROR(__xludf.DUMMYFUNCTION("GoogleTranslate(C110, ""en"", ""zh-TW"")"),"天氣預報 {name} 未來 {number} 天")</f>
        <v>天氣預報 {name} 未來 {number} 天</v>
      </c>
      <c r="Q110" s="7" t="str">
        <f>IFERROR(__xludf.DUMMYFUNCTION("GoogleTranslate(C110, ""en"", ""hr"")"),"Vremenska prognoza {name} sljedećih {number} dana")</f>
        <v>Vremenska prognoza {name} sljedećih {number} dana</v>
      </c>
      <c r="R110" s="7" t="str">
        <f>IFERROR(__xludf.DUMMYFUNCTION("GoogleTranslate(C110, ""en"", ""cs"")"),"Předpověď počasí {name} na příštích {number} dní")</f>
        <v>Předpověď počasí {name} na příštích {number} dní</v>
      </c>
      <c r="S110" s="7" t="str">
        <f>IFERROR(__xludf.DUMMYFUNCTION("GoogleTranslate(C110, ""en"", ""da"")"),"Vejrudsigt {name} næste {number} dage")</f>
        <v>Vejrudsigt {name} næste {number} dage</v>
      </c>
      <c r="T110" s="7" t="str">
        <f>IFERROR(__xludf.DUMMYFUNCTION("GoogleTranslate(C110, ""en"", ""nl"")"),"Weersverwachting {naam} komende {aantal} dagen")</f>
        <v>Weersverwachting {naam} komende {aantal} dagen</v>
      </c>
      <c r="U110" s="7" t="str">
        <f>IFERROR(__xludf.DUMMYFUNCTION("GoogleTranslate(C110, ""en"", ""et"")"),"Ilmateade {name} järgmiseks {number} päevaks")</f>
        <v>Ilmateade {name} järgmiseks {number} päevaks</v>
      </c>
      <c r="V110" s="5" t="str">
        <f t="shared" si="3"/>
        <v>Weather forecast {name} next {number} days</v>
      </c>
      <c r="W110" s="7" t="str">
        <f>IFERROR(__xludf.DUMMYFUNCTION("GoogleTranslate(C110, ""en"", ""fi"")"),"Sääennuste {name} seuraavat {number} päivää")</f>
        <v>Sääennuste {name} seuraavat {number} päivää</v>
      </c>
      <c r="X110" s="7" t="str">
        <f>IFERROR(__xludf.DUMMYFUNCTION("GoogleTranslate(C110, ""en"", ""fr"")"),"Prévisions météo pour {name} prochains {number} jours")</f>
        <v>Prévisions météo pour {name} prochains {number} jours</v>
      </c>
      <c r="Y110" s="7" t="str">
        <f>IFERROR(__xludf.DUMMYFUNCTION("GoogleTranslate(C110, ""en"", ""de"")"),"Wettervorhersage für {Name} für die nächsten {Anzahl} Tage")</f>
        <v>Wettervorhersage für {Name} für die nächsten {Anzahl} Tage</v>
      </c>
      <c r="Z110" s="7" t="str">
        <f>IFERROR(__xludf.DUMMYFUNCTION("GoogleTranslate(C110, ""en"", ""el"")"),"Πρόγνωση καιρού {name} επόμενες {number} ημέρες")</f>
        <v>Πρόγνωση καιρού {name} επόμενες {number} ημέρες</v>
      </c>
      <c r="AA110" s="7" t="str">
        <f>IFERROR(__xludf.DUMMYFUNCTION("GoogleTranslate(C110, ""en"", ""iw"")"),"תחזית מזג האוויר {name} ב-{number} הימים הבאים")</f>
        <v>תחזית מזג האוויר {name} ב-{number} הימים הבאים</v>
      </c>
      <c r="AB110" s="7" t="str">
        <f>IFERROR(__xludf.DUMMYFUNCTION("GoogleTranslate(C110, ""en"", ""hi"")"),"अगले {संख्या} दिनों का मौसम पूर्वानुमान {नाम}")</f>
        <v>अगले {संख्या} दिनों का मौसम पूर्वानुमान {नाम}</v>
      </c>
      <c r="AC110" s="7" t="str">
        <f>IFERROR(__xludf.DUMMYFUNCTION("GoogleTranslate(C110, ""en"", ""hu"")"),"Időjárás előrejelzés {name} következő {number} napra")</f>
        <v>Időjárás előrejelzés {name} következő {number} napra</v>
      </c>
      <c r="AD110" s="7" t="str">
        <f>IFERROR(__xludf.DUMMYFUNCTION("GoogleTranslate(C110, ""en"", ""is"")"),"Veðurspá {name} næstu {number} daga")</f>
        <v>Veðurspá {name} næstu {number} daga</v>
      </c>
      <c r="AE110" s="7" t="str">
        <f>IFERROR(__xludf.DUMMYFUNCTION("GoogleTranslate(C110, ""en"", ""id"")"),"Prakiraan cuaca {name} {number} hari mendatang")</f>
        <v>Prakiraan cuaca {name} {number} hari mendatang</v>
      </c>
      <c r="AF110" s="7" t="str">
        <f>IFERROR(__xludf.DUMMYFUNCTION("GoogleTranslate(C110, ""en"", ""in"")"),"Prakiraan cuaca {name} {number} hari mendatang")</f>
        <v>Prakiraan cuaca {name} {number} hari mendatang</v>
      </c>
      <c r="AG110" s="7" t="str">
        <f>IFERROR(__xludf.DUMMYFUNCTION("GoogleTranslate(C110, ""en"", ""it"")"),"Previsioni del tempo {nome} prossimi {numero} giorni")</f>
        <v>Previsioni del tempo {nome} prossimi {numero} giorni</v>
      </c>
      <c r="AH110" s="7" t="str">
        <f>IFERROR(__xludf.DUMMYFUNCTION("GoogleTranslate(C110, ""en"", ""ja"")"),"{name} の今後 {number} 日間の天気予報")</f>
        <v>{name} の今後 {number} 日間の天気予報</v>
      </c>
      <c r="AI110" s="7" t="str">
        <f>IFERROR(__xludf.DUMMYFUNCTION("GoogleTranslate(C110, ""en"", ""kn"")"),"ಹವಾಮಾನ ಮುನ್ಸೂಚನೆ {name} ಮುಂದಿನ {number} ದಿನಗಳು")</f>
        <v>ಹವಾಮಾನ ಮುನ್ಸೂಚನೆ {name} ಮುಂದಿನ {number} ದಿನಗಳು</v>
      </c>
      <c r="AJ110" s="7" t="str">
        <f>IFERROR(__xludf.DUMMYFUNCTION("GoogleTranslate(C110, ""en"", ""km"")"),"ការព្យាករណ៍អាកាសធាតុ {name} {number} ថ្ងៃបន្ទាប់")</f>
        <v>ការព្យាករណ៍អាកាសធាតុ {name} {number} ថ្ងៃបន្ទាប់</v>
      </c>
      <c r="AK110" s="7" t="str">
        <f>IFERROR(__xludf.DUMMYFUNCTION("GoogleTranslate(C110, ""en"", ""ko"")"),"일기 예보 {name} 다음 {number}일")</f>
        <v>일기 예보 {name} 다음 {number}일</v>
      </c>
      <c r="AL110" s="7" t="str">
        <f>IFERROR(__xludf.DUMMYFUNCTION("GoogleTranslate(C110, ""en"", ""lo"")"),"ພະຍາກອນອາກາດ {name} {number} ມື້ຕໍ່ໄປ")</f>
        <v>ພະຍາກອນອາກາດ {name} {number} ມື້ຕໍ່ໄປ</v>
      </c>
      <c r="AM110" s="7" t="str">
        <f>IFERROR(__xludf.DUMMYFUNCTION("GoogleTranslate(C110, ""en"", ""lv"")"),"Laika prognoze {name} nākamajām {number} dienām")</f>
        <v>Laika prognoze {name} nākamajām {number} dienām</v>
      </c>
      <c r="AN110" s="7" t="str">
        <f>IFERROR(__xludf.DUMMYFUNCTION("GoogleTranslate(C110, ""en"", ""lt"")"),"Orų prognozė {name} kitas {number} dienas")</f>
        <v>Orų prognozė {name} kitas {number} dienas</v>
      </c>
      <c r="AO110" s="7" t="str">
        <f>IFERROR(__xludf.DUMMYFUNCTION("GoogleTranslate(C110, ""en"", ""mk"")"),"Временска прогноза {name} следните {number} дена")</f>
        <v>Временска прогноза {name} следните {number} дена</v>
      </c>
      <c r="AP110" s="7" t="str">
        <f>IFERROR(__xludf.DUMMYFUNCTION("GoogleTranslate(C110, ""en"", ""ms"")"),"Ramalan cuaca {name} {number} hari berikutnya")</f>
        <v>Ramalan cuaca {name} {number} hari berikutnya</v>
      </c>
      <c r="AQ110" s="7" t="str">
        <f>IFERROR(__xludf.DUMMYFUNCTION("GoogleTranslate(C110, ""en"", ""ml"")"),"കാലാവസ്ഥാ പ്രവചനം {name} അടുത്ത {number} ദിവസങ്ങൾ")</f>
        <v>കാലാവസ്ഥാ പ്രവചനം {name} അടുത്ത {number} ദിവസങ്ങൾ</v>
      </c>
      <c r="AR110" s="7" t="str">
        <f>IFERROR(__xludf.DUMMYFUNCTION("GoogleTranslate(C110, ""en"", ""mr"")"),"पुढील {number} दिवस {name} हवामानाचा अंदाज")</f>
        <v>पुढील {number} दिवस {name} हवामानाचा अंदाज</v>
      </c>
      <c r="AS110" s="7" t="str">
        <f>IFERROR(__xludf.DUMMYFUNCTION("GoogleTranslate(C110, ""en"", ""mn"")"),"{name} дараагийн {number} өдрийн цаг агаарын мэдээ")</f>
        <v>{name} дараагийн {number} өдрийн цаг агаарын мэдээ</v>
      </c>
      <c r="AT110" s="7" t="str">
        <f>IFERROR(__xludf.DUMMYFUNCTION("GoogleTranslate(C110, ""en"", ""ne"")"),"आगामी {number} दिनको मौसम पूर्वानुमान {name}")</f>
        <v>आगामी {number} दिनको मौसम पूर्वानुमान {name}</v>
      </c>
      <c r="AU110" s="7" t="str">
        <f>IFERROR(__xludf.DUMMYFUNCTION("GoogleTranslate(C110, ""en"", ""nb"")"),"Værmelding {name} neste {number} dager")</f>
        <v>Værmelding {name} neste {number} dager</v>
      </c>
      <c r="AV110" s="7" t="str">
        <f>IFERROR(__xludf.DUMMYFUNCTION("GoogleTranslate(C110, ""en"", ""fa"")"),"پیش بینی آب و هوا {name} {number} روز آینده")</f>
        <v>پیش بینی آب و هوا {name} {number} روز آینده</v>
      </c>
      <c r="AW110" s="7" t="str">
        <f>IFERROR(__xludf.DUMMYFUNCTION("GoogleTranslate(C110, ""en"", ""pl"")"),"Prognoza pogody {name} na następne {number} dni")</f>
        <v>Prognoza pogody {name} na następne {number} dni</v>
      </c>
      <c r="AX110" s="7" t="str">
        <f>IFERROR(__xludf.DUMMYFUNCTION("GoogleTranslate(C110, ""en"", ""pt"")"),"Previsão do tempo para {name} próximos {número} dias")</f>
        <v>Previsão do tempo para {name} próximos {número} dias</v>
      </c>
      <c r="AY110" s="7" t="str">
        <f>IFERROR(__xludf.DUMMYFUNCTION("GoogleTranslate(C110, ""en"", ""ro"")"),"Prognoza meteo {name} următoarele {number} zile")</f>
        <v>Prognoza meteo {name} următoarele {number} zile</v>
      </c>
      <c r="AZ110" s="7" t="str">
        <f>IFERROR(__xludf.DUMMYFUNCTION("GoogleTranslate(C110, ""en"", ""ru"")"),"Прогноз погоды {name} на следующие {number} дней")</f>
        <v>Прогноз погоды {name} на следующие {number} дней</v>
      </c>
      <c r="BA110" s="7" t="str">
        <f>IFERROR(__xludf.DUMMYFUNCTION("GoogleTranslate(C110, ""en"", ""sr"")"),"Временска прогноза {наме} наредних {нумбер} дана")</f>
        <v>Временска прогноза {наме} наредних {нумбер} дана</v>
      </c>
      <c r="BB110" s="7" t="str">
        <f>IFERROR(__xludf.DUMMYFUNCTION("GoogleTranslate(C110, ""en"", ""si"")"),"කාලගුණ අනාවැකිය {name} ඉදිරි දින {number}")</f>
        <v>කාලගුණ අනාවැකිය {name} ඉදිරි දින {number}</v>
      </c>
      <c r="BC110" s="7" t="str">
        <f>IFERROR(__xludf.DUMMYFUNCTION("GoogleTranslate(C110, ""en"", ""sk"")"),"Predpoveď počasia {name} na najbližších {number} dní")</f>
        <v>Predpoveď počasia {name} na najbližších {number} dní</v>
      </c>
      <c r="BD110" s="7" t="str">
        <f>IFERROR(__xludf.DUMMYFUNCTION("GoogleTranslate(C110, ""en"", ""sl"")"),"Vremenska napoved {name} naslednjih {number} dni")</f>
        <v>Vremenska napoved {name} naslednjih {number} dni</v>
      </c>
      <c r="BE110" s="7" t="str">
        <f>IFERROR(__xludf.DUMMYFUNCTION("GoogleTranslate(C110, ""en"", ""es"")"),"Pronóstico del tiempo para {nombre} los próximos {número} días")</f>
        <v>Pronóstico del tiempo para {nombre} los próximos {número} días</v>
      </c>
      <c r="BF110" s="7" t="str">
        <f>IFERROR(__xludf.DUMMYFUNCTION("GoogleTranslate(C110, ""en"", ""sw"")"),"Utabiri wa hali ya hewa {name} siku {number} zijazo")</f>
        <v>Utabiri wa hali ya hewa {name} siku {number} zijazo</v>
      </c>
      <c r="BG110" s="7" t="str">
        <f>IFERROR(__xludf.DUMMYFUNCTION("GoogleTranslate(C110, ""en"", ""sv"")"),"Väderprognos {name} nästa {number} dagar")</f>
        <v>Väderprognos {name} nästa {number} dagar</v>
      </c>
      <c r="BH110" s="7" t="str">
        <f>IFERROR(__xludf.DUMMYFUNCTION("GoogleTranslate(C110, ""en"", ""te"")"),"వాతావరణ సూచన {name} తదుపరి {number} రోజులు")</f>
        <v>వాతావరణ సూచన {name} తదుపరి {number} రోజులు</v>
      </c>
      <c r="BI110" s="7" t="str">
        <f>IFERROR(__xludf.DUMMYFUNCTION("GoogleTranslate(C110, ""en"", ""th"")"),"พยากรณ์อากาศ {name} ข้างหน้า {number} วัน")</f>
        <v>พยากรณ์อากาศ {name} ข้างหน้า {number} วัน</v>
      </c>
      <c r="BJ110" s="7" t="str">
        <f>IFERROR(__xludf.DUMMYFUNCTION("GoogleTranslate(C110, ""en"", ""tr"")"),"{name} için önümüzdeki {number} gün hava durumu tahmini")</f>
        <v>{name} için önümüzdeki {number} gün hava durumu tahmini</v>
      </c>
      <c r="BK110" s="7" t="str">
        <f>IFERROR(__xludf.DUMMYFUNCTION("GoogleTranslate(C110, ""en"", ""uk"")"),"Прогноз погоди {name} на наступні {number} днів")</f>
        <v>Прогноз погоди {name} на наступні {number} днів</v>
      </c>
      <c r="BL110" s="7" t="str">
        <f>IFERROR(__xludf.DUMMYFUNCTION("GoogleTranslate(C110, ""en"", ""zu"")"),"Isibikezelo sezulu {name} ezinsukwini ezingu-{number} ezilandelayo")</f>
        <v>Isibikezelo sezulu {name} ezinsukwini ezingu-{number} ezilandelayo</v>
      </c>
    </row>
    <row r="111">
      <c r="A111" s="5" t="str">
        <f t="shared" si="1"/>
        <v>Temperature_and_chance_of_rain_in_{name}_the_next_{number}_days</v>
      </c>
      <c r="B111" s="6" t="s">
        <v>168</v>
      </c>
      <c r="C111" s="5" t="str">
        <f t="shared" si="2"/>
        <v>Temperature and chance of rain in {name} the next {number} days</v>
      </c>
      <c r="D111" s="7" t="str">
        <f>IFERROR(__xludf.DUMMYFUNCTION("GoogleTranslate(C111, ""en"", ""es"")"),"Temperatura y probabilidad de lluvia en {name} los próximos {number} días")</f>
        <v>Temperatura y probabilidad de lluvia en {name} los próximos {number} días</v>
      </c>
      <c r="E111" s="7" t="str">
        <f>IFERROR(__xludf.DUMMYFUNCTION("GoogleTranslate(C111, ""en"", ""ar"")"),"درجة الحرارة وفرص هطول الأمطار في {name} خلال {number} الأيام القادمة")</f>
        <v>درجة الحرارة وفرص هطول الأمطار في {name} خلال {number} الأيام القادمة</v>
      </c>
      <c r="F111" s="7" t="str">
        <f>IFERROR(__xludf.DUMMYFUNCTION("GoogleTranslate(C111, ""en"", ""hy"")"),"Ջերմաստիճանը և անձրևի հավանականությունը {name}-ին հաջորդ {number} օրերին")</f>
        <v>Ջերմաստիճանը և անձրևի հավանականությունը {name}-ին հաջորդ {number} օրերին</v>
      </c>
      <c r="G111" s="7" t="str">
        <f>IFERROR(__xludf.DUMMYFUNCTION("GoogleTranslate(C111, ""en"", ""vi"")"),"Nhiệt độ và khả năng có mưa ở {name} trong {number} ngày tới")</f>
        <v>Nhiệt độ và khả năng có mưa ở {name} trong {number} ngày tới</v>
      </c>
      <c r="H111" s="7" t="str">
        <f>IFERROR(__xludf.DUMMYFUNCTION("GoogleTranslate(C111, ""en"", ""az"")"),"Növbəti {number} gündə {name} ərzində temperatur və yağış ehtimalı")</f>
        <v>Növbəti {number} gündə {name} ərzində temperatur və yağış ehtimalı</v>
      </c>
      <c r="I111" s="7" t="str">
        <f>IFERROR(__xludf.DUMMYFUNCTION("GoogleTranslate(C111, ""en"", ""eu"")"),"Tenperatura eta euria egiteko aukera {name}-n hurrengo {number} egunetan")</f>
        <v>Tenperatura eta euria egiteko aukera {name}-n hurrengo {number} egunetan</v>
      </c>
      <c r="J111" s="7" t="str">
        <f>IFERROR(__xludf.DUMMYFUNCTION("GoogleTranslate(C111, ""en"", ""be"")"),"Тэмпература і верагоднасць дажджу ў {name} у наступныя {number} дзён")</f>
        <v>Тэмпература і верагоднасць дажджу ў {name} у наступныя {number} дзён</v>
      </c>
      <c r="K111" s="7" t="str">
        <f>IFERROR(__xludf.DUMMYFUNCTION("GoogleTranslate(C111, ""en"", ""bn"")"),"আগামী {number} দিনে তাপমাত্রা এবং {name} বৃষ্টির সম্ভাবনা")</f>
        <v>আগামী {number} দিনে তাপমাত্রা এবং {name} বৃষ্টির সম্ভাবনা</v>
      </c>
      <c r="L111" s="7" t="str">
        <f>IFERROR(__xludf.DUMMYFUNCTION("GoogleTranslate(C111, ""en"", ""bg"")"),"Температура и вероятност за дъжд през {name} през следващите {number} дни")</f>
        <v>Температура и вероятност за дъжд през {name} през следващите {number} дни</v>
      </c>
      <c r="M111" s="7" t="str">
        <f>IFERROR(__xludf.DUMMYFUNCTION("GoogleTranslate(C111, ""en"", ""my"")"),"လာမည့် {number} ရက်အတွင်း {name} တွင် အပူချိန်နှင့် မိုးရွာနိုင်ခြေ")</f>
        <v>လာမည့် {number} ရက်အတွင်း {name} တွင် အပူချိန်နှင့် မိုးရွာနိုင်ခြေ</v>
      </c>
      <c r="N111" s="7" t="str">
        <f>IFERROR(__xludf.DUMMYFUNCTION("GoogleTranslate(C111, ""en"", ""ca"")"),"Temperatura i probabilitat de pluja a {name} els propers {number} dies")</f>
        <v>Temperatura i probabilitat de pluja a {name} els propers {number} dies</v>
      </c>
      <c r="O111" s="7" t="str">
        <f>IFERROR(__xludf.DUMMYFUNCTION("GoogleTranslate(C111, ""en"", ""zh-cn"")"),"未来 {number} 天 {name} 的气温和降雨概率")</f>
        <v>未来 {number} 天 {name} 的气温和降雨概率</v>
      </c>
      <c r="P111" s="7" t="str">
        <f>IFERROR(__xludf.DUMMYFUNCTION("GoogleTranslate(C111, ""en"", ""zh-TW"")"),"未來 {number} 天 {name} 的氣溫和降雨機率")</f>
        <v>未來 {number} 天 {name} 的氣溫和降雨機率</v>
      </c>
      <c r="Q111" s="7" t="str">
        <f>IFERROR(__xludf.DUMMYFUNCTION("GoogleTranslate(C111, ""en"", ""hr"")"),"Temperatura i mogućnost kiše u {name} sljedećih {number} dana")</f>
        <v>Temperatura i mogućnost kiše u {name} sljedećih {number} dana</v>
      </c>
      <c r="R111" s="7" t="str">
        <f>IFERROR(__xludf.DUMMYFUNCTION("GoogleTranslate(C111, ""en"", ""cs"")"),"Teplota a možnost deště v {name} v příštích {number} dnech")</f>
        <v>Teplota a možnost deště v {name} v příštích {number} dnech</v>
      </c>
      <c r="S111" s="7" t="str">
        <f>IFERROR(__xludf.DUMMYFUNCTION("GoogleTranslate(C111, ""en"", ""da"")"),"Temperatur og chance for regn i {name} de næste {number} dage")</f>
        <v>Temperatur og chance for regn i {name} de næste {number} dage</v>
      </c>
      <c r="T111" s="7" t="str">
        <f>IFERROR(__xludf.DUMMYFUNCTION("GoogleTranslate(C111, ""en"", ""nl"")"),"Temperatuur en kans op regen in {name} de komende {aantal} dagen")</f>
        <v>Temperatuur en kans op regen in {name} de komende {aantal} dagen</v>
      </c>
      <c r="U111" s="7" t="str">
        <f>IFERROR(__xludf.DUMMYFUNCTION("GoogleTranslate(C111, ""en"", ""et"")"),"Temperatuur ja vihma võimalus järgmise {number} päeva jooksul {name}")</f>
        <v>Temperatuur ja vihma võimalus järgmise {number} päeva jooksul {name}</v>
      </c>
      <c r="V111" s="5" t="str">
        <f t="shared" si="3"/>
        <v>Temperature and chance of rain in {name} the next {number} days</v>
      </c>
      <c r="W111" s="7" t="str">
        <f>IFERROR(__xludf.DUMMYFUNCTION("GoogleTranslate(C111, ""en"", ""fi"")"),"Lämpötila ja sateen mahdollisuus {name} seuraavan {number} päivän aikana")</f>
        <v>Lämpötila ja sateen mahdollisuus {name} seuraavan {number} päivän aikana</v>
      </c>
      <c r="X111" s="7" t="str">
        <f>IFERROR(__xludf.DUMMYFUNCTION("GoogleTranslate(C111, ""en"", ""fr"")"),"Température et risque de pluie à {name} dans les {number} prochains jours")</f>
        <v>Température et risque de pluie à {name} dans les {number} prochains jours</v>
      </c>
      <c r="Y111" s="7" t="str">
        <f>IFERROR(__xludf.DUMMYFUNCTION("GoogleTranslate(C111, ""en"", ""de"")"),"Temperatur und Regenwahrscheinlichkeit in {name} in den nächsten {number} Tagen")</f>
        <v>Temperatur und Regenwahrscheinlichkeit in {name} in den nächsten {number} Tagen</v>
      </c>
      <c r="Z111" s="7" t="str">
        <f>IFERROR(__xludf.DUMMYFUNCTION("GoogleTranslate(C111, ""en"", ""el"")"),"Θερμοκρασία και πιθανότητα βροχής το {name} τις επόμενες {number} ημέρες")</f>
        <v>Θερμοκρασία και πιθανότητα βροχής το {name} τις επόμενες {number} ημέρες</v>
      </c>
      <c r="AA111" s="7" t="str">
        <f>IFERROR(__xludf.DUMMYFUNCTION("GoogleTranslate(C111, ""en"", ""iw"")"),"טמפרטורה וסיכוי לגשם ב-{name} ב-{number} הימים הבאים")</f>
        <v>טמפרטורה וסיכוי לגשם ב-{name} ב-{number} הימים הבאים</v>
      </c>
      <c r="AB111" s="7" t="str">
        <f>IFERROR(__xludf.DUMMYFUNCTION("GoogleTranslate(C111, ""en"", ""hi"")"),"अगले {संख्या} दिनों में {नाम} में तापमान और बारिश की संभावना")</f>
        <v>अगले {संख्या} दिनों में {नाम} में तापमान और बारिश की संभावना</v>
      </c>
      <c r="AC111" s="7" t="str">
        <f>IFERROR(__xludf.DUMMYFUNCTION("GoogleTranslate(C111, ""en"", ""hu"")"),"Hőmérséklet és eső valószínűsége a következő {number} napon: {name}")</f>
        <v>Hőmérséklet és eső valószínűsége a következő {number} napon: {name}</v>
      </c>
      <c r="AD111" s="7" t="str">
        <f>IFERROR(__xludf.DUMMYFUNCTION("GoogleTranslate(C111, ""en"", ""is"")"),"Hiti og líkur á rigningu í {name} næstu {number} daga")</f>
        <v>Hiti og líkur á rigningu í {name} næstu {number} daga</v>
      </c>
      <c r="AE111" s="7" t="str">
        <f>IFERROR(__xludf.DUMMYFUNCTION("GoogleTranslate(C111, ""en"", ""id"")"),"Suhu dan kemungkinan hujan di {name} selama {number} hari ke depan")</f>
        <v>Suhu dan kemungkinan hujan di {name} selama {number} hari ke depan</v>
      </c>
      <c r="AF111" s="7" t="str">
        <f>IFERROR(__xludf.DUMMYFUNCTION("GoogleTranslate(C111, ""en"", ""in"")"),"Suhu dan kemungkinan hujan di {name} selama {number} hari ke depan")</f>
        <v>Suhu dan kemungkinan hujan di {name} selama {number} hari ke depan</v>
      </c>
      <c r="AG111" s="7" t="str">
        <f>IFERROR(__xludf.DUMMYFUNCTION("GoogleTranslate(C111, ""en"", ""it"")"),"Temperatura e possibilità di pioggia a {name} nei prossimi {numero} giorni")</f>
        <v>Temperatura e possibilità di pioggia a {name} nei prossimi {numero} giorni</v>
      </c>
      <c r="AH111" s="7" t="str">
        <f>IFERROR(__xludf.DUMMYFUNCTION("GoogleTranslate(C111, ""en"", ""ja"")"),"{name}の今後{number}日間の気温と降水確率")</f>
        <v>{name}の今後{number}日間の気温と降水確率</v>
      </c>
      <c r="AI111" s="7" t="str">
        <f>IFERROR(__xludf.DUMMYFUNCTION("GoogleTranslate(C111, ""en"", ""kn"")"),"ಮುಂದಿನ {number} ದಿನಗಳಲ್ಲಿ ತಾಪಮಾನ ಮತ್ತು {name} ನಲ್ಲಿ ಮಳೆಯ ಸಾಧ್ಯತೆ")</f>
        <v>ಮುಂದಿನ {number} ದಿನಗಳಲ್ಲಿ ತಾಪಮಾನ ಮತ್ತು {name} ನಲ್ಲಿ ಮಳೆಯ ಸಾಧ್ಯತೆ</v>
      </c>
      <c r="AJ111" s="7" t="str">
        <f>IFERROR(__xludf.DUMMYFUNCTION("GoogleTranslate(C111, ""en"", ""km"")"),"សីតុណ្ហភាព និងឱកាសនៃភ្លៀងនៅក្នុង {name} នៅ {number} ថ្ងៃបន្ទាប់")</f>
        <v>សីតុណ្ហភាព និងឱកាសនៃភ្លៀងនៅក្នុង {name} នៅ {number} ថ្ងៃបន្ទាប់</v>
      </c>
      <c r="AK111" s="7" t="str">
        <f>IFERROR(__xludf.DUMMYFUNCTION("GoogleTranslate(C111, ""en"", ""ko"")"),"다음 {number}일 동안 {name}의 기온과 비 올 확률")</f>
        <v>다음 {number}일 동안 {name}의 기온과 비 올 확률</v>
      </c>
      <c r="AL111" s="7" t="str">
        <f>IFERROR(__xludf.DUMMYFUNCTION("GoogleTranslate(C111, ""en"", ""lo"")"),"ອຸນຫະພູມ ແລະໂອກາດທີ່ຈະຝົນຕົກໃນ {name} ໃນ {number} ມື້ຕໍ່ໄປ")</f>
        <v>ອຸນຫະພູມ ແລະໂອກາດທີ່ຈະຝົນຕົກໃນ {name} ໃນ {number} ມື້ຕໍ່ໄປ</v>
      </c>
      <c r="AM111" s="7" t="str">
        <f>IFERROR(__xludf.DUMMYFUNCTION("GoogleTranslate(C111, ""en"", ""lv"")"),"Temperatūra un lietus iespējamība pēc {name} nākamajās {number} dienās")</f>
        <v>Temperatūra un lietus iespējamība pēc {name} nākamajās {number} dienās</v>
      </c>
      <c r="AN111" s="7" t="str">
        <f>IFERROR(__xludf.DUMMYFUNCTION("GoogleTranslate(C111, ""en"", ""lt"")"),"Temperatūra ir lietaus tikimybė per {name} kitas {number} dienas")</f>
        <v>Temperatūra ir lietaus tikimybė per {name} kitas {number} dienas</v>
      </c>
      <c r="AO111" s="7" t="str">
        <f>IFERROR(__xludf.DUMMYFUNCTION("GoogleTranslate(C111, ""en"", ""mk"")"),"Температура и можност за дожд во {name} следните {number} денови")</f>
        <v>Температура и можност за дожд во {name} следните {number} денови</v>
      </c>
      <c r="AP111" s="7" t="str">
        <f>IFERROR(__xludf.DUMMYFUNCTION("GoogleTranslate(C111, ""en"", ""ms"")"),"Suhu dan kemungkinan hujan di {name} pada {number} hari berikutnya")</f>
        <v>Suhu dan kemungkinan hujan di {name} pada {number} hari berikutnya</v>
      </c>
      <c r="AQ111" s="7" t="str">
        <f>IFERROR(__xludf.DUMMYFUNCTION("GoogleTranslate(C111, ""en"", ""ml"")"),"അടുത്ത {number} ദിവസങ്ങളിൽ {name} താപനിലയും മഴയ്ക്കുള്ള സാധ്യതയും")</f>
        <v>അടുത്ത {number} ദിവസങ്ങളിൽ {name} താപനിലയും മഴയ്ക്കുള്ള സാധ്യതയും</v>
      </c>
      <c r="AR111" s="7" t="str">
        <f>IFERROR(__xludf.DUMMYFUNCTION("GoogleTranslate(C111, ""en"", ""mr"")"),"पुढील {number} दिवसांमध्ये तापमान आणि {name} पावसाची शक्यता")</f>
        <v>पुढील {number} दिवसांमध्ये तापमान आणि {name} पावसाची शक्यता</v>
      </c>
      <c r="AS111" s="7" t="str">
        <f>IFERROR(__xludf.DUMMYFUNCTION("GoogleTranslate(C111, ""en"", ""mn"")"),"{name}-д дараагийн {number} өдрийн температур ба бороо орох магадлалтай")</f>
        <v>{name}-д дараагийн {number} өдрийн температур ба бороо орох магадлалтай</v>
      </c>
      <c r="AT111" s="7" t="str">
        <f>IFERROR(__xludf.DUMMYFUNCTION("GoogleTranslate(C111, ""en"", ""ne"")"),"तापक्रम र आगामी {number} दिनमा {name} वर्षाको सम्भावना")</f>
        <v>तापक्रम र आगामी {number} दिनमा {name} वर्षाको सम्भावना</v>
      </c>
      <c r="AU111" s="7" t="str">
        <f>IFERROR(__xludf.DUMMYFUNCTION("GoogleTranslate(C111, ""en"", ""nb"")"),"Temperatur og sjanse for regn i {name} de neste {number} dagene")</f>
        <v>Temperatur og sjanse for regn i {name} de neste {number} dagene</v>
      </c>
      <c r="AV111" s="7" t="str">
        <f>IFERROR(__xludf.DUMMYFUNCTION("GoogleTranslate(C111, ""en"", ""fa"")"),"دما و احتمال بارندگی در {name} در {number} روز آینده")</f>
        <v>دما و احتمال بارندگی در {name} در {number} روز آینده</v>
      </c>
      <c r="AW111" s="7" t="str">
        <f>IFERROR(__xludf.DUMMYFUNCTION("GoogleTranslate(C111, ""en"", ""pl"")"),"Temperatura i prawdopodobieństwo opadów deszczu w {name} w ciągu następnych {number} dni")</f>
        <v>Temperatura i prawdopodobieństwo opadów deszczu w {name} w ciągu następnych {number} dni</v>
      </c>
      <c r="AX111" s="7" t="str">
        <f>IFERROR(__xludf.DUMMYFUNCTION("GoogleTranslate(C111, ""en"", ""pt"")"),"Temperatura e probabilidade de chuva em {name} nos próximos {número} dias")</f>
        <v>Temperatura e probabilidade de chuva em {name} nos próximos {número} dias</v>
      </c>
      <c r="AY111" s="7" t="str">
        <f>IFERROR(__xludf.DUMMYFUNCTION("GoogleTranslate(C111, ""en"", ""ro"")"),"Temperatura și șansa de ploaie în {name} următoarele {number} zile")</f>
        <v>Temperatura și șansa de ploaie în {name} următoarele {number} zile</v>
      </c>
      <c r="AZ111" s="7" t="str">
        <f>IFERROR(__xludf.DUMMYFUNCTION("GoogleTranslate(C111, ""en"", ""ru"")"),"Температура и вероятность дождя в {name} в ближайшие {number} дней")</f>
        <v>Температура и вероятность дождя в {name} в ближайшие {number} дней</v>
      </c>
      <c r="BA111" s="7" t="str">
        <f>IFERROR(__xludf.DUMMYFUNCTION("GoogleTranslate(C111, ""en"", ""sr"")"),"Температура и могућност кише у {наме} следећих {нумбер} дана")</f>
        <v>Температура и могућност кише у {наме} следећих {нумбер} дана</v>
      </c>
      <c r="BB111" s="7" t="str">
        <f>IFERROR(__xludf.DUMMYFUNCTION("GoogleTranslate(C111, ""en"", ""si"")"),"ඉදිරි දින {number} {name} තුළ උෂ්ණත්වය සහ වර්ෂාපතන අවස්ථාව")</f>
        <v>ඉදිරි දින {number} {name} තුළ උෂ්ණත්වය සහ වර්ෂාපතන අවස්ථාව</v>
      </c>
      <c r="BC111" s="7" t="str">
        <f>IFERROR(__xludf.DUMMYFUNCTION("GoogleTranslate(C111, ""en"", ""sk"")"),"Teplota a možnosť dažďa v {name} počas nasledujúcich {number} dní")</f>
        <v>Teplota a možnosť dažďa v {name} počas nasledujúcich {number} dní</v>
      </c>
      <c r="BD111" s="7" t="str">
        <f>IFERROR(__xludf.DUMMYFUNCTION("GoogleTranslate(C111, ""en"", ""sl"")"),"Temperatura in možnost dežja v {name} naslednjih {number} dni")</f>
        <v>Temperatura in možnost dežja v {name} naslednjih {number} dni</v>
      </c>
      <c r="BE111" s="7" t="str">
        <f>IFERROR(__xludf.DUMMYFUNCTION("GoogleTranslate(C111, ""en"", ""es"")"),"Temperatura y probabilidad de lluvia en {name} los próximos {number} días")</f>
        <v>Temperatura y probabilidad de lluvia en {name} los próximos {number} días</v>
      </c>
      <c r="BF111" s="7" t="str">
        <f>IFERROR(__xludf.DUMMYFUNCTION("GoogleTranslate(C111, ""en"", ""sw"")"),"Halijoto na uwezekano wa kunyesha katika {name} siku {number} zijazo")</f>
        <v>Halijoto na uwezekano wa kunyesha katika {name} siku {number} zijazo</v>
      </c>
      <c r="BG111" s="7" t="str">
        <f>IFERROR(__xludf.DUMMYFUNCTION("GoogleTranslate(C111, ""en"", ""sv"")"),"Temperatur och risk för regn i {name} de kommande {number} dagarna")</f>
        <v>Temperatur och risk för regn i {name} de kommande {number} dagarna</v>
      </c>
      <c r="BH111" s="7" t="str">
        <f>IFERROR(__xludf.DUMMYFUNCTION("GoogleTranslate(C111, ""en"", ""te"")"),"{name} తర్వాతి {number} రోజుల్లో ఉష్ణోగ్రత మరియు వర్షం పడే అవకాశం")</f>
        <v>{name} తర్వాతి {number} రోజుల్లో ఉష్ణోగ్రత మరియు వర్షం పడే అవకాశం</v>
      </c>
      <c r="BI111" s="7" t="str">
        <f>IFERROR(__xludf.DUMMYFUNCTION("GoogleTranslate(C111, ""en"", ""th"")"),"อุณหภูมิและโอกาสเกิดฝนตกใน {name} ในอีก {number} วันข้างหน้า")</f>
        <v>อุณหภูมิและโอกาสเกิดฝนตกใน {name} ในอีก {number} วันข้างหน้า</v>
      </c>
      <c r="BJ111" s="7" t="str">
        <f>IFERROR(__xludf.DUMMYFUNCTION("GoogleTranslate(C111, ""en"", ""tr"")"),"Önümüzdeki {number} gün içinde {name} için sıcaklık ve yağmur ihtimali")</f>
        <v>Önümüzdeki {number} gün içinde {name} için sıcaklık ve yağmur ihtimali</v>
      </c>
      <c r="BK111" s="7" t="str">
        <f>IFERROR(__xludf.DUMMYFUNCTION("GoogleTranslate(C111, ""en"", ""uk"")"),"Температура та ймовірність дощу в {name} наступні {number} днів")</f>
        <v>Температура та ймовірність дощу в {name} наступні {number} днів</v>
      </c>
      <c r="BL111" s="7" t="str">
        <f>IFERROR(__xludf.DUMMYFUNCTION("GoogleTranslate(C111, ""en"", ""zu"")"),"Izinga lokushisa nethuba lemvula e-{name} ezinsukwini ezingu-{number} ezilandelayo")</f>
        <v>Izinga lokushisa nethuba lemvula e-{name} ezinsukwini ezingu-{number} ezilandelayo</v>
      </c>
    </row>
    <row r="112">
      <c r="A112" s="5" t="str">
        <f t="shared" si="1"/>
        <v>Mon</v>
      </c>
      <c r="B112" s="6" t="s">
        <v>169</v>
      </c>
      <c r="C112" s="5" t="str">
        <f t="shared" si="2"/>
        <v>Mon</v>
      </c>
      <c r="D112" s="7" t="str">
        <f>IFERROR(__xludf.DUMMYFUNCTION("GoogleTranslate(C112, ""en"", ""es"")"),"Lun")</f>
        <v>Lun</v>
      </c>
      <c r="E112" s="7" t="str">
        <f>IFERROR(__xludf.DUMMYFUNCTION("GoogleTranslate(C112, ""en"", ""ar"")"),"الاثنين")</f>
        <v>الاثنين</v>
      </c>
      <c r="F112" s="7" t="str">
        <f>IFERROR(__xludf.DUMMYFUNCTION("GoogleTranslate(C112, ""en"", ""hy"")"),"Երկ")</f>
        <v>Երկ</v>
      </c>
      <c r="G112" s="7" t="str">
        <f>IFERROR(__xludf.DUMMYFUNCTION("GoogleTranslate(C112, ""en"", ""vi"")"),"Thứ hai")</f>
        <v>Thứ hai</v>
      </c>
      <c r="H112" s="7" t="str">
        <f>IFERROR(__xludf.DUMMYFUNCTION("GoogleTranslate(C112, ""en"", ""az"")"),"Bazar ertəsi")</f>
        <v>Bazar ertəsi</v>
      </c>
      <c r="I112" s="7" t="str">
        <f>IFERROR(__xludf.DUMMYFUNCTION("GoogleTranslate(C112, ""en"", ""eu"")"),"al")</f>
        <v>al</v>
      </c>
      <c r="J112" s="7" t="str">
        <f>IFERROR(__xludf.DUMMYFUNCTION("GoogleTranslate(C112, ""en"", ""be"")"),"Пн")</f>
        <v>Пн</v>
      </c>
      <c r="K112" s="7" t="str">
        <f>IFERROR(__xludf.DUMMYFUNCTION("GoogleTranslate(C112, ""en"", ""bn"")"),"সোম")</f>
        <v>সোম</v>
      </c>
      <c r="L112" s="7" t="str">
        <f>IFERROR(__xludf.DUMMYFUNCTION("GoogleTranslate(C112, ""en"", ""bg"")"),"пн")</f>
        <v>пн</v>
      </c>
      <c r="M112" s="7" t="str">
        <f>IFERROR(__xludf.DUMMYFUNCTION("GoogleTranslate(C112, ""en"", ""my"")"),"မွန်")</f>
        <v>မွန်</v>
      </c>
      <c r="N112" s="7" t="str">
        <f>IFERROR(__xludf.DUMMYFUNCTION("GoogleTranslate(C112, ""en"", ""ca"")"),"Dl")</f>
        <v>Dl</v>
      </c>
      <c r="O112" s="7" t="str">
        <f>IFERROR(__xludf.DUMMYFUNCTION("GoogleTranslate(C112, ""en"", ""zh-cn"")"),"周一")</f>
        <v>周一</v>
      </c>
      <c r="P112" s="7" t="str">
        <f>IFERROR(__xludf.DUMMYFUNCTION("GoogleTranslate(C112, ""en"", ""zh-TW"")"),"週一")</f>
        <v>週一</v>
      </c>
      <c r="Q112" s="7" t="str">
        <f>IFERROR(__xludf.DUMMYFUNCTION("GoogleTranslate(C112, ""en"", ""hr"")"),"pon")</f>
        <v>pon</v>
      </c>
      <c r="R112" s="7" t="str">
        <f>IFERROR(__xludf.DUMMYFUNCTION("GoogleTranslate(C112, ""en"", ""cs"")"),"Po")</f>
        <v>Po</v>
      </c>
      <c r="S112" s="7" t="str">
        <f>IFERROR(__xludf.DUMMYFUNCTION("GoogleTranslate(C112, ""en"", ""da"")"),"man")</f>
        <v>man</v>
      </c>
      <c r="T112" s="7" t="str">
        <f>IFERROR(__xludf.DUMMYFUNCTION("GoogleTranslate(C112, ""en"", ""nl"")"),"ma")</f>
        <v>ma</v>
      </c>
      <c r="U112" s="7" t="str">
        <f>IFERROR(__xludf.DUMMYFUNCTION("GoogleTranslate(C112, ""en"", ""et"")"),"Esmasp")</f>
        <v>Esmasp</v>
      </c>
      <c r="V112" s="5" t="str">
        <f t="shared" si="3"/>
        <v>Mon</v>
      </c>
      <c r="W112" s="7" t="str">
        <f>IFERROR(__xludf.DUMMYFUNCTION("GoogleTranslate(C112, ""en"", ""fi"")"),"ma")</f>
        <v>ma</v>
      </c>
      <c r="X112" s="7" t="str">
        <f>IFERROR(__xludf.DUMMYFUNCTION("GoogleTranslate(C112, ""en"", ""fr"")"),"Lun")</f>
        <v>Lun</v>
      </c>
      <c r="Y112" s="7" t="str">
        <f>IFERROR(__xludf.DUMMYFUNCTION("GoogleTranslate(C112, ""en"", ""de"")"),"Mo")</f>
        <v>Mo</v>
      </c>
      <c r="Z112" s="7" t="str">
        <f>IFERROR(__xludf.DUMMYFUNCTION("GoogleTranslate(C112, ""en"", ""el"")"),"Δευτ")</f>
        <v>Δευτ</v>
      </c>
      <c r="AA112" s="7" t="str">
        <f>IFERROR(__xludf.DUMMYFUNCTION("GoogleTranslate(C112, ""en"", ""iw"")"),"יום שני")</f>
        <v>יום שני</v>
      </c>
      <c r="AB112" s="7" t="str">
        <f>IFERROR(__xludf.DUMMYFUNCTION("GoogleTranslate(C112, ""en"", ""hi"")"),"सोम")</f>
        <v>सोम</v>
      </c>
      <c r="AC112" s="7" t="str">
        <f>IFERROR(__xludf.DUMMYFUNCTION("GoogleTranslate(C112, ""en"", ""hu"")"),"Hétfő")</f>
        <v>Hétfő</v>
      </c>
      <c r="AD112" s="7" t="str">
        <f>IFERROR(__xludf.DUMMYFUNCTION("GoogleTranslate(C112, ""en"", ""is"")"),"mán")</f>
        <v>mán</v>
      </c>
      <c r="AE112" s="7" t="str">
        <f>IFERROR(__xludf.DUMMYFUNCTION("GoogleTranslate(C112, ""en"", ""id"")"),"Senin")</f>
        <v>Senin</v>
      </c>
      <c r="AF112" s="7" t="str">
        <f>IFERROR(__xludf.DUMMYFUNCTION("GoogleTranslate(C112, ""en"", ""in"")"),"Senin")</f>
        <v>Senin</v>
      </c>
      <c r="AG112" s="7" t="str">
        <f>IFERROR(__xludf.DUMMYFUNCTION("GoogleTranslate(C112, ""en"", ""it"")"),"Lun")</f>
        <v>Lun</v>
      </c>
      <c r="AH112" s="7" t="str">
        <f>IFERROR(__xludf.DUMMYFUNCTION("GoogleTranslate(C112, ""en"", ""ja"")"),"月")</f>
        <v>月</v>
      </c>
      <c r="AI112" s="7" t="str">
        <f>IFERROR(__xludf.DUMMYFUNCTION("GoogleTranslate(C112, ""en"", ""kn"")"),"ಸೋಮ")</f>
        <v>ಸೋಮ</v>
      </c>
      <c r="AJ112" s="7" t="str">
        <f>IFERROR(__xludf.DUMMYFUNCTION("GoogleTranslate(C112, ""en"", ""km"")"),"ច័ន្ទ")</f>
        <v>ច័ន្ទ</v>
      </c>
      <c r="AK112" s="7" t="str">
        <f>IFERROR(__xludf.DUMMYFUNCTION("GoogleTranslate(C112, ""en"", ""ko"")"),"월")</f>
        <v>월</v>
      </c>
      <c r="AL112" s="7" t="str">
        <f>IFERROR(__xludf.DUMMYFUNCTION("GoogleTranslate(C112, ""en"", ""lo"")"),"ຈັນ")</f>
        <v>ຈັນ</v>
      </c>
      <c r="AM112" s="7" t="str">
        <f>IFERROR(__xludf.DUMMYFUNCTION("GoogleTranslate(C112, ""en"", ""lv"")"),"Pirmd")</f>
        <v>Pirmd</v>
      </c>
      <c r="AN112" s="7" t="str">
        <f>IFERROR(__xludf.DUMMYFUNCTION("GoogleTranslate(C112, ""en"", ""lt"")"),"Pirm")</f>
        <v>Pirm</v>
      </c>
      <c r="AO112" s="7" t="str">
        <f>IFERROR(__xludf.DUMMYFUNCTION("GoogleTranslate(C112, ""en"", ""mk"")"),"Пон")</f>
        <v>Пон</v>
      </c>
      <c r="AP112" s="7" t="str">
        <f>IFERROR(__xludf.DUMMYFUNCTION("GoogleTranslate(C112, ""en"", ""ms"")"),"isn")</f>
        <v>isn</v>
      </c>
      <c r="AQ112" s="7" t="str">
        <f>IFERROR(__xludf.DUMMYFUNCTION("GoogleTranslate(C112, ""en"", ""ml"")"),"മോൺ")</f>
        <v>മോൺ</v>
      </c>
      <c r="AR112" s="7" t="str">
        <f>IFERROR(__xludf.DUMMYFUNCTION("GoogleTranslate(C112, ""en"", ""mr"")"),"सोम")</f>
        <v>सोम</v>
      </c>
      <c r="AS112" s="7" t="str">
        <f>IFERROR(__xludf.DUMMYFUNCTION("GoogleTranslate(C112, ""en"", ""mn"")"),"Даваа")</f>
        <v>Даваа</v>
      </c>
      <c r="AT112" s="7" t="str">
        <f>IFERROR(__xludf.DUMMYFUNCTION("GoogleTranslate(C112, ""en"", ""ne"")"),"सोम")</f>
        <v>सोम</v>
      </c>
      <c r="AU112" s="7" t="str">
        <f>IFERROR(__xludf.DUMMYFUNCTION("GoogleTranslate(C112, ""en"", ""nb"")"),"man")</f>
        <v>man</v>
      </c>
      <c r="AV112" s="7" t="str">
        <f>IFERROR(__xludf.DUMMYFUNCTION("GoogleTranslate(C112, ""en"", ""fa"")"),"دوشنبه")</f>
        <v>دوشنبه</v>
      </c>
      <c r="AW112" s="7" t="str">
        <f>IFERROR(__xludf.DUMMYFUNCTION("GoogleTranslate(C112, ""en"", ""pl"")"),"pon")</f>
        <v>pon</v>
      </c>
      <c r="AX112" s="7" t="str">
        <f>IFERROR(__xludf.DUMMYFUNCTION("GoogleTranslate(C112, ""en"", ""pt"")"),"seg")</f>
        <v>seg</v>
      </c>
      <c r="AY112" s="7" t="str">
        <f>IFERROR(__xludf.DUMMYFUNCTION("GoogleTranslate(C112, ""en"", ""ro"")"),"Lun")</f>
        <v>Lun</v>
      </c>
      <c r="AZ112" s="7" t="str">
        <f>IFERROR(__xludf.DUMMYFUNCTION("GoogleTranslate(C112, ""en"", ""ru"")"),"Пн.")</f>
        <v>Пн.</v>
      </c>
      <c r="BA112" s="7" t="str">
        <f>IFERROR(__xludf.DUMMYFUNCTION("GoogleTranslate(C112, ""en"", ""sr"")"),"пон")</f>
        <v>пон</v>
      </c>
      <c r="BB112" s="7" t="str">
        <f>IFERROR(__xludf.DUMMYFUNCTION("GoogleTranslate(C112, ""en"", ""si"")"),"සඳු")</f>
        <v>සඳු</v>
      </c>
      <c r="BC112" s="7" t="str">
        <f>IFERROR(__xludf.DUMMYFUNCTION("GoogleTranslate(C112, ""en"", ""sk"")"),"Po")</f>
        <v>Po</v>
      </c>
      <c r="BD112" s="7" t="str">
        <f>IFERROR(__xludf.DUMMYFUNCTION("GoogleTranslate(C112, ""en"", ""sl"")"),"pon")</f>
        <v>pon</v>
      </c>
      <c r="BE112" s="7" t="str">
        <f>IFERROR(__xludf.DUMMYFUNCTION("GoogleTranslate(C112, ""en"", ""es"")"),"Lun")</f>
        <v>Lun</v>
      </c>
      <c r="BF112" s="7" t="str">
        <f>IFERROR(__xludf.DUMMYFUNCTION("GoogleTranslate(C112, ""en"", ""sw"")"),"Mon")</f>
        <v>Mon</v>
      </c>
      <c r="BG112" s="7" t="str">
        <f>IFERROR(__xludf.DUMMYFUNCTION("GoogleTranslate(C112, ""en"", ""sv"")"),"mån")</f>
        <v>mån</v>
      </c>
      <c r="BH112" s="7" t="str">
        <f>IFERROR(__xludf.DUMMYFUNCTION("GoogleTranslate(C112, ""en"", ""te"")"),"సోమ")</f>
        <v>సోమ</v>
      </c>
      <c r="BI112" s="7" t="str">
        <f>IFERROR(__xludf.DUMMYFUNCTION("GoogleTranslate(C112, ""en"", ""th"")"),"จันทร์")</f>
        <v>จันทร์</v>
      </c>
      <c r="BJ112" s="7" t="str">
        <f>IFERROR(__xludf.DUMMYFUNCTION("GoogleTranslate(C112, ""en"", ""tr"")"),"Pazartesi")</f>
        <v>Pazartesi</v>
      </c>
      <c r="BK112" s="7" t="str">
        <f>IFERROR(__xludf.DUMMYFUNCTION("GoogleTranslate(C112, ""en"", ""uk"")"),"Пн")</f>
        <v>Пн</v>
      </c>
      <c r="BL112" s="7" t="str">
        <f>IFERROR(__xludf.DUMMYFUNCTION("GoogleTranslate(C112, ""en"", ""zu"")"),"Msombuluko")</f>
        <v>Msombuluko</v>
      </c>
    </row>
    <row r="113">
      <c r="A113" s="5" t="str">
        <f t="shared" si="1"/>
        <v>Tue</v>
      </c>
      <c r="B113" s="6" t="s">
        <v>170</v>
      </c>
      <c r="C113" s="5" t="str">
        <f t="shared" si="2"/>
        <v>Tue</v>
      </c>
      <c r="D113" s="7" t="str">
        <f>IFERROR(__xludf.DUMMYFUNCTION("GoogleTranslate(C113, ""en"", ""es"")"),"Mar")</f>
        <v>Mar</v>
      </c>
      <c r="E113" s="7" t="str">
        <f>IFERROR(__xludf.DUMMYFUNCTION("GoogleTranslate(C113, ""en"", ""ar"")"),"الثلاثاء")</f>
        <v>الثلاثاء</v>
      </c>
      <c r="F113" s="7" t="str">
        <f>IFERROR(__xludf.DUMMYFUNCTION("GoogleTranslate(C113, ""en"", ""hy"")"),"Երք")</f>
        <v>Երք</v>
      </c>
      <c r="G113" s="7" t="str">
        <f>IFERROR(__xludf.DUMMYFUNCTION("GoogleTranslate(C113, ""en"", ""vi"")"),"thứ ba")</f>
        <v>thứ ba</v>
      </c>
      <c r="H113" s="7" t="str">
        <f>IFERROR(__xludf.DUMMYFUNCTION("GoogleTranslate(C113, ""en"", ""az"")"),"Çərşənbə axşamı")</f>
        <v>Çərşənbə axşamı</v>
      </c>
      <c r="I113" s="7" t="str">
        <f>IFERROR(__xludf.DUMMYFUNCTION("GoogleTranslate(C113, ""en"", ""eu"")"),"mar")</f>
        <v>mar</v>
      </c>
      <c r="J113" s="7" t="str">
        <f>IFERROR(__xludf.DUMMYFUNCTION("GoogleTranslate(C113, ""en"", ""be"")"),"аўт")</f>
        <v>аўт</v>
      </c>
      <c r="K113" s="7" t="str">
        <f>IFERROR(__xludf.DUMMYFUNCTION("GoogleTranslate(C113, ""en"", ""bn"")"),"মঙ্গল")</f>
        <v>মঙ্গল</v>
      </c>
      <c r="L113" s="7" t="str">
        <f>IFERROR(__xludf.DUMMYFUNCTION("GoogleTranslate(C113, ""en"", ""bg"")"),"вт")</f>
        <v>вт</v>
      </c>
      <c r="M113" s="7" t="str">
        <f>IFERROR(__xludf.DUMMYFUNCTION("GoogleTranslate(C113, ""en"", ""my"")"),"အင်္ဂါ")</f>
        <v>အင်္ဂါ</v>
      </c>
      <c r="N113" s="7" t="str">
        <f>IFERROR(__xludf.DUMMYFUNCTION("GoogleTranslate(C113, ""en"", ""ca"")"),"dt")</f>
        <v>dt</v>
      </c>
      <c r="O113" s="7" t="str">
        <f>IFERROR(__xludf.DUMMYFUNCTION("GoogleTranslate(C113, ""en"", ""zh-cn"")"),"星期二")</f>
        <v>星期二</v>
      </c>
      <c r="P113" s="7" t="str">
        <f>IFERROR(__xludf.DUMMYFUNCTION("GoogleTranslate(C113, ""en"", ""zh-TW"")"),"星期二")</f>
        <v>星期二</v>
      </c>
      <c r="Q113" s="7" t="str">
        <f>IFERROR(__xludf.DUMMYFUNCTION("GoogleTranslate(C113, ""en"", ""hr"")"),"uto")</f>
        <v>uto</v>
      </c>
      <c r="R113" s="7" t="str">
        <f>IFERROR(__xludf.DUMMYFUNCTION("GoogleTranslate(C113, ""en"", ""cs"")"),"út")</f>
        <v>út</v>
      </c>
      <c r="S113" s="7" t="str">
        <f>IFERROR(__xludf.DUMMYFUNCTION("GoogleTranslate(C113, ""en"", ""da"")"),"tir")</f>
        <v>tir</v>
      </c>
      <c r="T113" s="7" t="str">
        <f>IFERROR(__xludf.DUMMYFUNCTION("GoogleTranslate(C113, ""en"", ""nl"")"),"di")</f>
        <v>di</v>
      </c>
      <c r="U113" s="7" t="str">
        <f>IFERROR(__xludf.DUMMYFUNCTION("GoogleTranslate(C113, ""en"", ""et"")"),"teisip")</f>
        <v>teisip</v>
      </c>
      <c r="V113" s="5" t="str">
        <f t="shared" si="3"/>
        <v>Tue</v>
      </c>
      <c r="W113" s="7" t="str">
        <f>IFERROR(__xludf.DUMMYFUNCTION("GoogleTranslate(C113, ""en"", ""fi"")"),"ti")</f>
        <v>ti</v>
      </c>
      <c r="X113" s="7" t="str">
        <f>IFERROR(__xludf.DUMMYFUNCTION("GoogleTranslate(C113, ""en"", ""fr"")"),"Mar")</f>
        <v>Mar</v>
      </c>
      <c r="Y113" s="7" t="str">
        <f>IFERROR(__xludf.DUMMYFUNCTION("GoogleTranslate(C113, ""en"", ""de"")"),"Di")</f>
        <v>Di</v>
      </c>
      <c r="Z113" s="7" t="str">
        <f>IFERROR(__xludf.DUMMYFUNCTION("GoogleTranslate(C113, ""en"", ""el"")"),"Τρ")</f>
        <v>Τρ</v>
      </c>
      <c r="AA113" s="7" t="str">
        <f>IFERROR(__xludf.DUMMYFUNCTION("GoogleTranslate(C113, ""en"", ""iw"")"),"יום שלישי")</f>
        <v>יום שלישי</v>
      </c>
      <c r="AB113" s="7" t="str">
        <f>IFERROR(__xludf.DUMMYFUNCTION("GoogleTranslate(C113, ""en"", ""hi"")"),"मंगल")</f>
        <v>मंगल</v>
      </c>
      <c r="AC113" s="7" t="str">
        <f>IFERROR(__xludf.DUMMYFUNCTION("GoogleTranslate(C113, ""en"", ""hu"")"),"kedd")</f>
        <v>kedd</v>
      </c>
      <c r="AD113" s="7" t="str">
        <f>IFERROR(__xludf.DUMMYFUNCTION("GoogleTranslate(C113, ""en"", ""is"")"),"þri")</f>
        <v>þri</v>
      </c>
      <c r="AE113" s="7" t="str">
        <f>IFERROR(__xludf.DUMMYFUNCTION("GoogleTranslate(C113, ""en"", ""id"")"),"Selasa")</f>
        <v>Selasa</v>
      </c>
      <c r="AF113" s="7" t="str">
        <f>IFERROR(__xludf.DUMMYFUNCTION("GoogleTranslate(C113, ""en"", ""in"")"),"Selasa")</f>
        <v>Selasa</v>
      </c>
      <c r="AG113" s="7" t="str">
        <f>IFERROR(__xludf.DUMMYFUNCTION("GoogleTranslate(C113, ""en"", ""it"")"),"Mar")</f>
        <v>Mar</v>
      </c>
      <c r="AH113" s="7" t="str">
        <f>IFERROR(__xludf.DUMMYFUNCTION("GoogleTranslate(C113, ""en"", ""ja"")"),"火")</f>
        <v>火</v>
      </c>
      <c r="AI113" s="7" t="str">
        <f>IFERROR(__xludf.DUMMYFUNCTION("GoogleTranslate(C113, ""en"", ""kn"")"),"ಮಂಗಳವಾರ")</f>
        <v>ಮಂಗಳವಾರ</v>
      </c>
      <c r="AJ113" s="7" t="str">
        <f>IFERROR(__xludf.DUMMYFUNCTION("GoogleTranslate(C113, ""en"", ""km"")"),"ថ្ងៃអង្គារ")</f>
        <v>ថ្ងៃអង្គារ</v>
      </c>
      <c r="AK113" s="7" t="str">
        <f>IFERROR(__xludf.DUMMYFUNCTION("GoogleTranslate(C113, ""en"", ""ko"")"),"화요일")</f>
        <v>화요일</v>
      </c>
      <c r="AL113" s="7" t="str">
        <f>IFERROR(__xludf.DUMMYFUNCTION("GoogleTranslate(C113, ""en"", ""lo"")"),"ອັງຄານ")</f>
        <v>ອັງຄານ</v>
      </c>
      <c r="AM113" s="7" t="str">
        <f>IFERROR(__xludf.DUMMYFUNCTION("GoogleTranslate(C113, ""en"", ""lv"")"),"Otr")</f>
        <v>Otr</v>
      </c>
      <c r="AN113" s="7" t="str">
        <f>IFERROR(__xludf.DUMMYFUNCTION("GoogleTranslate(C113, ""en"", ""lt"")"),"antradienis")</f>
        <v>antradienis</v>
      </c>
      <c r="AO113" s="7" t="str">
        <f>IFERROR(__xludf.DUMMYFUNCTION("GoogleTranslate(C113, ""en"", ""mk"")"),"вт")</f>
        <v>вт</v>
      </c>
      <c r="AP113" s="7" t="str">
        <f>IFERROR(__xludf.DUMMYFUNCTION("GoogleTranslate(C113, ""en"", ""ms"")"),"Tue")</f>
        <v>Tue</v>
      </c>
      <c r="AQ113" s="7" t="str">
        <f>IFERROR(__xludf.DUMMYFUNCTION("GoogleTranslate(C113, ""en"", ""ml"")"),"ചൊവ്വ")</f>
        <v>ചൊവ്വ</v>
      </c>
      <c r="AR113" s="7" t="str">
        <f>IFERROR(__xludf.DUMMYFUNCTION("GoogleTranslate(C113, ""en"", ""mr"")"),"मंगळ")</f>
        <v>मंगळ</v>
      </c>
      <c r="AS113" s="7" t="str">
        <f>IFERROR(__xludf.DUMMYFUNCTION("GoogleTranslate(C113, ""en"", ""mn"")"),"Мягмар")</f>
        <v>Мягмар</v>
      </c>
      <c r="AT113" s="7" t="str">
        <f>IFERROR(__xludf.DUMMYFUNCTION("GoogleTranslate(C113, ""en"", ""ne"")"),"मङ्गल")</f>
        <v>मङ्गल</v>
      </c>
      <c r="AU113" s="7" t="str">
        <f>IFERROR(__xludf.DUMMYFUNCTION("GoogleTranslate(C113, ""en"", ""nb"")"),"tirs")</f>
        <v>tirs</v>
      </c>
      <c r="AV113" s="7" t="str">
        <f>IFERROR(__xludf.DUMMYFUNCTION("GoogleTranslate(C113, ""en"", ""fa"")"),"سه شنبه")</f>
        <v>سه شنبه</v>
      </c>
      <c r="AW113" s="7" t="str">
        <f>IFERROR(__xludf.DUMMYFUNCTION("GoogleTranslate(C113, ""en"", ""pl"")"),"wt")</f>
        <v>wt</v>
      </c>
      <c r="AX113" s="7" t="str">
        <f>IFERROR(__xludf.DUMMYFUNCTION("GoogleTranslate(C113, ""en"", ""pt"")"),"ter")</f>
        <v>ter</v>
      </c>
      <c r="AY113" s="7" t="str">
        <f>IFERROR(__xludf.DUMMYFUNCTION("GoogleTranslate(C113, ""en"", ""ro"")"),"mar")</f>
        <v>mar</v>
      </c>
      <c r="AZ113" s="7" t="str">
        <f>IFERROR(__xludf.DUMMYFUNCTION("GoogleTranslate(C113, ""en"", ""ru"")"),"Вт")</f>
        <v>Вт</v>
      </c>
      <c r="BA113" s="7" t="str">
        <f>IFERROR(__xludf.DUMMYFUNCTION("GoogleTranslate(C113, ""en"", ""sr"")"),"уто")</f>
        <v>уто</v>
      </c>
      <c r="BB113" s="7" t="str">
        <f>IFERROR(__xludf.DUMMYFUNCTION("GoogleTranslate(C113, ""en"", ""si"")"),"අඟහරුවාදා")</f>
        <v>අඟහරුවාදා</v>
      </c>
      <c r="BC113" s="7" t="str">
        <f>IFERROR(__xludf.DUMMYFUNCTION("GoogleTranslate(C113, ""en"", ""sk"")"),"Ut")</f>
        <v>Ut</v>
      </c>
      <c r="BD113" s="7" t="str">
        <f>IFERROR(__xludf.DUMMYFUNCTION("GoogleTranslate(C113, ""en"", ""sl"")"),"tor")</f>
        <v>tor</v>
      </c>
      <c r="BE113" s="7" t="str">
        <f>IFERROR(__xludf.DUMMYFUNCTION("GoogleTranslate(C113, ""en"", ""es"")"),"Mar")</f>
        <v>Mar</v>
      </c>
      <c r="BF113" s="7" t="str">
        <f>IFERROR(__xludf.DUMMYFUNCTION("GoogleTranslate(C113, ""en"", ""sw"")"),"Jumanne")</f>
        <v>Jumanne</v>
      </c>
      <c r="BG113" s="7" t="str">
        <f>IFERROR(__xludf.DUMMYFUNCTION("GoogleTranslate(C113, ""en"", ""sv"")"),"tis")</f>
        <v>tis</v>
      </c>
      <c r="BH113" s="7" t="str">
        <f>IFERROR(__xludf.DUMMYFUNCTION("GoogleTranslate(C113, ""en"", ""te"")"),"మంగళ")</f>
        <v>మంగళ</v>
      </c>
      <c r="BI113" s="7" t="str">
        <f>IFERROR(__xludf.DUMMYFUNCTION("GoogleTranslate(C113, ""en"", ""th"")"),"อ")</f>
        <v>อ</v>
      </c>
      <c r="BJ113" s="7" t="str">
        <f>IFERROR(__xludf.DUMMYFUNCTION("GoogleTranslate(C113, ""en"", ""tr"")"),"Salı")</f>
        <v>Salı</v>
      </c>
      <c r="BK113" s="7" t="str">
        <f>IFERROR(__xludf.DUMMYFUNCTION("GoogleTranslate(C113, ""en"", ""uk"")"),"Вт")</f>
        <v>Вт</v>
      </c>
      <c r="BL113" s="7" t="str">
        <f>IFERROR(__xludf.DUMMYFUNCTION("GoogleTranslate(C113, ""en"", ""zu"")"),"ULwesibili")</f>
        <v>ULwesibili</v>
      </c>
    </row>
    <row r="114">
      <c r="A114" s="5" t="str">
        <f t="shared" si="1"/>
        <v>Wed</v>
      </c>
      <c r="B114" s="6" t="s">
        <v>171</v>
      </c>
      <c r="C114" s="5" t="str">
        <f t="shared" si="2"/>
        <v>Wed</v>
      </c>
      <c r="D114" s="7" t="str">
        <f>IFERROR(__xludf.DUMMYFUNCTION("GoogleTranslate(C114, ""en"", ""es"")"),"Casarse")</f>
        <v>Casarse</v>
      </c>
      <c r="E114" s="7" t="str">
        <f>IFERROR(__xludf.DUMMYFUNCTION("GoogleTranslate(C114, ""en"", ""ar"")"),"تزوج")</f>
        <v>تزوج</v>
      </c>
      <c r="F114" s="7" t="str">
        <f>IFERROR(__xludf.DUMMYFUNCTION("GoogleTranslate(C114, ""en"", ""hy"")"),"Չրք")</f>
        <v>Չրք</v>
      </c>
      <c r="G114" s="7" t="str">
        <f>IFERROR(__xludf.DUMMYFUNCTION("GoogleTranslate(C114, ""en"", ""vi"")"),"Thứ tư")</f>
        <v>Thứ tư</v>
      </c>
      <c r="H114" s="7" t="str">
        <f>IFERROR(__xludf.DUMMYFUNCTION("GoogleTranslate(C114, ""en"", ""az"")"),"Çərşənbə")</f>
        <v>Çərşənbə</v>
      </c>
      <c r="I114" s="7" t="str">
        <f>IFERROR(__xludf.DUMMYFUNCTION("GoogleTranslate(C114, ""en"", ""eu"")"),"az")</f>
        <v>az</v>
      </c>
      <c r="J114" s="7" t="str">
        <f>IFERROR(__xludf.DUMMYFUNCTION("GoogleTranslate(C114, ""en"", ""be"")"),"ср")</f>
        <v>ср</v>
      </c>
      <c r="K114" s="7" t="str">
        <f>IFERROR(__xludf.DUMMYFUNCTION("GoogleTranslate(C114, ""en"", ""bn"")"),"বুধ")</f>
        <v>বুধ</v>
      </c>
      <c r="L114" s="7" t="str">
        <f>IFERROR(__xludf.DUMMYFUNCTION("GoogleTranslate(C114, ""en"", ""bg"")"),"ср")</f>
        <v>ср</v>
      </c>
      <c r="M114" s="7" t="str">
        <f>IFERROR(__xludf.DUMMYFUNCTION("GoogleTranslate(C114, ""en"", ""my"")"),"ဗုဒ္ဓဟူးနေ့")</f>
        <v>ဗုဒ္ဓဟူးနေ့</v>
      </c>
      <c r="N114" s="7" t="str">
        <f>IFERROR(__xludf.DUMMYFUNCTION("GoogleTranslate(C114, ""en"", ""ca"")"),"Dc")</f>
        <v>Dc</v>
      </c>
      <c r="O114" s="7" t="str">
        <f>IFERROR(__xludf.DUMMYFUNCTION("GoogleTranslate(C114, ""en"", ""zh-cn"")"),"周三")</f>
        <v>周三</v>
      </c>
      <c r="P114" s="7" t="str">
        <f>IFERROR(__xludf.DUMMYFUNCTION("GoogleTranslate(C114, ""en"", ""zh-TW"")"),"週三")</f>
        <v>週三</v>
      </c>
      <c r="Q114" s="7" t="str">
        <f>IFERROR(__xludf.DUMMYFUNCTION("GoogleTranslate(C114, ""en"", ""hr"")"),"sri")</f>
        <v>sri</v>
      </c>
      <c r="R114" s="7" t="str">
        <f>IFERROR(__xludf.DUMMYFUNCTION("GoogleTranslate(C114, ""en"", ""cs"")"),"St")</f>
        <v>St</v>
      </c>
      <c r="S114" s="7" t="str">
        <f>IFERROR(__xludf.DUMMYFUNCTION("GoogleTranslate(C114, ""en"", ""da"")"),"ons")</f>
        <v>ons</v>
      </c>
      <c r="T114" s="7" t="str">
        <f>IFERROR(__xludf.DUMMYFUNCTION("GoogleTranslate(C114, ""en"", ""nl"")"),"wo")</f>
        <v>wo</v>
      </c>
      <c r="U114" s="7" t="str">
        <f>IFERROR(__xludf.DUMMYFUNCTION("GoogleTranslate(C114, ""en"", ""et"")"),"kolmap")</f>
        <v>kolmap</v>
      </c>
      <c r="V114" s="5" t="str">
        <f t="shared" si="3"/>
        <v>Wed</v>
      </c>
      <c r="W114" s="7" t="str">
        <f>IFERROR(__xludf.DUMMYFUNCTION("GoogleTranslate(C114, ""en"", ""fi"")"),"ke")</f>
        <v>ke</v>
      </c>
      <c r="X114" s="7" t="str">
        <f>IFERROR(__xludf.DUMMYFUNCTION("GoogleTranslate(C114, ""en"", ""fr"")"),"Épouser")</f>
        <v>Épouser</v>
      </c>
      <c r="Y114" s="7" t="str">
        <f>IFERROR(__xludf.DUMMYFUNCTION("GoogleTranslate(C114, ""en"", ""de"")"),"Heiraten")</f>
        <v>Heiraten</v>
      </c>
      <c r="Z114" s="7" t="str">
        <f>IFERROR(__xludf.DUMMYFUNCTION("GoogleTranslate(C114, ""en"", ""el"")"),"Νυμφεύομαι")</f>
        <v>Νυμφεύομαι</v>
      </c>
      <c r="AA114" s="7" t="str">
        <f>IFERROR(__xludf.DUMMYFUNCTION("GoogleTranslate(C114, ""en"", ""iw"")"),"לְהִתְחַתֵן")</f>
        <v>לְהִתְחַתֵן</v>
      </c>
      <c r="AB114" s="7" t="str">
        <f>IFERROR(__xludf.DUMMYFUNCTION("GoogleTranslate(C114, ""en"", ""hi"")"),"बुध")</f>
        <v>बुध</v>
      </c>
      <c r="AC114" s="7" t="str">
        <f>IFERROR(__xludf.DUMMYFUNCTION("GoogleTranslate(C114, ""en"", ""hu"")"),"Házasodik")</f>
        <v>Házasodik</v>
      </c>
      <c r="AD114" s="7" t="str">
        <f>IFERROR(__xludf.DUMMYFUNCTION("GoogleTranslate(C114, ""en"", ""is"")"),"miðvikud")</f>
        <v>miðvikud</v>
      </c>
      <c r="AE114" s="7" t="str">
        <f>IFERROR(__xludf.DUMMYFUNCTION("GoogleTranslate(C114, ""en"", ""id"")"),"Menikahi")</f>
        <v>Menikahi</v>
      </c>
      <c r="AF114" s="7" t="str">
        <f>IFERROR(__xludf.DUMMYFUNCTION("GoogleTranslate(C114, ""en"", ""in"")"),"Menikahi")</f>
        <v>Menikahi</v>
      </c>
      <c r="AG114" s="7" t="str">
        <f>IFERROR(__xludf.DUMMYFUNCTION("GoogleTranslate(C114, ""en"", ""it"")"),"Mercoledì")</f>
        <v>Mercoledì</v>
      </c>
      <c r="AH114" s="7" t="str">
        <f>IFERROR(__xludf.DUMMYFUNCTION("GoogleTranslate(C114, ""en"", ""ja"")"),"水")</f>
        <v>水</v>
      </c>
      <c r="AI114" s="7" t="str">
        <f>IFERROR(__xludf.DUMMYFUNCTION("GoogleTranslate(C114, ""en"", ""kn"")"),"ಬುಧವಾರ")</f>
        <v>ಬುಧವಾರ</v>
      </c>
      <c r="AJ114" s="7" t="str">
        <f>IFERROR(__xludf.DUMMYFUNCTION("GoogleTranslate(C114, ""en"", ""km"")"),"ថ្ងៃពុធ")</f>
        <v>ថ្ងៃពុធ</v>
      </c>
      <c r="AK114" s="7" t="str">
        <f>IFERROR(__xludf.DUMMYFUNCTION("GoogleTranslate(C114, ""en"", ""ko"")"),"수요일")</f>
        <v>수요일</v>
      </c>
      <c r="AL114" s="7" t="str">
        <f>IFERROR(__xludf.DUMMYFUNCTION("GoogleTranslate(C114, ""en"", ""lo"")"),"ພຸດ")</f>
        <v>ພຸດ</v>
      </c>
      <c r="AM114" s="7" t="str">
        <f>IFERROR(__xludf.DUMMYFUNCTION("GoogleTranslate(C114, ""en"", ""lv"")"),"Tr")</f>
        <v>Tr</v>
      </c>
      <c r="AN114" s="7" t="str">
        <f>IFERROR(__xludf.DUMMYFUNCTION("GoogleTranslate(C114, ""en"", ""lt"")"),"trečia")</f>
        <v>trečia</v>
      </c>
      <c r="AO114" s="7" t="str">
        <f>IFERROR(__xludf.DUMMYFUNCTION("GoogleTranslate(C114, ""en"", ""mk"")"),"среда")</f>
        <v>среда</v>
      </c>
      <c r="AP114" s="7" t="str">
        <f>IFERROR(__xludf.DUMMYFUNCTION("GoogleTranslate(C114, ""en"", ""ms"")"),"Rabu")</f>
        <v>Rabu</v>
      </c>
      <c r="AQ114" s="7" t="str">
        <f>IFERROR(__xludf.DUMMYFUNCTION("GoogleTranslate(C114, ""en"", ""ml"")"),"ബുധൻ")</f>
        <v>ബുധൻ</v>
      </c>
      <c r="AR114" s="7" t="str">
        <f>IFERROR(__xludf.DUMMYFUNCTION("GoogleTranslate(C114, ""en"", ""mr"")"),"बुध")</f>
        <v>बुध</v>
      </c>
      <c r="AS114" s="7" t="str">
        <f>IFERROR(__xludf.DUMMYFUNCTION("GoogleTranslate(C114, ""en"", ""mn"")"),"Лхагва")</f>
        <v>Лхагва</v>
      </c>
      <c r="AT114" s="7" t="str">
        <f>IFERROR(__xludf.DUMMYFUNCTION("GoogleTranslate(C114, ""en"", ""ne"")"),"बुध")</f>
        <v>बुध</v>
      </c>
      <c r="AU114" s="7" t="str">
        <f>IFERROR(__xludf.DUMMYFUNCTION("GoogleTranslate(C114, ""en"", ""nb"")"),"ons")</f>
        <v>ons</v>
      </c>
      <c r="AV114" s="7" t="str">
        <f>IFERROR(__xludf.DUMMYFUNCTION("GoogleTranslate(C114, ""en"", ""fa"")"),"چهارشنبه")</f>
        <v>چهارشنبه</v>
      </c>
      <c r="AW114" s="7" t="str">
        <f>IFERROR(__xludf.DUMMYFUNCTION("GoogleTranslate(C114, ""en"", ""pl"")"),"Poślubić")</f>
        <v>Poślubić</v>
      </c>
      <c r="AX114" s="7" t="str">
        <f>IFERROR(__xludf.DUMMYFUNCTION("GoogleTranslate(C114, ""en"", ""pt"")"),"qua")</f>
        <v>qua</v>
      </c>
      <c r="AY114" s="7" t="str">
        <f>IFERROR(__xludf.DUMMYFUNCTION("GoogleTranslate(C114, ""en"", ""ro"")"),"mier")</f>
        <v>mier</v>
      </c>
      <c r="AZ114" s="7" t="str">
        <f>IFERROR(__xludf.DUMMYFUNCTION("GoogleTranslate(C114, ""en"", ""ru"")"),"Обвенчались")</f>
        <v>Обвенчались</v>
      </c>
      <c r="BA114" s="7" t="str">
        <f>IFERROR(__xludf.DUMMYFUNCTION("GoogleTranslate(C114, ""en"", ""sr"")"),"ср")</f>
        <v>ср</v>
      </c>
      <c r="BB114" s="7" t="str">
        <f>IFERROR(__xludf.DUMMYFUNCTION("GoogleTranslate(C114, ""en"", ""si"")"),"බදාදා")</f>
        <v>බදාදා</v>
      </c>
      <c r="BC114" s="7" t="str">
        <f>IFERROR(__xludf.DUMMYFUNCTION("GoogleTranslate(C114, ""en"", ""sk"")"),"St")</f>
        <v>St</v>
      </c>
      <c r="BD114" s="7" t="str">
        <f>IFERROR(__xludf.DUMMYFUNCTION("GoogleTranslate(C114, ""en"", ""sl"")"),"Sre")</f>
        <v>Sre</v>
      </c>
      <c r="BE114" s="7" t="str">
        <f>IFERROR(__xludf.DUMMYFUNCTION("GoogleTranslate(C114, ""en"", ""es"")"),"Casarse")</f>
        <v>Casarse</v>
      </c>
      <c r="BF114" s="7" t="str">
        <f>IFERROR(__xludf.DUMMYFUNCTION("GoogleTranslate(C114, ""en"", ""sw"")"),"Jumatano")</f>
        <v>Jumatano</v>
      </c>
      <c r="BG114" s="7" t="str">
        <f>IFERROR(__xludf.DUMMYFUNCTION("GoogleTranslate(C114, ""en"", ""sv"")"),"ons")</f>
        <v>ons</v>
      </c>
      <c r="BH114" s="7" t="str">
        <f>IFERROR(__xludf.DUMMYFUNCTION("GoogleTranslate(C114, ""en"", ""te"")"),"బుధ")</f>
        <v>బుధ</v>
      </c>
      <c r="BI114" s="7" t="str">
        <f>IFERROR(__xludf.DUMMYFUNCTION("GoogleTranslate(C114, ""en"", ""th"")"),"พ")</f>
        <v>พ</v>
      </c>
      <c r="BJ114" s="7" t="str">
        <f>IFERROR(__xludf.DUMMYFUNCTION("GoogleTranslate(C114, ""en"", ""tr"")"),"Çar")</f>
        <v>Çar</v>
      </c>
      <c r="BK114" s="7" t="str">
        <f>IFERROR(__xludf.DUMMYFUNCTION("GoogleTranslate(C114, ""en"", ""uk"")"),"ср")</f>
        <v>ср</v>
      </c>
      <c r="BL114" s="7" t="str">
        <f>IFERROR(__xludf.DUMMYFUNCTION("GoogleTranslate(C114, ""en"", ""zu"")"),"NgoLwesithathu")</f>
        <v>NgoLwesithathu</v>
      </c>
    </row>
    <row r="115">
      <c r="A115" s="5" t="str">
        <f t="shared" si="1"/>
        <v>Thu</v>
      </c>
      <c r="B115" s="6" t="s">
        <v>172</v>
      </c>
      <c r="C115" s="5" t="str">
        <f t="shared" si="2"/>
        <v>Thu</v>
      </c>
      <c r="D115" s="7" t="str">
        <f>IFERROR(__xludf.DUMMYFUNCTION("GoogleTranslate(C115, ""en"", ""es"")"),"Jue")</f>
        <v>Jue</v>
      </c>
      <c r="E115" s="7" t="str">
        <f>IFERROR(__xludf.DUMMYFUNCTION("GoogleTranslate(C115, ""en"", ""ar"")"),"الخميس")</f>
        <v>الخميس</v>
      </c>
      <c r="F115" s="7" t="str">
        <f>IFERROR(__xludf.DUMMYFUNCTION("GoogleTranslate(C115, ""en"", ""hy"")"),"Հինգշ")</f>
        <v>Հինգշ</v>
      </c>
      <c r="G115" s="7" t="str">
        <f>IFERROR(__xludf.DUMMYFUNCTION("GoogleTranslate(C115, ""en"", ""vi"")"),"Thứ năm")</f>
        <v>Thứ năm</v>
      </c>
      <c r="H115" s="7" t="str">
        <f>IFERROR(__xludf.DUMMYFUNCTION("GoogleTranslate(C115, ""en"", ""az"")"),"Cr")</f>
        <v>Cr</v>
      </c>
      <c r="I115" s="7" t="str">
        <f>IFERROR(__xludf.DUMMYFUNCTION("GoogleTranslate(C115, ""en"", ""eu"")"),"og")</f>
        <v>og</v>
      </c>
      <c r="J115" s="7" t="str">
        <f>IFERROR(__xludf.DUMMYFUNCTION("GoogleTranslate(C115, ""en"", ""be"")"),"чц")</f>
        <v>чц</v>
      </c>
      <c r="K115" s="7" t="str">
        <f>IFERROR(__xludf.DUMMYFUNCTION("GoogleTranslate(C115, ""en"", ""bn"")"),"বৃহ")</f>
        <v>বৃহ</v>
      </c>
      <c r="L115" s="7" t="str">
        <f>IFERROR(__xludf.DUMMYFUNCTION("GoogleTranslate(C115, ""en"", ""bg"")"),"чт")</f>
        <v>чт</v>
      </c>
      <c r="M115" s="7" t="str">
        <f>IFERROR(__xludf.DUMMYFUNCTION("GoogleTranslate(C115, ""en"", ""my"")"),"သု")</f>
        <v>သု</v>
      </c>
      <c r="N115" s="7" t="str">
        <f>IFERROR(__xludf.DUMMYFUNCTION("GoogleTranslate(C115, ""en"", ""ca"")"),"Dj")</f>
        <v>Dj</v>
      </c>
      <c r="O115" s="7" t="str">
        <f>IFERROR(__xludf.DUMMYFUNCTION("GoogleTranslate(C115, ""en"", ""zh-cn"")"),"星期四")</f>
        <v>星期四</v>
      </c>
      <c r="P115" s="7" t="str">
        <f>IFERROR(__xludf.DUMMYFUNCTION("GoogleTranslate(C115, ""en"", ""zh-TW"")"),"星期四")</f>
        <v>星期四</v>
      </c>
      <c r="Q115" s="7" t="str">
        <f>IFERROR(__xludf.DUMMYFUNCTION("GoogleTranslate(C115, ""en"", ""hr"")"),"čet")</f>
        <v>čet</v>
      </c>
      <c r="R115" s="7" t="str">
        <f>IFERROR(__xludf.DUMMYFUNCTION("GoogleTranslate(C115, ""en"", ""cs"")"),"Čt")</f>
        <v>Čt</v>
      </c>
      <c r="S115" s="7" t="str">
        <f>IFERROR(__xludf.DUMMYFUNCTION("GoogleTranslate(C115, ""en"", ""da"")"),"tor")</f>
        <v>tor</v>
      </c>
      <c r="T115" s="7" t="str">
        <f>IFERROR(__xludf.DUMMYFUNCTION("GoogleTranslate(C115, ""en"", ""nl"")"),"Do")</f>
        <v>Do</v>
      </c>
      <c r="U115" s="7" t="str">
        <f>IFERROR(__xludf.DUMMYFUNCTION("GoogleTranslate(C115, ""en"", ""et"")"),"Neljap")</f>
        <v>Neljap</v>
      </c>
      <c r="V115" s="5" t="str">
        <f t="shared" si="3"/>
        <v>Thu</v>
      </c>
      <c r="W115" s="7" t="str">
        <f>IFERROR(__xludf.DUMMYFUNCTION("GoogleTranslate(C115, ""en"", ""fi"")"),"to")</f>
        <v>to</v>
      </c>
      <c r="X115" s="7" t="str">
        <f>IFERROR(__xludf.DUMMYFUNCTION("GoogleTranslate(C115, ""en"", ""fr"")"),"Jeu")</f>
        <v>Jeu</v>
      </c>
      <c r="Y115" s="7" t="str">
        <f>IFERROR(__xludf.DUMMYFUNCTION("GoogleTranslate(C115, ""en"", ""de"")"),"Do")</f>
        <v>Do</v>
      </c>
      <c r="Z115" s="7" t="str">
        <f>IFERROR(__xludf.DUMMYFUNCTION("GoogleTranslate(C115, ""en"", ""el"")"),"Πέμ")</f>
        <v>Πέμ</v>
      </c>
      <c r="AA115" s="7" t="str">
        <f>IFERROR(__xludf.DUMMYFUNCTION("GoogleTranslate(C115, ""en"", ""iw"")"),"יום ה'")</f>
        <v>יום ה'</v>
      </c>
      <c r="AB115" s="7" t="str">
        <f>IFERROR(__xludf.DUMMYFUNCTION("GoogleTranslate(C115, ""en"", ""hi"")"),"गुरु")</f>
        <v>गुरु</v>
      </c>
      <c r="AC115" s="7" t="str">
        <f>IFERROR(__xludf.DUMMYFUNCTION("GoogleTranslate(C115, ""en"", ""hu"")"),"cs")</f>
        <v>cs</v>
      </c>
      <c r="AD115" s="7" t="str">
        <f>IFERROR(__xludf.DUMMYFUNCTION("GoogleTranslate(C115, ""en"", ""is"")"),"fim")</f>
        <v>fim</v>
      </c>
      <c r="AE115" s="7" t="str">
        <f>IFERROR(__xludf.DUMMYFUNCTION("GoogleTranslate(C115, ""en"", ""id"")"),"Kam")</f>
        <v>Kam</v>
      </c>
      <c r="AF115" s="7" t="str">
        <f>IFERROR(__xludf.DUMMYFUNCTION("GoogleTranslate(C115, ""en"", ""in"")"),"Kam")</f>
        <v>Kam</v>
      </c>
      <c r="AG115" s="7" t="str">
        <f>IFERROR(__xludf.DUMMYFUNCTION("GoogleTranslate(C115, ""en"", ""it"")"),"Gio")</f>
        <v>Gio</v>
      </c>
      <c r="AH115" s="7" t="str">
        <f>IFERROR(__xludf.DUMMYFUNCTION("GoogleTranslate(C115, ""en"", ""ja"")"),"木")</f>
        <v>木</v>
      </c>
      <c r="AI115" s="7" t="str">
        <f>IFERROR(__xludf.DUMMYFUNCTION("GoogleTranslate(C115, ""en"", ""kn"")"),"ಗುರು")</f>
        <v>ಗುರು</v>
      </c>
      <c r="AJ115" s="7" t="str">
        <f>IFERROR(__xludf.DUMMYFUNCTION("GoogleTranslate(C115, ""en"", ""km"")"),"ធូ")</f>
        <v>ធូ</v>
      </c>
      <c r="AK115" s="7" t="str">
        <f>IFERROR(__xludf.DUMMYFUNCTION("GoogleTranslate(C115, ""en"", ""ko"")"),"목")</f>
        <v>목</v>
      </c>
      <c r="AL115" s="7" t="str">
        <f>IFERROR(__xludf.DUMMYFUNCTION("GoogleTranslate(C115, ""en"", ""lo"")"),"ພະຫັດ")</f>
        <v>ພະຫັດ</v>
      </c>
      <c r="AM115" s="7" t="str">
        <f>IFERROR(__xludf.DUMMYFUNCTION("GoogleTranslate(C115, ""en"", ""lv"")"),"Ce")</f>
        <v>Ce</v>
      </c>
      <c r="AN115" s="7" t="str">
        <f>IFERROR(__xludf.DUMMYFUNCTION("GoogleTranslate(C115, ""en"", ""lt"")"),"Ketvirtadienis")</f>
        <v>Ketvirtadienis</v>
      </c>
      <c r="AO115" s="7" t="str">
        <f>IFERROR(__xludf.DUMMYFUNCTION("GoogleTranslate(C115, ""en"", ""mk"")"),"чет")</f>
        <v>чет</v>
      </c>
      <c r="AP115" s="7" t="str">
        <f>IFERROR(__xludf.DUMMYFUNCTION("GoogleTranslate(C115, ""en"", ""ms"")"),"Kha")</f>
        <v>Kha</v>
      </c>
      <c r="AQ115" s="7" t="str">
        <f>IFERROR(__xludf.DUMMYFUNCTION("GoogleTranslate(C115, ""en"", ""ml"")"),"വ്യാഴം")</f>
        <v>വ്യാഴം</v>
      </c>
      <c r="AR115" s="7" t="str">
        <f>IFERROR(__xludf.DUMMYFUNCTION("GoogleTranslate(C115, ""en"", ""mr"")"),"गुरु")</f>
        <v>गुरु</v>
      </c>
      <c r="AS115" s="7" t="str">
        <f>IFERROR(__xludf.DUMMYFUNCTION("GoogleTranslate(C115, ""en"", ""mn"")"),"Пүрэв")</f>
        <v>Пүрэв</v>
      </c>
      <c r="AT115" s="7" t="str">
        <f>IFERROR(__xludf.DUMMYFUNCTION("GoogleTranslate(C115, ""en"", ""ne"")"),"बृहस्पति")</f>
        <v>बृहस्पति</v>
      </c>
      <c r="AU115" s="7" t="str">
        <f>IFERROR(__xludf.DUMMYFUNCTION("GoogleTranslate(C115, ""en"", ""nb"")"),"tor")</f>
        <v>tor</v>
      </c>
      <c r="AV115" s="7" t="str">
        <f>IFERROR(__xludf.DUMMYFUNCTION("GoogleTranslate(C115, ""en"", ""fa"")"),"پنج شنبه")</f>
        <v>پنج شنبه</v>
      </c>
      <c r="AW115" s="7" t="str">
        <f>IFERROR(__xludf.DUMMYFUNCTION("GoogleTranslate(C115, ""en"", ""pl"")"),"czw")</f>
        <v>czw</v>
      </c>
      <c r="AX115" s="7" t="str">
        <f>IFERROR(__xludf.DUMMYFUNCTION("GoogleTranslate(C115, ""en"", ""pt"")"),"qui")</f>
        <v>qui</v>
      </c>
      <c r="AY115" s="7" t="str">
        <f>IFERROR(__xludf.DUMMYFUNCTION("GoogleTranslate(C115, ""en"", ""ro"")"),"joi")</f>
        <v>joi</v>
      </c>
      <c r="AZ115" s="7" t="str">
        <f>IFERROR(__xludf.DUMMYFUNCTION("GoogleTranslate(C115, ""en"", ""ru"")"),"Чт")</f>
        <v>Чт</v>
      </c>
      <c r="BA115" s="7" t="str">
        <f>IFERROR(__xludf.DUMMYFUNCTION("GoogleTranslate(C115, ""en"", ""sr"")"),"Тху")</f>
        <v>Тху</v>
      </c>
      <c r="BB115" s="7" t="str">
        <f>IFERROR(__xludf.DUMMYFUNCTION("GoogleTranslate(C115, ""en"", ""si"")"),"බ්රහස්පතින්දා")</f>
        <v>බ්රහස්පතින්දා</v>
      </c>
      <c r="BC115" s="7" t="str">
        <f>IFERROR(__xludf.DUMMYFUNCTION("GoogleTranslate(C115, ""en"", ""sk"")"),"Št")</f>
        <v>Št</v>
      </c>
      <c r="BD115" s="7" t="str">
        <f>IFERROR(__xludf.DUMMYFUNCTION("GoogleTranslate(C115, ""en"", ""sl"")"),"čet")</f>
        <v>čet</v>
      </c>
      <c r="BE115" s="7" t="str">
        <f>IFERROR(__xludf.DUMMYFUNCTION("GoogleTranslate(C115, ""en"", ""es"")"),"Jue")</f>
        <v>Jue</v>
      </c>
      <c r="BF115" s="7" t="str">
        <f>IFERROR(__xludf.DUMMYFUNCTION("GoogleTranslate(C115, ""en"", ""sw"")"),"Alhamisi")</f>
        <v>Alhamisi</v>
      </c>
      <c r="BG115" s="7" t="str">
        <f>IFERROR(__xludf.DUMMYFUNCTION("GoogleTranslate(C115, ""en"", ""sv"")"),"tors")</f>
        <v>tors</v>
      </c>
      <c r="BH115" s="7" t="str">
        <f>IFERROR(__xludf.DUMMYFUNCTION("GoogleTranslate(C115, ""en"", ""te"")"),"గురు")</f>
        <v>గురు</v>
      </c>
      <c r="BI115" s="7" t="str">
        <f>IFERROR(__xludf.DUMMYFUNCTION("GoogleTranslate(C115, ""en"", ""th"")"),"พฤ")</f>
        <v>พฤ</v>
      </c>
      <c r="BJ115" s="7" t="str">
        <f>IFERROR(__xludf.DUMMYFUNCTION("GoogleTranslate(C115, ""en"", ""tr"")"),"Per")</f>
        <v>Per</v>
      </c>
      <c r="BK115" s="7" t="str">
        <f>IFERROR(__xludf.DUMMYFUNCTION("GoogleTranslate(C115, ""en"", ""uk"")"),"чт")</f>
        <v>чт</v>
      </c>
      <c r="BL115" s="7" t="str">
        <f>IFERROR(__xludf.DUMMYFUNCTION("GoogleTranslate(C115, ""en"", ""zu"")"),"ULwesine")</f>
        <v>ULwesine</v>
      </c>
    </row>
    <row r="116">
      <c r="A116" s="5" t="str">
        <f t="shared" si="1"/>
        <v>Fri</v>
      </c>
      <c r="B116" s="6" t="s">
        <v>173</v>
      </c>
      <c r="C116" s="5" t="str">
        <f t="shared" si="2"/>
        <v>Fri</v>
      </c>
      <c r="D116" s="7" t="str">
        <f>IFERROR(__xludf.DUMMYFUNCTION("GoogleTranslate(C116, ""en"", ""es"")"),"Vie")</f>
        <v>Vie</v>
      </c>
      <c r="E116" s="7" t="str">
        <f>IFERROR(__xludf.DUMMYFUNCTION("GoogleTranslate(C116, ""en"", ""ar"")"),"الجمعة")</f>
        <v>الجمعة</v>
      </c>
      <c r="F116" s="7" t="str">
        <f>IFERROR(__xludf.DUMMYFUNCTION("GoogleTranslate(C116, ""en"", ""hy"")"),"Ուրբ")</f>
        <v>Ուրբ</v>
      </c>
      <c r="G116" s="7" t="str">
        <f>IFERROR(__xludf.DUMMYFUNCTION("GoogleTranslate(C116, ""en"", ""vi"")"),"Thứ sáu")</f>
        <v>Thứ sáu</v>
      </c>
      <c r="H116" s="7" t="str">
        <f>IFERROR(__xludf.DUMMYFUNCTION("GoogleTranslate(C116, ""en"", ""az"")"),"Cümə")</f>
        <v>Cümə</v>
      </c>
      <c r="I116" s="7" t="str">
        <f>IFERROR(__xludf.DUMMYFUNCTION("GoogleTranslate(C116, ""en"", ""eu"")"),"or")</f>
        <v>or</v>
      </c>
      <c r="J116" s="7" t="str">
        <f>IFERROR(__xludf.DUMMYFUNCTION("GoogleTranslate(C116, ""en"", ""be"")"),"пт")</f>
        <v>пт</v>
      </c>
      <c r="K116" s="7" t="str">
        <f>IFERROR(__xludf.DUMMYFUNCTION("GoogleTranslate(C116, ""en"", ""bn"")"),"শুক্র")</f>
        <v>শুক্র</v>
      </c>
      <c r="L116" s="7" t="str">
        <f>IFERROR(__xludf.DUMMYFUNCTION("GoogleTranslate(C116, ""en"", ""bg"")"),"пт")</f>
        <v>пт</v>
      </c>
      <c r="M116" s="7" t="str">
        <f>IFERROR(__xludf.DUMMYFUNCTION("GoogleTranslate(C116, ""en"", ""my"")"),"Fri")</f>
        <v>Fri</v>
      </c>
      <c r="N116" s="7" t="str">
        <f>IFERROR(__xludf.DUMMYFUNCTION("GoogleTranslate(C116, ""en"", ""ca"")"),"dv")</f>
        <v>dv</v>
      </c>
      <c r="O116" s="7" t="str">
        <f>IFERROR(__xludf.DUMMYFUNCTION("GoogleTranslate(C116, ""en"", ""zh-cn"")"),"周五")</f>
        <v>周五</v>
      </c>
      <c r="P116" s="7" t="str">
        <f>IFERROR(__xludf.DUMMYFUNCTION("GoogleTranslate(C116, ""en"", ""zh-TW"")"),"週五")</f>
        <v>週五</v>
      </c>
      <c r="Q116" s="7" t="str">
        <f>IFERROR(__xludf.DUMMYFUNCTION("GoogleTranslate(C116, ""en"", ""hr"")"),"pet")</f>
        <v>pet</v>
      </c>
      <c r="R116" s="7" t="str">
        <f>IFERROR(__xludf.DUMMYFUNCTION("GoogleTranslate(C116, ""en"", ""cs"")"),"pá")</f>
        <v>pá</v>
      </c>
      <c r="S116" s="7" t="str">
        <f>IFERROR(__xludf.DUMMYFUNCTION("GoogleTranslate(C116, ""en"", ""da"")"),"fre")</f>
        <v>fre</v>
      </c>
      <c r="T116" s="7" t="str">
        <f>IFERROR(__xludf.DUMMYFUNCTION("GoogleTranslate(C116, ""en"", ""nl"")"),"Vr")</f>
        <v>Vr</v>
      </c>
      <c r="U116" s="7" t="str">
        <f>IFERROR(__xludf.DUMMYFUNCTION("GoogleTranslate(C116, ""en"", ""et"")"),"P")</f>
        <v>P</v>
      </c>
      <c r="V116" s="5" t="str">
        <f t="shared" si="3"/>
        <v>Fri</v>
      </c>
      <c r="W116" s="7" t="str">
        <f>IFERROR(__xludf.DUMMYFUNCTION("GoogleTranslate(C116, ""en"", ""fi"")"),"pe")</f>
        <v>pe</v>
      </c>
      <c r="X116" s="7" t="str">
        <f>IFERROR(__xludf.DUMMYFUNCTION("GoogleTranslate(C116, ""en"", ""fr"")"),"Ven")</f>
        <v>Ven</v>
      </c>
      <c r="Y116" s="7" t="str">
        <f>IFERROR(__xludf.DUMMYFUNCTION("GoogleTranslate(C116, ""en"", ""de"")"),"Fr")</f>
        <v>Fr</v>
      </c>
      <c r="Z116" s="7" t="str">
        <f>IFERROR(__xludf.DUMMYFUNCTION("GoogleTranslate(C116, ""en"", ""el"")"),"Παρ")</f>
        <v>Παρ</v>
      </c>
      <c r="AA116" s="7" t="str">
        <f>IFERROR(__xludf.DUMMYFUNCTION("GoogleTranslate(C116, ""en"", ""iw"")"),"שישי")</f>
        <v>שישי</v>
      </c>
      <c r="AB116" s="7" t="str">
        <f>IFERROR(__xludf.DUMMYFUNCTION("GoogleTranslate(C116, ""en"", ""hi"")"),"शुक्र")</f>
        <v>शुक्र</v>
      </c>
      <c r="AC116" s="7" t="str">
        <f>IFERROR(__xludf.DUMMYFUNCTION("GoogleTranslate(C116, ""en"", ""hu"")"),"Péntek")</f>
        <v>Péntek</v>
      </c>
      <c r="AD116" s="7" t="str">
        <f>IFERROR(__xludf.DUMMYFUNCTION("GoogleTranslate(C116, ""en"", ""is"")"),"fös")</f>
        <v>fös</v>
      </c>
      <c r="AE116" s="7" t="str">
        <f>IFERROR(__xludf.DUMMYFUNCTION("GoogleTranslate(C116, ""en"", ""id"")"),"Jumat")</f>
        <v>Jumat</v>
      </c>
      <c r="AF116" s="7" t="str">
        <f>IFERROR(__xludf.DUMMYFUNCTION("GoogleTranslate(C116, ""en"", ""in"")"),"Jumat")</f>
        <v>Jumat</v>
      </c>
      <c r="AG116" s="7" t="str">
        <f>IFERROR(__xludf.DUMMYFUNCTION("GoogleTranslate(C116, ""en"", ""it"")"),"Ven")</f>
        <v>Ven</v>
      </c>
      <c r="AH116" s="7" t="str">
        <f>IFERROR(__xludf.DUMMYFUNCTION("GoogleTranslate(C116, ""en"", ""ja"")"),"金")</f>
        <v>金</v>
      </c>
      <c r="AI116" s="7" t="str">
        <f>IFERROR(__xludf.DUMMYFUNCTION("GoogleTranslate(C116, ""en"", ""kn"")"),"ಶುಕ್ರ")</f>
        <v>ಶುಕ್ರ</v>
      </c>
      <c r="AJ116" s="7" t="str">
        <f>IFERROR(__xludf.DUMMYFUNCTION("GoogleTranslate(C116, ""en"", ""km"")"),"សុក្រ")</f>
        <v>សុក្រ</v>
      </c>
      <c r="AK116" s="7" t="str">
        <f>IFERROR(__xludf.DUMMYFUNCTION("GoogleTranslate(C116, ""en"", ""ko"")"),"금")</f>
        <v>금</v>
      </c>
      <c r="AL116" s="7" t="str">
        <f>IFERROR(__xludf.DUMMYFUNCTION("GoogleTranslate(C116, ""en"", ""lo"")"),"ວັນສຸກ")</f>
        <v>ວັນສຸກ</v>
      </c>
      <c r="AM116" s="7" t="str">
        <f>IFERROR(__xludf.DUMMYFUNCTION("GoogleTranslate(C116, ""en"", ""lv"")"),"Piekt")</f>
        <v>Piekt</v>
      </c>
      <c r="AN116" s="7" t="str">
        <f>IFERROR(__xludf.DUMMYFUNCTION("GoogleTranslate(C116, ""en"", ""lt"")"),"Penk")</f>
        <v>Penk</v>
      </c>
      <c r="AO116" s="7" t="str">
        <f>IFERROR(__xludf.DUMMYFUNCTION("GoogleTranslate(C116, ""en"", ""mk"")"),"Петок")</f>
        <v>Петок</v>
      </c>
      <c r="AP116" s="7" t="str">
        <f>IFERROR(__xludf.DUMMYFUNCTION("GoogleTranslate(C116, ""en"", ""ms"")"),"Jum")</f>
        <v>Jum</v>
      </c>
      <c r="AQ116" s="7" t="str">
        <f>IFERROR(__xludf.DUMMYFUNCTION("GoogleTranslate(C116, ""en"", ""ml"")"),"വെള്ളി")</f>
        <v>വെള്ളി</v>
      </c>
      <c r="AR116" s="7" t="str">
        <f>IFERROR(__xludf.DUMMYFUNCTION("GoogleTranslate(C116, ""en"", ""mr"")"),"शुक्र")</f>
        <v>शुक्र</v>
      </c>
      <c r="AS116" s="7" t="str">
        <f>IFERROR(__xludf.DUMMYFUNCTION("GoogleTranslate(C116, ""en"", ""mn"")"),"Баасан")</f>
        <v>Баасан</v>
      </c>
      <c r="AT116" s="7" t="str">
        <f>IFERROR(__xludf.DUMMYFUNCTION("GoogleTranslate(C116, ""en"", ""ne"")"),"शुक्र")</f>
        <v>शुक्र</v>
      </c>
      <c r="AU116" s="7" t="str">
        <f>IFERROR(__xludf.DUMMYFUNCTION("GoogleTranslate(C116, ""en"", ""nb"")"),"fre")</f>
        <v>fre</v>
      </c>
      <c r="AV116" s="7" t="str">
        <f>IFERROR(__xludf.DUMMYFUNCTION("GoogleTranslate(C116, ""en"", ""fa"")"),"جمعه")</f>
        <v>جمعه</v>
      </c>
      <c r="AW116" s="7" t="str">
        <f>IFERROR(__xludf.DUMMYFUNCTION("GoogleTranslate(C116, ""en"", ""pl"")"),"piątek")</f>
        <v>piątek</v>
      </c>
      <c r="AX116" s="7" t="str">
        <f>IFERROR(__xludf.DUMMYFUNCTION("GoogleTranslate(C116, ""en"", ""pt"")"),"sex")</f>
        <v>sex</v>
      </c>
      <c r="AY116" s="7" t="str">
        <f>IFERROR(__xludf.DUMMYFUNCTION("GoogleTranslate(C116, ""en"", ""ro"")"),"vineri")</f>
        <v>vineri</v>
      </c>
      <c r="AZ116" s="7" t="str">
        <f>IFERROR(__xludf.DUMMYFUNCTION("GoogleTranslate(C116, ""en"", ""ru"")"),"Пт")</f>
        <v>Пт</v>
      </c>
      <c r="BA116" s="7" t="str">
        <f>IFERROR(__xludf.DUMMYFUNCTION("GoogleTranslate(C116, ""en"", ""sr"")"),"пет")</f>
        <v>пет</v>
      </c>
      <c r="BB116" s="7" t="str">
        <f>IFERROR(__xludf.DUMMYFUNCTION("GoogleTranslate(C116, ""en"", ""si"")"),"සිකු")</f>
        <v>සිකු</v>
      </c>
      <c r="BC116" s="7" t="str">
        <f>IFERROR(__xludf.DUMMYFUNCTION("GoogleTranslate(C116, ""en"", ""sk"")"),"Pia")</f>
        <v>Pia</v>
      </c>
      <c r="BD116" s="7" t="str">
        <f>IFERROR(__xludf.DUMMYFUNCTION("GoogleTranslate(C116, ""en"", ""sl"")"),"pet")</f>
        <v>pet</v>
      </c>
      <c r="BE116" s="7" t="str">
        <f>IFERROR(__xludf.DUMMYFUNCTION("GoogleTranslate(C116, ""en"", ""es"")"),"Vie")</f>
        <v>Vie</v>
      </c>
      <c r="BF116" s="7" t="str">
        <f>IFERROR(__xludf.DUMMYFUNCTION("GoogleTranslate(C116, ""en"", ""sw"")"),"Ijumaa")</f>
        <v>Ijumaa</v>
      </c>
      <c r="BG116" s="7" t="str">
        <f>IFERROR(__xludf.DUMMYFUNCTION("GoogleTranslate(C116, ""en"", ""sv"")"),"fre")</f>
        <v>fre</v>
      </c>
      <c r="BH116" s="7" t="str">
        <f>IFERROR(__xludf.DUMMYFUNCTION("GoogleTranslate(C116, ""en"", ""te"")"),"శుక్ర")</f>
        <v>శుక్ర</v>
      </c>
      <c r="BI116" s="7" t="str">
        <f>IFERROR(__xludf.DUMMYFUNCTION("GoogleTranslate(C116, ""en"", ""th"")"),"ศุกร์")</f>
        <v>ศุกร์</v>
      </c>
      <c r="BJ116" s="7" t="str">
        <f>IFERROR(__xludf.DUMMYFUNCTION("GoogleTranslate(C116, ""en"", ""tr"")"),"Cuma")</f>
        <v>Cuma</v>
      </c>
      <c r="BK116" s="7" t="str">
        <f>IFERROR(__xludf.DUMMYFUNCTION("GoogleTranslate(C116, ""en"", ""uk"")"),"пт")</f>
        <v>пт</v>
      </c>
      <c r="BL116" s="7" t="str">
        <f>IFERROR(__xludf.DUMMYFUNCTION("GoogleTranslate(C116, ""en"", ""zu"")"),"NgoLwesihlanu")</f>
        <v>NgoLwesihlanu</v>
      </c>
    </row>
    <row r="117">
      <c r="A117" s="5" t="str">
        <f t="shared" si="1"/>
        <v>Sat</v>
      </c>
      <c r="B117" s="6" t="s">
        <v>174</v>
      </c>
      <c r="C117" s="5" t="str">
        <f t="shared" si="2"/>
        <v>Sat</v>
      </c>
      <c r="D117" s="7" t="str">
        <f>IFERROR(__xludf.DUMMYFUNCTION("GoogleTranslate(C117, ""en"", ""es"")"),"Se sentó")</f>
        <v>Se sentó</v>
      </c>
      <c r="E117" s="7" t="str">
        <f>IFERROR(__xludf.DUMMYFUNCTION("GoogleTranslate(C117, ""en"", ""ar"")"),"قعد")</f>
        <v>قعد</v>
      </c>
      <c r="F117" s="7" t="str">
        <f>IFERROR(__xludf.DUMMYFUNCTION("GoogleTranslate(C117, ""en"", ""hy"")"),"Շաբ")</f>
        <v>Շաբ</v>
      </c>
      <c r="G117" s="7" t="str">
        <f>IFERROR(__xludf.DUMMYFUNCTION("GoogleTranslate(C117, ""en"", ""vi"")"),"Đã ngồi")</f>
        <v>Đã ngồi</v>
      </c>
      <c r="H117" s="7" t="str">
        <f>IFERROR(__xludf.DUMMYFUNCTION("GoogleTranslate(C117, ""en"", ""az"")"),"şənbə")</f>
        <v>şənbə</v>
      </c>
      <c r="I117" s="7" t="str">
        <f>IFERROR(__xludf.DUMMYFUNCTION("GoogleTranslate(C117, ""en"", ""eu"")"),"Lar")</f>
        <v>Lar</v>
      </c>
      <c r="J117" s="7" t="str">
        <f>IFERROR(__xludf.DUMMYFUNCTION("GoogleTranslate(C117, ""en"", ""be"")"),"сб")</f>
        <v>сб</v>
      </c>
      <c r="K117" s="7" t="str">
        <f>IFERROR(__xludf.DUMMYFUNCTION("GoogleTranslate(C117, ""en"", ""bn"")"),"শনি")</f>
        <v>শনি</v>
      </c>
      <c r="L117" s="7" t="str">
        <f>IFERROR(__xludf.DUMMYFUNCTION("GoogleTranslate(C117, ""en"", ""bg"")"),"сб")</f>
        <v>сб</v>
      </c>
      <c r="M117" s="7" t="str">
        <f>IFERROR(__xludf.DUMMYFUNCTION("GoogleTranslate(C117, ""en"", ""my"")"),"ထိုင်")</f>
        <v>ထိုင်</v>
      </c>
      <c r="N117" s="7" t="str">
        <f>IFERROR(__xludf.DUMMYFUNCTION("GoogleTranslate(C117, ""en"", ""ca"")"),"ds")</f>
        <v>ds</v>
      </c>
      <c r="O117" s="7" t="str">
        <f>IFERROR(__xludf.DUMMYFUNCTION("GoogleTranslate(C117, ""en"", ""zh-cn"")"),"星期六")</f>
        <v>星期六</v>
      </c>
      <c r="P117" s="7" t="str">
        <f>IFERROR(__xludf.DUMMYFUNCTION("GoogleTranslate(C117, ""en"", ""zh-TW"")"),"星期六")</f>
        <v>星期六</v>
      </c>
      <c r="Q117" s="7" t="str">
        <f>IFERROR(__xludf.DUMMYFUNCTION("GoogleTranslate(C117, ""en"", ""hr"")"),"sub")</f>
        <v>sub</v>
      </c>
      <c r="R117" s="7" t="str">
        <f>IFERROR(__xludf.DUMMYFUNCTION("GoogleTranslate(C117, ""en"", ""cs"")"),"sobota")</f>
        <v>sobota</v>
      </c>
      <c r="S117" s="7" t="str">
        <f>IFERROR(__xludf.DUMMYFUNCTION("GoogleTranslate(C117, ""en"", ""da"")"),"Lør")</f>
        <v>Lør</v>
      </c>
      <c r="T117" s="7" t="str">
        <f>IFERROR(__xludf.DUMMYFUNCTION("GoogleTranslate(C117, ""en"", ""nl"")"),"Zat")</f>
        <v>Zat</v>
      </c>
      <c r="U117" s="7" t="str">
        <f>IFERROR(__xludf.DUMMYFUNCTION("GoogleTranslate(C117, ""en"", ""et"")"),"laup")</f>
        <v>laup</v>
      </c>
      <c r="V117" s="5" t="str">
        <f t="shared" si="3"/>
        <v>Sat</v>
      </c>
      <c r="W117" s="7" t="str">
        <f>IFERROR(__xludf.DUMMYFUNCTION("GoogleTranslate(C117, ""en"", ""fi"")"),"la")</f>
        <v>la</v>
      </c>
      <c r="X117" s="7" t="str">
        <f>IFERROR(__xludf.DUMMYFUNCTION("GoogleTranslate(C117, ""en"", ""fr"")"),"Assis")</f>
        <v>Assis</v>
      </c>
      <c r="Y117" s="7" t="str">
        <f>IFERROR(__xludf.DUMMYFUNCTION("GoogleTranslate(C117, ""en"", ""de"")"),"Sa")</f>
        <v>Sa</v>
      </c>
      <c r="Z117" s="7" t="str">
        <f>IFERROR(__xludf.DUMMYFUNCTION("GoogleTranslate(C117, ""en"", ""el"")"),"Σάβ")</f>
        <v>Σάβ</v>
      </c>
      <c r="AA117" s="7" t="str">
        <f>IFERROR(__xludf.DUMMYFUNCTION("GoogleTranslate(C117, ""en"", ""iw"")"),"שבת")</f>
        <v>שבת</v>
      </c>
      <c r="AB117" s="7" t="str">
        <f>IFERROR(__xludf.DUMMYFUNCTION("GoogleTranslate(C117, ""en"", ""hi"")"),"बैठा")</f>
        <v>बैठा</v>
      </c>
      <c r="AC117" s="7" t="str">
        <f>IFERROR(__xludf.DUMMYFUNCTION("GoogleTranslate(C117, ""en"", ""hu"")"),"Ült")</f>
        <v>Ült</v>
      </c>
      <c r="AD117" s="7" t="str">
        <f>IFERROR(__xludf.DUMMYFUNCTION("GoogleTranslate(C117, ""en"", ""is"")"),"lau")</f>
        <v>lau</v>
      </c>
      <c r="AE117" s="7" t="str">
        <f>IFERROR(__xludf.DUMMYFUNCTION("GoogleTranslate(C117, ""en"", ""id"")"),"Duduk")</f>
        <v>Duduk</v>
      </c>
      <c r="AF117" s="7" t="str">
        <f>IFERROR(__xludf.DUMMYFUNCTION("GoogleTranslate(C117, ""en"", ""in"")"),"Duduk")</f>
        <v>Duduk</v>
      </c>
      <c r="AG117" s="7" t="str">
        <f>IFERROR(__xludf.DUMMYFUNCTION("GoogleTranslate(C117, ""en"", ""it"")"),"Sab")</f>
        <v>Sab</v>
      </c>
      <c r="AH117" s="7" t="str">
        <f>IFERROR(__xludf.DUMMYFUNCTION("GoogleTranslate(C117, ""en"", ""ja"")"),"土")</f>
        <v>土</v>
      </c>
      <c r="AI117" s="7" t="str">
        <f>IFERROR(__xludf.DUMMYFUNCTION("GoogleTranslate(C117, ""en"", ""kn"")"),"ಶನಿ")</f>
        <v>ಶನಿ</v>
      </c>
      <c r="AJ117" s="7" t="str">
        <f>IFERROR(__xludf.DUMMYFUNCTION("GoogleTranslate(C117, ""en"", ""km"")"),"សៅរ៍")</f>
        <v>សៅរ៍</v>
      </c>
      <c r="AK117" s="7" t="str">
        <f>IFERROR(__xludf.DUMMYFUNCTION("GoogleTranslate(C117, ""en"", ""ko"")"),"앉았다")</f>
        <v>앉았다</v>
      </c>
      <c r="AL117" s="7" t="str">
        <f>IFERROR(__xludf.DUMMYFUNCTION("GoogleTranslate(C117, ""en"", ""lo"")"),"ເສົາ")</f>
        <v>ເສົາ</v>
      </c>
      <c r="AM117" s="7" t="str">
        <f>IFERROR(__xludf.DUMMYFUNCTION("GoogleTranslate(C117, ""en"", ""lv"")"),"sestdien")</f>
        <v>sestdien</v>
      </c>
      <c r="AN117" s="7" t="str">
        <f>IFERROR(__xludf.DUMMYFUNCTION("GoogleTranslate(C117, ""en"", ""lt"")"),"Šešt")</f>
        <v>Šešt</v>
      </c>
      <c r="AO117" s="7" t="str">
        <f>IFERROR(__xludf.DUMMYFUNCTION("GoogleTranslate(C117, ""en"", ""mk"")"),"Саб")</f>
        <v>Саб</v>
      </c>
      <c r="AP117" s="7" t="str">
        <f>IFERROR(__xludf.DUMMYFUNCTION("GoogleTranslate(C117, ""en"", ""ms"")"),"Sab")</f>
        <v>Sab</v>
      </c>
      <c r="AQ117" s="7" t="str">
        <f>IFERROR(__xludf.DUMMYFUNCTION("GoogleTranslate(C117, ""en"", ""ml"")"),"ശനി")</f>
        <v>ശനി</v>
      </c>
      <c r="AR117" s="7" t="str">
        <f>IFERROR(__xludf.DUMMYFUNCTION("GoogleTranslate(C117, ""en"", ""mr"")"),"शनि")</f>
        <v>शनि</v>
      </c>
      <c r="AS117" s="7" t="str">
        <f>IFERROR(__xludf.DUMMYFUNCTION("GoogleTranslate(C117, ""en"", ""mn"")"),"Бямба")</f>
        <v>Бямба</v>
      </c>
      <c r="AT117" s="7" t="str">
        <f>IFERROR(__xludf.DUMMYFUNCTION("GoogleTranslate(C117, ""en"", ""ne"")"),"शनि")</f>
        <v>शनि</v>
      </c>
      <c r="AU117" s="7" t="str">
        <f>IFERROR(__xludf.DUMMYFUNCTION("GoogleTranslate(C117, ""en"", ""nb"")"),"Lør")</f>
        <v>Lør</v>
      </c>
      <c r="AV117" s="7" t="str">
        <f>IFERROR(__xludf.DUMMYFUNCTION("GoogleTranslate(C117, ""en"", ""fa"")"),"نشست")</f>
        <v>نشست</v>
      </c>
      <c r="AW117" s="7" t="str">
        <f>IFERROR(__xludf.DUMMYFUNCTION("GoogleTranslate(C117, ""en"", ""pl"")"),"sob")</f>
        <v>sob</v>
      </c>
      <c r="AX117" s="7" t="str">
        <f>IFERROR(__xludf.DUMMYFUNCTION("GoogleTranslate(C117, ""en"", ""pt"")"),"Sentado")</f>
        <v>Sentado</v>
      </c>
      <c r="AY117" s="7" t="str">
        <f>IFERROR(__xludf.DUMMYFUNCTION("GoogleTranslate(C117, ""en"", ""ro"")"),"sat")</f>
        <v>sat</v>
      </c>
      <c r="AZ117" s="7" t="str">
        <f>IFERROR(__xludf.DUMMYFUNCTION("GoogleTranslate(C117, ""en"", ""ru"")"),"Суббота")</f>
        <v>Суббота</v>
      </c>
      <c r="BA117" s="7" t="str">
        <f>IFERROR(__xludf.DUMMYFUNCTION("GoogleTranslate(C117, ""en"", ""sr"")"),"Сат")</f>
        <v>Сат</v>
      </c>
      <c r="BB117" s="7" t="str">
        <f>IFERROR(__xludf.DUMMYFUNCTION("GoogleTranslate(C117, ""en"", ""si"")"),"සෙනසුරාදා")</f>
        <v>සෙනසුරාදා</v>
      </c>
      <c r="BC117" s="7" t="str">
        <f>IFERROR(__xludf.DUMMYFUNCTION("GoogleTranslate(C117, ""en"", ""sk"")"),"So")</f>
        <v>So</v>
      </c>
      <c r="BD117" s="7" t="str">
        <f>IFERROR(__xludf.DUMMYFUNCTION("GoogleTranslate(C117, ""en"", ""sl"")"),"sob")</f>
        <v>sob</v>
      </c>
      <c r="BE117" s="7" t="str">
        <f>IFERROR(__xludf.DUMMYFUNCTION("GoogleTranslate(C117, ""en"", ""es"")"),"Se sentó")</f>
        <v>Se sentó</v>
      </c>
      <c r="BF117" s="7" t="str">
        <f>IFERROR(__xludf.DUMMYFUNCTION("GoogleTranslate(C117, ""en"", ""sw"")"),"Sat")</f>
        <v>Sat</v>
      </c>
      <c r="BG117" s="7" t="str">
        <f>IFERROR(__xludf.DUMMYFUNCTION("GoogleTranslate(C117, ""en"", ""sv"")"),"lö")</f>
        <v>lö</v>
      </c>
      <c r="BH117" s="7" t="str">
        <f>IFERROR(__xludf.DUMMYFUNCTION("GoogleTranslate(C117, ""en"", ""te"")"),"శని")</f>
        <v>శని</v>
      </c>
      <c r="BI117" s="7" t="str">
        <f>IFERROR(__xludf.DUMMYFUNCTION("GoogleTranslate(C117, ""en"", ""th"")"),"นั่ง")</f>
        <v>นั่ง</v>
      </c>
      <c r="BJ117" s="7" t="str">
        <f>IFERROR(__xludf.DUMMYFUNCTION("GoogleTranslate(C117, ""en"", ""tr"")"),"Doygunluk")</f>
        <v>Doygunluk</v>
      </c>
      <c r="BK117" s="7" t="str">
        <f>IFERROR(__xludf.DUMMYFUNCTION("GoogleTranslate(C117, ""en"", ""uk"")"),"сб")</f>
        <v>сб</v>
      </c>
      <c r="BL117" s="7" t="str">
        <f>IFERROR(__xludf.DUMMYFUNCTION("GoogleTranslate(C117, ""en"", ""zu"")"),"Sat")</f>
        <v>Sat</v>
      </c>
    </row>
    <row r="118">
      <c r="A118" s="5" t="str">
        <f t="shared" si="1"/>
        <v>Sun</v>
      </c>
      <c r="B118" s="6" t="s">
        <v>175</v>
      </c>
      <c r="C118" s="5" t="str">
        <f t="shared" si="2"/>
        <v>Sun</v>
      </c>
      <c r="D118" s="7" t="str">
        <f>IFERROR(__xludf.DUMMYFUNCTION("GoogleTranslate(C118, ""en"", ""es"")"),"Sol")</f>
        <v>Sol</v>
      </c>
      <c r="E118" s="7" t="str">
        <f>IFERROR(__xludf.DUMMYFUNCTION("GoogleTranslate(C118, ""en"", ""ar"")"),"شمس")</f>
        <v>شمس</v>
      </c>
      <c r="F118" s="7" t="str">
        <f>IFERROR(__xludf.DUMMYFUNCTION("GoogleTranslate(C118, ""en"", ""hy"")"),"Արև")</f>
        <v>Արև</v>
      </c>
      <c r="G118" s="7" t="str">
        <f>IFERROR(__xludf.DUMMYFUNCTION("GoogleTranslate(C118, ""en"", ""vi"")"),"Mặt trời")</f>
        <v>Mặt trời</v>
      </c>
      <c r="H118" s="7" t="str">
        <f>IFERROR(__xludf.DUMMYFUNCTION("GoogleTranslate(C118, ""en"", ""az"")"),"Günəş")</f>
        <v>Günəş</v>
      </c>
      <c r="I118" s="7" t="str">
        <f>IFERROR(__xludf.DUMMYFUNCTION("GoogleTranslate(C118, ""en"", ""eu"")"),"Eguzkia")</f>
        <v>Eguzkia</v>
      </c>
      <c r="J118" s="7" t="str">
        <f>IFERROR(__xludf.DUMMYFUNCTION("GoogleTranslate(C118, ""en"", ""be"")"),"Сонца")</f>
        <v>Сонца</v>
      </c>
      <c r="K118" s="7" t="str">
        <f>IFERROR(__xludf.DUMMYFUNCTION("GoogleTranslate(C118, ""en"", ""bn"")"),"সূর্য")</f>
        <v>সূর্য</v>
      </c>
      <c r="L118" s="7" t="str">
        <f>IFERROR(__xludf.DUMMYFUNCTION("GoogleTranslate(C118, ""en"", ""bg"")"),"слънце")</f>
        <v>слънце</v>
      </c>
      <c r="M118" s="7" t="str">
        <f>IFERROR(__xludf.DUMMYFUNCTION("GoogleTranslate(C118, ""en"", ""my"")"),"နေမင်း")</f>
        <v>နေမင်း</v>
      </c>
      <c r="N118" s="7" t="str">
        <f>IFERROR(__xludf.DUMMYFUNCTION("GoogleTranslate(C118, ""en"", ""ca"")"),"Sol")</f>
        <v>Sol</v>
      </c>
      <c r="O118" s="7" t="str">
        <f>IFERROR(__xludf.DUMMYFUNCTION("GoogleTranslate(C118, ""en"", ""zh-cn"")"),"太阳")</f>
        <v>太阳</v>
      </c>
      <c r="P118" s="7" t="str">
        <f>IFERROR(__xludf.DUMMYFUNCTION("GoogleTranslate(C118, ""en"", ""zh-TW"")"),"太陽")</f>
        <v>太陽</v>
      </c>
      <c r="Q118" s="7" t="str">
        <f>IFERROR(__xludf.DUMMYFUNCTION("GoogleTranslate(C118, ""en"", ""hr"")"),"Sunce")</f>
        <v>Sunce</v>
      </c>
      <c r="R118" s="7" t="str">
        <f>IFERROR(__xludf.DUMMYFUNCTION("GoogleTranslate(C118, ""en"", ""cs"")"),"Slunce")</f>
        <v>Slunce</v>
      </c>
      <c r="S118" s="7" t="str">
        <f>IFERROR(__xludf.DUMMYFUNCTION("GoogleTranslate(C118, ""en"", ""da"")"),"Sol")</f>
        <v>Sol</v>
      </c>
      <c r="T118" s="7" t="str">
        <f>IFERROR(__xludf.DUMMYFUNCTION("GoogleTranslate(C118, ""en"", ""nl"")"),"Zon")</f>
        <v>Zon</v>
      </c>
      <c r="U118" s="7" t="str">
        <f>IFERROR(__xludf.DUMMYFUNCTION("GoogleTranslate(C118, ""en"", ""et"")"),"Päike")</f>
        <v>Päike</v>
      </c>
      <c r="V118" s="5" t="str">
        <f t="shared" si="3"/>
        <v>Sun</v>
      </c>
      <c r="W118" s="7" t="str">
        <f>IFERROR(__xludf.DUMMYFUNCTION("GoogleTranslate(C118, ""en"", ""fi"")"),"Aurinko")</f>
        <v>Aurinko</v>
      </c>
      <c r="X118" s="7" t="str">
        <f>IFERROR(__xludf.DUMMYFUNCTION("GoogleTranslate(C118, ""en"", ""fr"")"),"Soleil")</f>
        <v>Soleil</v>
      </c>
      <c r="Y118" s="7" t="str">
        <f>IFERROR(__xludf.DUMMYFUNCTION("GoogleTranslate(C118, ""en"", ""de"")"),"Sonne")</f>
        <v>Sonne</v>
      </c>
      <c r="Z118" s="7" t="str">
        <f>IFERROR(__xludf.DUMMYFUNCTION("GoogleTranslate(C118, ""en"", ""el"")"),"Ήλιος")</f>
        <v>Ήλιος</v>
      </c>
      <c r="AA118" s="7" t="str">
        <f>IFERROR(__xludf.DUMMYFUNCTION("GoogleTranslate(C118, ""en"", ""iw"")"),"שֶׁמֶש")</f>
        <v>שֶׁמֶש</v>
      </c>
      <c r="AB118" s="7" t="str">
        <f>IFERROR(__xludf.DUMMYFUNCTION("GoogleTranslate(C118, ""en"", ""hi"")"),"सूरज")</f>
        <v>सूरज</v>
      </c>
      <c r="AC118" s="7" t="str">
        <f>IFERROR(__xludf.DUMMYFUNCTION("GoogleTranslate(C118, ""en"", ""hu"")"),"Nap")</f>
        <v>Nap</v>
      </c>
      <c r="AD118" s="7" t="str">
        <f>IFERROR(__xludf.DUMMYFUNCTION("GoogleTranslate(C118, ""en"", ""is"")"),"Sun")</f>
        <v>Sun</v>
      </c>
      <c r="AE118" s="7" t="str">
        <f>IFERROR(__xludf.DUMMYFUNCTION("GoogleTranslate(C118, ""en"", ""id"")"),"Matahari")</f>
        <v>Matahari</v>
      </c>
      <c r="AF118" s="7" t="str">
        <f>IFERROR(__xludf.DUMMYFUNCTION("GoogleTranslate(C118, ""en"", ""in"")"),"Matahari")</f>
        <v>Matahari</v>
      </c>
      <c r="AG118" s="7" t="str">
        <f>IFERROR(__xludf.DUMMYFUNCTION("GoogleTranslate(C118, ""en"", ""it"")"),"Sole")</f>
        <v>Sole</v>
      </c>
      <c r="AH118" s="7" t="str">
        <f>IFERROR(__xludf.DUMMYFUNCTION("GoogleTranslate(C118, ""en"", ""ja"")"),"太陽")</f>
        <v>太陽</v>
      </c>
      <c r="AI118" s="7" t="str">
        <f>IFERROR(__xludf.DUMMYFUNCTION("GoogleTranslate(C118, ""en"", ""kn"")"),"ಸೂರ್ಯ")</f>
        <v>ಸೂರ್ಯ</v>
      </c>
      <c r="AJ118" s="7" t="str">
        <f>IFERROR(__xludf.DUMMYFUNCTION("GoogleTranslate(C118, ""en"", ""km"")"),"ព្រះអាទិត្យ")</f>
        <v>ព្រះអាទិត្យ</v>
      </c>
      <c r="AK118" s="7" t="str">
        <f>IFERROR(__xludf.DUMMYFUNCTION("GoogleTranslate(C118, ""en"", ""ko"")"),"해")</f>
        <v>해</v>
      </c>
      <c r="AL118" s="7" t="str">
        <f>IFERROR(__xludf.DUMMYFUNCTION("GoogleTranslate(C118, ""en"", ""lo"")"),"ຕາເວັນ")</f>
        <v>ຕາເວັນ</v>
      </c>
      <c r="AM118" s="7" t="str">
        <f>IFERROR(__xludf.DUMMYFUNCTION("GoogleTranslate(C118, ""en"", ""lv"")"),"Sv")</f>
        <v>Sv</v>
      </c>
      <c r="AN118" s="7" t="str">
        <f>IFERROR(__xludf.DUMMYFUNCTION("GoogleTranslate(C118, ""en"", ""lt"")"),"Saulė")</f>
        <v>Saulė</v>
      </c>
      <c r="AO118" s="7" t="str">
        <f>IFERROR(__xludf.DUMMYFUNCTION("GoogleTranslate(C118, ""en"", ""mk"")"),"Сонцето")</f>
        <v>Сонцето</v>
      </c>
      <c r="AP118" s="7" t="str">
        <f>IFERROR(__xludf.DUMMYFUNCTION("GoogleTranslate(C118, ""en"", ""ms"")"),"Matahari")</f>
        <v>Matahari</v>
      </c>
      <c r="AQ118" s="7" t="str">
        <f>IFERROR(__xludf.DUMMYFUNCTION("GoogleTranslate(C118, ""en"", ""ml"")"),"സൂര്യൻ")</f>
        <v>സൂര്യൻ</v>
      </c>
      <c r="AR118" s="7" t="str">
        <f>IFERROR(__xludf.DUMMYFUNCTION("GoogleTranslate(C118, ""en"", ""mr"")"),"रवि")</f>
        <v>रवि</v>
      </c>
      <c r="AS118" s="7" t="str">
        <f>IFERROR(__xludf.DUMMYFUNCTION("GoogleTranslate(C118, ""en"", ""mn"")"),"Нар")</f>
        <v>Нар</v>
      </c>
      <c r="AT118" s="7" t="str">
        <f>IFERROR(__xludf.DUMMYFUNCTION("GoogleTranslate(C118, ""en"", ""ne"")"),"सूर्य")</f>
        <v>सूर्य</v>
      </c>
      <c r="AU118" s="7" t="str">
        <f>IFERROR(__xludf.DUMMYFUNCTION("GoogleTranslate(C118, ""en"", ""nb"")"),"Sol")</f>
        <v>Sol</v>
      </c>
      <c r="AV118" s="7" t="str">
        <f>IFERROR(__xludf.DUMMYFUNCTION("GoogleTranslate(C118, ""en"", ""fa"")"),"خورشید")</f>
        <v>خورشید</v>
      </c>
      <c r="AW118" s="7" t="str">
        <f>IFERROR(__xludf.DUMMYFUNCTION("GoogleTranslate(C118, ""en"", ""pl"")"),"Słoneczny")</f>
        <v>Słoneczny</v>
      </c>
      <c r="AX118" s="7" t="str">
        <f>IFERROR(__xludf.DUMMYFUNCTION("GoogleTranslate(C118, ""en"", ""pt"")"),"Sol")</f>
        <v>Sol</v>
      </c>
      <c r="AY118" s="7" t="str">
        <f>IFERROR(__xludf.DUMMYFUNCTION("GoogleTranslate(C118, ""en"", ""ro"")"),"Soare")</f>
        <v>Soare</v>
      </c>
      <c r="AZ118" s="7" t="str">
        <f>IFERROR(__xludf.DUMMYFUNCTION("GoogleTranslate(C118, ""en"", ""ru"")"),"Солнце")</f>
        <v>Солнце</v>
      </c>
      <c r="BA118" s="7" t="str">
        <f>IFERROR(__xludf.DUMMYFUNCTION("GoogleTranslate(C118, ""en"", ""sr"")"),"Сун")</f>
        <v>Сун</v>
      </c>
      <c r="BB118" s="7" t="str">
        <f>IFERROR(__xludf.DUMMYFUNCTION("GoogleTranslate(C118, ""en"", ""si"")"),"හිරු")</f>
        <v>හිරු</v>
      </c>
      <c r="BC118" s="7" t="str">
        <f>IFERROR(__xludf.DUMMYFUNCTION("GoogleTranslate(C118, ""en"", ""sk"")"),"Slnko")</f>
        <v>Slnko</v>
      </c>
      <c r="BD118" s="7" t="str">
        <f>IFERROR(__xludf.DUMMYFUNCTION("GoogleTranslate(C118, ""en"", ""sl"")"),"sonce")</f>
        <v>sonce</v>
      </c>
      <c r="BE118" s="7" t="str">
        <f>IFERROR(__xludf.DUMMYFUNCTION("GoogleTranslate(C118, ""en"", ""es"")"),"Sol")</f>
        <v>Sol</v>
      </c>
      <c r="BF118" s="7" t="str">
        <f>IFERROR(__xludf.DUMMYFUNCTION("GoogleTranslate(C118, ""en"", ""sw"")"),"Jua")</f>
        <v>Jua</v>
      </c>
      <c r="BG118" s="7" t="str">
        <f>IFERROR(__xludf.DUMMYFUNCTION("GoogleTranslate(C118, ""en"", ""sv"")"),"Sol")</f>
        <v>Sol</v>
      </c>
      <c r="BH118" s="7" t="str">
        <f>IFERROR(__xludf.DUMMYFUNCTION("GoogleTranslate(C118, ""en"", ""te"")"),"సూర్యుడు")</f>
        <v>సూర్యుడు</v>
      </c>
      <c r="BI118" s="7" t="str">
        <f>IFERROR(__xludf.DUMMYFUNCTION("GoogleTranslate(C118, ""en"", ""th"")"),"ดวงอาทิตย์")</f>
        <v>ดวงอาทิตย์</v>
      </c>
      <c r="BJ118" s="7" t="str">
        <f>IFERROR(__xludf.DUMMYFUNCTION("GoogleTranslate(C118, ""en"", ""tr"")"),"Güneş")</f>
        <v>Güneş</v>
      </c>
      <c r="BK118" s="7" t="str">
        <f>IFERROR(__xludf.DUMMYFUNCTION("GoogleTranslate(C118, ""en"", ""uk"")"),"сонце")</f>
        <v>сонце</v>
      </c>
      <c r="BL118" s="7" t="str">
        <f>IFERROR(__xludf.DUMMYFUNCTION("GoogleTranslate(C118, ""en"", ""zu"")"),"Ilanga")</f>
        <v>Ilanga</v>
      </c>
    </row>
    <row r="119">
      <c r="A119" s="5" t="str">
        <f t="shared" si="1"/>
        <v>Uv_index_{name}_next_{number}_days.</v>
      </c>
      <c r="B119" s="6" t="s">
        <v>166</v>
      </c>
      <c r="C119" s="5" t="str">
        <f t="shared" si="2"/>
        <v>Uv index {name} next {number} days.</v>
      </c>
      <c r="D119" s="7" t="str">
        <f>IFERROR(__xludf.DUMMYFUNCTION("GoogleTranslate(C119, ""en"", ""es"")"),"Índice ultravioleta {nombre} los próximos {número} días.")</f>
        <v>Índice ultravioleta {nombre} los próximos {número} días.</v>
      </c>
      <c r="E119" s="7" t="str">
        <f>IFERROR(__xludf.DUMMYFUNCTION("GoogleTranslate(C119, ""en"", ""ar"")"),"مؤشر الأشعة فوق البنفسجية {name} الأيام الـ {number} القادمة.")</f>
        <v>مؤشر الأشعة فوق البنفسجية {name} الأيام الـ {number} القادمة.</v>
      </c>
      <c r="F119" s="7" t="str">
        <f>IFERROR(__xludf.DUMMYFUNCTION("GoogleTranslate(C119, ""en"", ""hy"")"),"Ուլտրամանուշակագույն ինդեքս {name} հաջորդ {number} օրերին:")</f>
        <v>Ուլտրամանուշակագույն ինդեքս {name} հաջորդ {number} օրերին:</v>
      </c>
      <c r="G119" s="7" t="str">
        <f>IFERROR(__xludf.DUMMYFUNCTION("GoogleTranslate(C119, ""en"", ""vi"")"),"Chỉ số UV {name} ngày {number} ngày tới.")</f>
        <v>Chỉ số UV {name} ngày {number} ngày tới.</v>
      </c>
      <c r="H119" s="7" t="str">
        <f>IFERROR(__xludf.DUMMYFUNCTION("GoogleTranslate(C119, ""en"", ""az"")"),"Uv indeksi {name} növbəti {number} gün.")</f>
        <v>Uv indeksi {name} növbəti {number} gün.</v>
      </c>
      <c r="I119" s="7" t="str">
        <f>IFERROR(__xludf.DUMMYFUNCTION("GoogleTranslate(C119, ""en"", ""eu"")"),"Uv indizea {name} hurrengo {number} egunetan.")</f>
        <v>Uv indizea {name} hurrengo {number} egunetan.</v>
      </c>
      <c r="J119" s="7" t="str">
        <f>IFERROR(__xludf.DUMMYFUNCTION("GoogleTranslate(C119, ""en"", ""be"")"),"Ультрафіялетавы індэкс {імя} у наступныя {number} дзён.")</f>
        <v>Ультрафіялетавы індэкс {імя} у наступныя {number} дзён.</v>
      </c>
      <c r="K119" s="7" t="str">
        <f>IFERROR(__xludf.DUMMYFUNCTION("GoogleTranslate(C119, ""en"", ""bn"")"),"Uv সূচক {name} পরবর্তী {number} দিন।")</f>
        <v>Uv সূচক {name} পরবর্তী {number} দিন।</v>
      </c>
      <c r="L119" s="7" t="str">
        <f>IFERROR(__xludf.DUMMYFUNCTION("GoogleTranslate(C119, ""en"", ""bg"")"),"Uv индекс {name} следващите {number} дни.")</f>
        <v>Uv индекс {name} следващите {number} дни.</v>
      </c>
      <c r="M119" s="7" t="str">
        <f>IFERROR(__xludf.DUMMYFUNCTION("GoogleTranslate(C119, ""en"", ""my"")"),"Uv အညွှန်း {name} နောက် {number} ရက်။")</f>
        <v>Uv အညွှန်း {name} နောက် {number} ရက်။</v>
      </c>
      <c r="N119" s="7" t="str">
        <f>IFERROR(__xludf.DUMMYFUNCTION("GoogleTranslate(C119, ""en"", ""ca"")"),"Índex UV {name} propers {number} dies.")</f>
        <v>Índex UV {name} propers {number} dies.</v>
      </c>
      <c r="O119" s="7" t="str">
        <f>IFERROR(__xludf.DUMMYFUNCTION("GoogleTranslate(C119, ""en"", ""zh-cn"")"),"接下来 {number} 天的紫外线指数 {name}。")</f>
        <v>接下来 {number} 天的紫外线指数 {name}。</v>
      </c>
      <c r="P119" s="7" t="str">
        <f>IFERROR(__xludf.DUMMYFUNCTION("GoogleTranslate(C119, ""en"", ""zh-TW"")"),"接下來 {number} 天的紫外線指數 {name}。")</f>
        <v>接下來 {number} 天的紫外線指數 {name}。</v>
      </c>
      <c r="Q119" s="7" t="str">
        <f>IFERROR(__xludf.DUMMYFUNCTION("GoogleTranslate(C119, ""en"", ""hr"")"),"Uv indeks {name} sljedećih {number} dana.")</f>
        <v>Uv indeks {name} sljedećih {number} dana.</v>
      </c>
      <c r="R119" s="7" t="str">
        <f>IFERROR(__xludf.DUMMYFUNCTION("GoogleTranslate(C119, ""en"", ""cs"")"),"UV index {name} příštích {number} dnů.")</f>
        <v>UV index {name} příštích {number} dnů.</v>
      </c>
      <c r="S119" s="7" t="str">
        <f>IFERROR(__xludf.DUMMYFUNCTION("GoogleTranslate(C119, ""en"", ""da"")"),"Uv-indeks {name} næste {number} dage.")</f>
        <v>Uv-indeks {name} næste {number} dage.</v>
      </c>
      <c r="T119" s="7" t="str">
        <f>IFERROR(__xludf.DUMMYFUNCTION("GoogleTranslate(C119, ""en"", ""nl"")"),"UV-index {naam} komende {aantal} dagen.")</f>
        <v>UV-index {naam} komende {aantal} dagen.</v>
      </c>
      <c r="U119" s="7" t="str">
        <f>IFERROR(__xludf.DUMMYFUNCTION("GoogleTranslate(C119, ""en"", ""et"")"),"UV-indeks {name} järgmise {number} päeva jooksul.")</f>
        <v>UV-indeks {name} järgmise {number} päeva jooksul.</v>
      </c>
      <c r="V119" s="5" t="str">
        <f t="shared" si="3"/>
        <v>Uv index {name} next {number} days.</v>
      </c>
      <c r="W119" s="7" t="str">
        <f>IFERROR(__xludf.DUMMYFUNCTION("GoogleTranslate(C119, ""en"", ""fi"")"),"UV-indeksi {name} seuraavat {number} päivää.")</f>
        <v>UV-indeksi {name} seuraavat {number} päivää.</v>
      </c>
      <c r="X119" s="7" t="str">
        <f>IFERROR(__xludf.DUMMYFUNCTION("GoogleTranslate(C119, ""en"", ""fr"")"),"Index UV {nom} prochains {nombre} jours.")</f>
        <v>Index UV {nom} prochains {nombre} jours.</v>
      </c>
      <c r="Y119" s="7" t="str">
        <f>IFERROR(__xludf.DUMMYFUNCTION("GoogleTranslate(C119, ""en"", ""de"")"),"UV-Index {Name} nächste {Anzahl} Tage.")</f>
        <v>UV-Index {Name} nächste {Anzahl} Tage.</v>
      </c>
      <c r="Z119" s="7" t="str">
        <f>IFERROR(__xludf.DUMMYFUNCTION("GoogleTranslate(C119, ""en"", ""el"")"),"Δείκτης UV {name} επόμενες {number} ημέρες.")</f>
        <v>Δείκτης UV {name} επόμενες {number} ημέρες.</v>
      </c>
      <c r="AA119" s="7" t="str">
        <f>IFERROR(__xludf.DUMMYFUNCTION("GoogleTranslate(C119, ""en"", ""iw"")"),"אינדקס UV {name} ב-{number} הימים הבאים.")</f>
        <v>אינדקס UV {name} ב-{number} הימים הבאים.</v>
      </c>
      <c r="AB119" s="7" t="str">
        <f>IFERROR(__xludf.DUMMYFUNCTION("GoogleTranslate(C119, ""en"", ""hi"")"),"यूवी सूचकांक {नाम} अगले {संख्या} दिन।")</f>
        <v>यूवी सूचकांक {नाम} अगले {संख्या} दिन।</v>
      </c>
      <c r="AC119" s="7" t="str">
        <f>IFERROR(__xludf.DUMMYFUNCTION("GoogleTranslate(C119, ""en"", ""hu"")"),"UV-index {name} következő {number} napon.")</f>
        <v>UV-index {name} következő {number} napon.</v>
      </c>
      <c r="AD119" s="7" t="str">
        <f>IFERROR(__xludf.DUMMYFUNCTION("GoogleTranslate(C119, ""en"", ""is"")"),"UV vísitala {name} næstu {number} daga.")</f>
        <v>UV vísitala {name} næstu {number} daga.</v>
      </c>
      <c r="AE119" s="7" t="str">
        <f>IFERROR(__xludf.DUMMYFUNCTION("GoogleTranslate(C119, ""en"", ""id"")"),"Indeks UV {name} {number} hari ke depan.")</f>
        <v>Indeks UV {name} {number} hari ke depan.</v>
      </c>
      <c r="AF119" s="7" t="str">
        <f>IFERROR(__xludf.DUMMYFUNCTION("GoogleTranslate(C119, ""en"", ""in"")"),"Indeks UV {name} {number} hari ke depan.")</f>
        <v>Indeks UV {name} {number} hari ke depan.</v>
      </c>
      <c r="AG119" s="7" t="str">
        <f>IFERROR(__xludf.DUMMYFUNCTION("GoogleTranslate(C119, ""en"", ""it"")"),"Indice Uv {nome} prossimi {numero} giorni.")</f>
        <v>Indice Uv {nome} prossimi {numero} giorni.</v>
      </c>
      <c r="AH119" s="7" t="str">
        <f>IFERROR(__xludf.DUMMYFUNCTION("GoogleTranslate(C119, ""en"", ""ja"")"),"今後の {number} 日間の紫外線インデックス {name}。")</f>
        <v>今後の {number} 日間の紫外線インデックス {name}。</v>
      </c>
      <c r="AI119" s="7" t="str">
        <f>IFERROR(__xludf.DUMMYFUNCTION("GoogleTranslate(C119, ""en"", ""kn"")"),"ಯುವಿ ಸೂಚ್ಯಂಕ {name} ಮುಂದಿನ {number} ದಿನಗಳು.")</f>
        <v>ಯುವಿ ಸೂಚ್ಯಂಕ {name} ಮುಂದಿನ {number} ದಿನಗಳು.</v>
      </c>
      <c r="AJ119" s="7" t="str">
        <f>IFERROR(__xludf.DUMMYFUNCTION("GoogleTranslate(C119, ""en"", ""km"")"),"Uv index {name} បន្ទាប់ {number} ថ្ងៃ")</f>
        <v>Uv index {name} បន្ទាប់ {number} ថ្ងៃ</v>
      </c>
      <c r="AK119" s="7" t="str">
        <f>IFERROR(__xludf.DUMMYFUNCTION("GoogleTranslate(C119, ""en"", ""ko"")"),"자외선 지수 {name} 다음 {number}일.")</f>
        <v>자외선 지수 {name} 다음 {number}일.</v>
      </c>
      <c r="AL119" s="7" t="str">
        <f>IFERROR(__xludf.DUMMYFUNCTION("GoogleTranslate(C119, ""en"", ""lo"")"),"Uv index {name} ຕໍ່ໄປ {number} ມື້.")</f>
        <v>Uv index {name} ຕໍ່ໄປ {number} ມື້.</v>
      </c>
      <c r="AM119" s="7" t="str">
        <f>IFERROR(__xludf.DUMMYFUNCTION("GoogleTranslate(C119, ""en"", ""lv"")"),"UV indekss {name} nākamās {number} dienas.")</f>
        <v>UV indekss {name} nākamās {number} dienas.</v>
      </c>
      <c r="AN119" s="7" t="str">
        <f>IFERROR(__xludf.DUMMYFUNCTION("GoogleTranslate(C119, ""en"", ""lt"")"),"UV indeksas {name} kitas {number} d.")</f>
        <v>UV indeksas {name} kitas {number} d.</v>
      </c>
      <c r="AO119" s="7" t="str">
        <f>IFERROR(__xludf.DUMMYFUNCTION("GoogleTranslate(C119, ""en"", ""mk"")"),"УВ индекс {name} следните {number} дена.")</f>
        <v>УВ индекс {name} следните {number} дена.</v>
      </c>
      <c r="AP119" s="7" t="str">
        <f>IFERROR(__xludf.DUMMYFUNCTION("GoogleTranslate(C119, ""en"", ""ms"")"),"Indeks UV {nama} {number} hari berikutnya.")</f>
        <v>Indeks UV {nama} {number} hari berikutnya.</v>
      </c>
      <c r="AQ119" s="7" t="str">
        <f>IFERROR(__xludf.DUMMYFUNCTION("GoogleTranslate(C119, ""en"", ""ml"")"),"Uv സൂചിക {name} അടുത്ത {number} ദിവസങ്ങളിൽ.")</f>
        <v>Uv സൂചിക {name} അടുത്ത {number} ദിവസങ്ങളിൽ.</v>
      </c>
      <c r="AR119" s="7" t="str">
        <f>IFERROR(__xludf.DUMMYFUNCTION("GoogleTranslate(C119, ""en"", ""mr"")"),"Uv अनुक्रमणिका {name} पुढील {number} दिवस.")</f>
        <v>Uv अनुक्रमणिका {name} पुढील {number} दिवस.</v>
      </c>
      <c r="AS119" s="7" t="str">
        <f>IFERROR(__xludf.DUMMYFUNCTION("GoogleTranslate(C119, ""en"", ""mn"")"),"UV индекс {name} дараагийн {number} өдөр.")</f>
        <v>UV индекс {name} дараагийн {number} өдөр.</v>
      </c>
      <c r="AT119" s="7" t="str">
        <f>IFERROR(__xludf.DUMMYFUNCTION("GoogleTranslate(C119, ""en"", ""ne"")"),"Uv अनुक्रमणिका {name} अर्को {number} दिन।")</f>
        <v>Uv अनुक्रमणिका {name} अर्को {number} दिन।</v>
      </c>
      <c r="AU119" s="7" t="str">
        <f>IFERROR(__xludf.DUMMYFUNCTION("GoogleTranslate(C119, ""en"", ""nb"")"),"Uv-indeks {name} neste {number} dager.")</f>
        <v>Uv-indeks {name} neste {number} dager.</v>
      </c>
      <c r="AV119" s="7" t="str">
        <f>IFERROR(__xludf.DUMMYFUNCTION("GoogleTranslate(C119, ""en"", ""fa"")"),"شاخص UV {name} {number} روز آینده.")</f>
        <v>شاخص UV {name} {number} روز آینده.</v>
      </c>
      <c r="AW119" s="7" t="str">
        <f>IFERROR(__xludf.DUMMYFUNCTION("GoogleTranslate(C119, ""en"", ""pl"")"),"Indeks UV {name} następne {number} dni.")</f>
        <v>Indeks UV {name} następne {number} dni.</v>
      </c>
      <c r="AX119" s="7" t="str">
        <f>IFERROR(__xludf.DUMMYFUNCTION("GoogleTranslate(C119, ""en"", ""pt"")"),"Índice UV {nome} nos próximos {número} dias.")</f>
        <v>Índice UV {nome} nos próximos {número} dias.</v>
      </c>
      <c r="AY119" s="7" t="str">
        <f>IFERROR(__xludf.DUMMYFUNCTION("GoogleTranslate(C119, ""en"", ""ro"")"),"Index UV {name} următoarele {number} zile.")</f>
        <v>Index UV {name} următoarele {number} zile.</v>
      </c>
      <c r="AZ119" s="7" t="str">
        <f>IFERROR(__xludf.DUMMYFUNCTION("GoogleTranslate(C119, ""en"", ""ru"")"),"УФ-индекс {name} в ближайшие {number} дней.")</f>
        <v>УФ-индекс {name} в ближайшие {number} дней.</v>
      </c>
      <c r="BA119" s="7" t="str">
        <f>IFERROR(__xludf.DUMMYFUNCTION("GoogleTranslate(C119, ""en"", ""sr"")"),"Ув индекс {наме} следећих {нумбер} дана.")</f>
        <v>Ув индекс {наме} следећих {нумбер} дана.</v>
      </c>
      <c r="BB119" s="7" t="str">
        <f>IFERROR(__xludf.DUMMYFUNCTION("GoogleTranslate(C119, ""en"", ""si"")"),"Uv දර්ශකය {name} ඉදිරි දින {number}.")</f>
        <v>Uv දර්ශකය {name} ඉදිරි දින {number}.</v>
      </c>
      <c r="BC119" s="7" t="str">
        <f>IFERROR(__xludf.DUMMYFUNCTION("GoogleTranslate(C119, ""en"", ""sk"")"),"UV index {name} nasledujúcich {number} dní.")</f>
        <v>UV index {name} nasledujúcich {number} dní.</v>
      </c>
      <c r="BD119" s="7" t="str">
        <f>IFERROR(__xludf.DUMMYFUNCTION("GoogleTranslate(C119, ""en"", ""sl"")"),"Uv indeks {name} naslednjih {number} dni.")</f>
        <v>Uv indeks {name} naslednjih {number} dni.</v>
      </c>
      <c r="BE119" s="7" t="str">
        <f>IFERROR(__xludf.DUMMYFUNCTION("GoogleTranslate(C119, ""en"", ""es"")"),"Índice ultravioleta {nombre} los próximos {número} días.")</f>
        <v>Índice ultravioleta {nombre} los próximos {número} días.</v>
      </c>
      <c r="BF119" s="7" t="str">
        <f>IFERROR(__xludf.DUMMYFUNCTION("GoogleTranslate(C119, ""en"", ""sw"")"),"Uv index {name} siku {number} zijazo.")</f>
        <v>Uv index {name} siku {number} zijazo.</v>
      </c>
      <c r="BG119" s="7" t="str">
        <f>IFERROR(__xludf.DUMMYFUNCTION("GoogleTranslate(C119, ""en"", ""sv"")"),"Uv-index {name} nästa {number} dagar.")</f>
        <v>Uv-index {name} nästa {number} dagar.</v>
      </c>
      <c r="BH119" s="7" t="str">
        <f>IFERROR(__xludf.DUMMYFUNCTION("GoogleTranslate(C119, ""en"", ""te"")"),"Uv సూచిక {name} తదుపరి {number} రోజులు.")</f>
        <v>Uv సూచిక {name} తదుపరి {number} రోజులు.</v>
      </c>
      <c r="BI119" s="7" t="str">
        <f>IFERROR(__xludf.DUMMYFUNCTION("GoogleTranslate(C119, ""en"", ""th"")"),"ดัชนีรังสียูวี {name} ถัดไป {number} วัน")</f>
        <v>ดัชนีรังสียูวี {name} ถัดไป {number} วัน</v>
      </c>
      <c r="BJ119" s="7" t="str">
        <f>IFERROR(__xludf.DUMMYFUNCTION("GoogleTranslate(C119, ""en"", ""tr"")"),"UV indeksi {name} önümüzdeki {number} gün.")</f>
        <v>UV indeksi {name} önümüzdeki {number} gün.</v>
      </c>
      <c r="BK119" s="7" t="str">
        <f>IFERROR(__xludf.DUMMYFUNCTION("GoogleTranslate(C119, ""en"", ""uk"")"),"УФ-індекс {name} наступні {number} днів.")</f>
        <v>УФ-індекс {name} наступні {number} днів.</v>
      </c>
      <c r="BL119" s="7" t="str">
        <f>IFERROR(__xludf.DUMMYFUNCTION("GoogleTranslate(C119, ""en"", ""zu"")"),"Inkomba ye-Uv {name} ezinsukwini ezingu-{number} ezilandelayo.")</f>
        <v>Inkomba ye-Uv {name} ezinsukwini ezingu-{number} ezilandelayo.</v>
      </c>
    </row>
    <row r="120">
      <c r="A120" s="5" t="str">
        <f t="shared" si="1"/>
        <v>{name}_weather_radar</v>
      </c>
      <c r="B120" s="6" t="s">
        <v>176</v>
      </c>
      <c r="C120" s="5" t="str">
        <f t="shared" si="2"/>
        <v>{name} weather radar</v>
      </c>
      <c r="D120" s="7" t="str">
        <f>IFERROR(__xludf.DUMMYFUNCTION("GoogleTranslate(C120, ""en"", ""es"")"),"{nombre} radar meteorológico")</f>
        <v>{nombre} radar meteorológico</v>
      </c>
      <c r="E120" s="7" t="str">
        <f>IFERROR(__xludf.DUMMYFUNCTION("GoogleTranslate(C120, ""en"", ""ar"")"),"{الاسم} رادار الطقس")</f>
        <v>{الاسم} رادار الطقس</v>
      </c>
      <c r="F120" s="7" t="str">
        <f>IFERROR(__xludf.DUMMYFUNCTION("GoogleTranslate(C120, ""en"", ""hy"")"),"{name} եղանակի ռադար")</f>
        <v>{name} եղանակի ռադար</v>
      </c>
      <c r="G120" s="7" t="str">
        <f>IFERROR(__xludf.DUMMYFUNCTION("GoogleTranslate(C120, ""en"", ""vi"")"),"{name} radar thời tiết")</f>
        <v>{name} radar thời tiết</v>
      </c>
      <c r="H120" s="7" t="str">
        <f>IFERROR(__xludf.DUMMYFUNCTION("GoogleTranslate(C120, ""en"", ""az"")"),"{name} hava radarı")</f>
        <v>{name} hava radarı</v>
      </c>
      <c r="I120" s="7" t="str">
        <f>IFERROR(__xludf.DUMMYFUNCTION("GoogleTranslate(C120, ""en"", ""eu"")"),"{name} eguraldi radarra")</f>
        <v>{name} eguraldi radarra</v>
      </c>
      <c r="J120" s="7" t="str">
        <f>IFERROR(__xludf.DUMMYFUNCTION("GoogleTranslate(C120, ""en"", ""be"")"),"метэарадар {name}")</f>
        <v>метэарадар {name}</v>
      </c>
      <c r="K120" s="7" t="str">
        <f>IFERROR(__xludf.DUMMYFUNCTION("GoogleTranslate(C120, ""en"", ""bn"")"),"{name} আবহাওয়ার রাডার")</f>
        <v>{name} আবহাওয়ার রাডার</v>
      </c>
      <c r="L120" s="7" t="str">
        <f>IFERROR(__xludf.DUMMYFUNCTION("GoogleTranslate(C120, ""en"", ""bg"")"),"{name} метеорологичен радар")</f>
        <v>{name} метеорологичен радар</v>
      </c>
      <c r="M120" s="7" t="str">
        <f>IFERROR(__xludf.DUMMYFUNCTION("GoogleTranslate(C120, ""en"", ""my"")"),"{name} မိုးလေဝသ ရေဒါ")</f>
        <v>{name} မိုးလေဝသ ရေဒါ</v>
      </c>
      <c r="N120" s="7" t="str">
        <f>IFERROR(__xludf.DUMMYFUNCTION("GoogleTranslate(C120, ""en"", ""ca"")"),"Radar meteorològic de {name}")</f>
        <v>Radar meteorològic de {name}</v>
      </c>
      <c r="O120" s="7" t="str">
        <f>IFERROR(__xludf.DUMMYFUNCTION("GoogleTranslate(C120, ""en"", ""zh-cn"")"),"{name} 天气雷达")</f>
        <v>{name} 天气雷达</v>
      </c>
      <c r="P120" s="7" t="str">
        <f>IFERROR(__xludf.DUMMYFUNCTION("GoogleTranslate(C120, ""en"", ""zh-TW"")"),"{name} 天氣雷達")</f>
        <v>{name} 天氣雷達</v>
      </c>
      <c r="Q120" s="7" t="str">
        <f>IFERROR(__xludf.DUMMYFUNCTION("GoogleTranslate(C120, ""en"", ""hr"")"),"{name} vremenski radar")</f>
        <v>{name} vremenski radar</v>
      </c>
      <c r="R120" s="7" t="str">
        <f>IFERROR(__xludf.DUMMYFUNCTION("GoogleTranslate(C120, ""en"", ""cs"")"),"{name} meteorologický radar")</f>
        <v>{name} meteorologický radar</v>
      </c>
      <c r="S120" s="7" t="str">
        <f>IFERROR(__xludf.DUMMYFUNCTION("GoogleTranslate(C120, ""en"", ""da"")"),"{name} vejrradar")</f>
        <v>{name} vejrradar</v>
      </c>
      <c r="T120" s="7" t="str">
        <f>IFERROR(__xludf.DUMMYFUNCTION("GoogleTranslate(C120, ""en"", ""nl"")"),"{naam} weerradar")</f>
        <v>{naam} weerradar</v>
      </c>
      <c r="U120" s="7" t="str">
        <f>IFERROR(__xludf.DUMMYFUNCTION("GoogleTranslate(C120, ""en"", ""et"")"),"{name} ilmaradar")</f>
        <v>{name} ilmaradar</v>
      </c>
      <c r="V120" s="5" t="str">
        <f t="shared" si="3"/>
        <v>{name} weather radar</v>
      </c>
      <c r="W120" s="7" t="str">
        <f>IFERROR(__xludf.DUMMYFUNCTION("GoogleTranslate(C120, ""en"", ""fi"")"),"{name} säätutka")</f>
        <v>{name} säätutka</v>
      </c>
      <c r="X120" s="7" t="str">
        <f>IFERROR(__xludf.DUMMYFUNCTION("GoogleTranslate(C120, ""en"", ""fr"")"),"Radar météorologique {nom}")</f>
        <v>Radar météorologique {nom}</v>
      </c>
      <c r="Y120" s="7" t="str">
        <f>IFERROR(__xludf.DUMMYFUNCTION("GoogleTranslate(C120, ""en"", ""de"")"),"{name} Wetterradar")</f>
        <v>{name} Wetterradar</v>
      </c>
      <c r="Z120" s="7" t="str">
        <f>IFERROR(__xludf.DUMMYFUNCTION("GoogleTranslate(C120, ""en"", ""el"")"),"Ραντάρ καιρού {name}")</f>
        <v>Ραντάρ καιρού {name}</v>
      </c>
      <c r="AA120" s="7" t="str">
        <f>IFERROR(__xludf.DUMMYFUNCTION("GoogleTranslate(C120, ""en"", ""iw"")"),"רדאר מזג האוויר של {name}")</f>
        <v>רדאר מזג האוויר של {name}</v>
      </c>
      <c r="AB120" s="7" t="str">
        <f>IFERROR(__xludf.DUMMYFUNCTION("GoogleTranslate(C120, ""en"", ""hi"")"),"{नाम} मौसम रडार")</f>
        <v>{नाम} मौसम रडार</v>
      </c>
      <c r="AC120" s="7" t="str">
        <f>IFERROR(__xludf.DUMMYFUNCTION("GoogleTranslate(C120, ""en"", ""hu"")"),"{name} időjárási radar")</f>
        <v>{name} időjárási radar</v>
      </c>
      <c r="AD120" s="7" t="str">
        <f>IFERROR(__xludf.DUMMYFUNCTION("GoogleTranslate(C120, ""en"", ""is"")"),"{name} veðurratsjá")</f>
        <v>{name} veðurratsjá</v>
      </c>
      <c r="AE120" s="7" t="str">
        <f>IFERROR(__xludf.DUMMYFUNCTION("GoogleTranslate(C120, ""en"", ""id"")"),"radar cuaca {name}")</f>
        <v>radar cuaca {name}</v>
      </c>
      <c r="AF120" s="7" t="str">
        <f>IFERROR(__xludf.DUMMYFUNCTION("GoogleTranslate(C120, ""en"", ""in"")"),"radar cuaca {name}")</f>
        <v>radar cuaca {name}</v>
      </c>
      <c r="AG120" s="7" t="str">
        <f>IFERROR(__xludf.DUMMYFUNCTION("GoogleTranslate(C120, ""en"", ""it"")"),"radar meteorologico {nome}")</f>
        <v>radar meteorologico {nome}</v>
      </c>
      <c r="AH120" s="7" t="str">
        <f>IFERROR(__xludf.DUMMYFUNCTION("GoogleTranslate(C120, ""en"", ""ja"")"),"{名前}の気象レーダー")</f>
        <v>{名前}の気象レーダー</v>
      </c>
      <c r="AI120" s="7" t="str">
        <f>IFERROR(__xludf.DUMMYFUNCTION("GoogleTranslate(C120, ""en"", ""kn"")"),"{name} ಹವಾಮಾನ ರೇಡಾರ್")</f>
        <v>{name} ಹವಾಮಾನ ರೇಡಾರ್</v>
      </c>
      <c r="AJ120" s="7" t="str">
        <f>IFERROR(__xludf.DUMMYFUNCTION("GoogleTranslate(C120, ""en"", ""km"")"),"{name} រ៉ាដាអាកាសធាតុ")</f>
        <v>{name} រ៉ាដាអាកាសធាតុ</v>
      </c>
      <c r="AK120" s="7" t="str">
        <f>IFERROR(__xludf.DUMMYFUNCTION("GoogleTranslate(C120, ""en"", ""ko"")"),"{name} 기상 레이더")</f>
        <v>{name} 기상 레이더</v>
      </c>
      <c r="AL120" s="7" t="str">
        <f>IFERROR(__xludf.DUMMYFUNCTION("GoogleTranslate(C120, ""en"", ""lo"")"),"{name} ເຣດາສະພາບອາກາດ")</f>
        <v>{name} ເຣດາສະພາບອາກາດ</v>
      </c>
      <c r="AM120" s="7" t="str">
        <f>IFERROR(__xludf.DUMMYFUNCTION("GoogleTranslate(C120, ""en"", ""lv"")"),"{name} laika radars")</f>
        <v>{name} laika radars</v>
      </c>
      <c r="AN120" s="7" t="str">
        <f>IFERROR(__xludf.DUMMYFUNCTION("GoogleTranslate(C120, ""en"", ""lt"")"),"{name} orų radaras")</f>
        <v>{name} orų radaras</v>
      </c>
      <c r="AO120" s="7" t="str">
        <f>IFERROR(__xludf.DUMMYFUNCTION("GoogleTranslate(C120, ""en"", ""mk"")"),"{name} временски радар")</f>
        <v>{name} временски радар</v>
      </c>
      <c r="AP120" s="7" t="str">
        <f>IFERROR(__xludf.DUMMYFUNCTION("GoogleTranslate(C120, ""en"", ""ms"")"),"radar cuaca {name}.")</f>
        <v>radar cuaca {name}.</v>
      </c>
      <c r="AQ120" s="7" t="str">
        <f>IFERROR(__xludf.DUMMYFUNCTION("GoogleTranslate(C120, ""en"", ""ml"")"),"{name} കാലാവസ്ഥ റഡാർ")</f>
        <v>{name} കാലാവസ്ഥ റഡാർ</v>
      </c>
      <c r="AR120" s="7" t="str">
        <f>IFERROR(__xludf.DUMMYFUNCTION("GoogleTranslate(C120, ""en"", ""mr"")"),"{name} हवामान रडार")</f>
        <v>{name} हवामान रडार</v>
      </c>
      <c r="AS120" s="7" t="str">
        <f>IFERROR(__xludf.DUMMYFUNCTION("GoogleTranslate(C120, ""en"", ""mn"")"),"{name} цаг агаарын радар")</f>
        <v>{name} цаг агаарын радар</v>
      </c>
      <c r="AT120" s="7" t="str">
        <f>IFERROR(__xludf.DUMMYFUNCTION("GoogleTranslate(C120, ""en"", ""ne"")"),"{name} मौसम रडार")</f>
        <v>{name} मौसम रडार</v>
      </c>
      <c r="AU120" s="7" t="str">
        <f>IFERROR(__xludf.DUMMYFUNCTION("GoogleTranslate(C120, ""en"", ""nb"")"),"{name} værradar")</f>
        <v>{name} værradar</v>
      </c>
      <c r="AV120" s="7" t="str">
        <f>IFERROR(__xludf.DUMMYFUNCTION("GoogleTranslate(C120, ""en"", ""fa"")"),"رادار هواشناسی {name}")</f>
        <v>رادار هواشناسی {name}</v>
      </c>
      <c r="AW120" s="7" t="str">
        <f>IFERROR(__xludf.DUMMYFUNCTION("GoogleTranslate(C120, ""en"", ""pl"")"),"Radar pogodowy {name}")</f>
        <v>Radar pogodowy {name}</v>
      </c>
      <c r="AX120" s="7" t="str">
        <f>IFERROR(__xludf.DUMMYFUNCTION("GoogleTranslate(C120, ""en"", ""pt"")"),"{nome} radar meteorológico")</f>
        <v>{nome} radar meteorológico</v>
      </c>
      <c r="AY120" s="7" t="str">
        <f>IFERROR(__xludf.DUMMYFUNCTION("GoogleTranslate(C120, ""en"", ""ro"")"),"radar meteo {name}")</f>
        <v>radar meteo {name}</v>
      </c>
      <c r="AZ120" s="7" t="str">
        <f>IFERROR(__xludf.DUMMYFUNCTION("GoogleTranslate(C120, ""en"", ""ru"")"),"{имя} метеорологический радар")</f>
        <v>{имя} метеорологический радар</v>
      </c>
      <c r="BA120" s="7" t="str">
        <f>IFERROR(__xludf.DUMMYFUNCTION("GoogleTranslate(C120, ""en"", ""sr"")"),"{наме} временски радар")</f>
        <v>{наме} временски радар</v>
      </c>
      <c r="BB120" s="7" t="str">
        <f>IFERROR(__xludf.DUMMYFUNCTION("GoogleTranslate(C120, ""en"", ""si"")"),"{name} කාලගුණ රේඩාර්")</f>
        <v>{name} කාලගුණ රේඩාර්</v>
      </c>
      <c r="BC120" s="7" t="str">
        <f>IFERROR(__xludf.DUMMYFUNCTION("GoogleTranslate(C120, ""en"", ""sk"")"),"{name} meteorologický radar")</f>
        <v>{name} meteorologický radar</v>
      </c>
      <c r="BD120" s="7" t="str">
        <f>IFERROR(__xludf.DUMMYFUNCTION("GoogleTranslate(C120, ""en"", ""sl"")"),"{name} vremenski radar")</f>
        <v>{name} vremenski radar</v>
      </c>
      <c r="BE120" s="7" t="str">
        <f>IFERROR(__xludf.DUMMYFUNCTION("GoogleTranslate(C120, ""en"", ""es"")"),"{nombre} radar meteorológico")</f>
        <v>{nombre} radar meteorológico</v>
      </c>
      <c r="BF120" s="7" t="str">
        <f>IFERROR(__xludf.DUMMYFUNCTION("GoogleTranslate(C120, ""en"", ""sw"")"),"{name} rada ya hali ya hewa")</f>
        <v>{name} rada ya hali ya hewa</v>
      </c>
      <c r="BG120" s="7" t="str">
        <f>IFERROR(__xludf.DUMMYFUNCTION("GoogleTranslate(C120, ""en"", ""sv"")"),"{name} väderradar")</f>
        <v>{name} väderradar</v>
      </c>
      <c r="BH120" s="7" t="str">
        <f>IFERROR(__xludf.DUMMYFUNCTION("GoogleTranslate(C120, ""en"", ""te"")"),"{name} వాతావరణ రాడార్")</f>
        <v>{name} వాతావరణ రాడార్</v>
      </c>
      <c r="BI120" s="7" t="str">
        <f>IFERROR(__xludf.DUMMYFUNCTION("GoogleTranslate(C120, ""en"", ""th"")"),"เรดาร์ตรวจอากาศ {name}")</f>
        <v>เรดาร์ตรวจอากาศ {name}</v>
      </c>
      <c r="BJ120" s="7" t="str">
        <f>IFERROR(__xludf.DUMMYFUNCTION("GoogleTranslate(C120, ""en"", ""tr"")"),"{name} hava durumu radarı")</f>
        <v>{name} hava durumu radarı</v>
      </c>
      <c r="BK120" s="7" t="str">
        <f>IFERROR(__xludf.DUMMYFUNCTION("GoogleTranslate(C120, ""en"", ""uk"")"),"метеорологічний радар {name}")</f>
        <v>метеорологічний радар {name}</v>
      </c>
      <c r="BL120" s="7" t="str">
        <f>IFERROR(__xludf.DUMMYFUNCTION("GoogleTranslate(C120, ""en"", ""zu"")"),"{name} irada yesimo sezulu")</f>
        <v>{name} irada yesimo sezulu</v>
      </c>
    </row>
    <row r="121">
      <c r="A121" s="5" t="str">
        <f t="shared" si="1"/>
        <v>Rain</v>
      </c>
      <c r="B121" s="6" t="s">
        <v>177</v>
      </c>
      <c r="C121" s="5" t="str">
        <f t="shared" si="2"/>
        <v>Rain</v>
      </c>
      <c r="D121" s="7" t="str">
        <f>IFERROR(__xludf.DUMMYFUNCTION("GoogleTranslate(C121, ""en"", ""es"")"),"Lluvia")</f>
        <v>Lluvia</v>
      </c>
      <c r="E121" s="7" t="str">
        <f>IFERROR(__xludf.DUMMYFUNCTION("GoogleTranslate(C121, ""en"", ""ar"")"),"مطر")</f>
        <v>مطر</v>
      </c>
      <c r="F121" s="7" t="str">
        <f>IFERROR(__xludf.DUMMYFUNCTION("GoogleTranslate(C121, ""en"", ""hy"")"),"Անձրև")</f>
        <v>Անձրև</v>
      </c>
      <c r="G121" s="7" t="str">
        <f>IFERROR(__xludf.DUMMYFUNCTION("GoogleTranslate(C121, ""en"", ""vi"")"),"Cơn mưa")</f>
        <v>Cơn mưa</v>
      </c>
      <c r="H121" s="7" t="str">
        <f>IFERROR(__xludf.DUMMYFUNCTION("GoogleTranslate(C121, ""en"", ""az"")"),"Yağış")</f>
        <v>Yağış</v>
      </c>
      <c r="I121" s="7" t="str">
        <f>IFERROR(__xludf.DUMMYFUNCTION("GoogleTranslate(C121, ""en"", ""eu"")"),"Euria")</f>
        <v>Euria</v>
      </c>
      <c r="J121" s="7" t="str">
        <f>IFERROR(__xludf.DUMMYFUNCTION("GoogleTranslate(C121, ""en"", ""be"")"),"Дождж")</f>
        <v>Дождж</v>
      </c>
      <c r="K121" s="7" t="str">
        <f>IFERROR(__xludf.DUMMYFUNCTION("GoogleTranslate(C121, ""en"", ""bn"")"),"বৃষ্টি")</f>
        <v>বৃষ্টি</v>
      </c>
      <c r="L121" s="7" t="str">
        <f>IFERROR(__xludf.DUMMYFUNCTION("GoogleTranslate(C121, ""en"", ""bg"")"),"дъжд")</f>
        <v>дъжд</v>
      </c>
      <c r="M121" s="7" t="str">
        <f>IFERROR(__xludf.DUMMYFUNCTION("GoogleTranslate(C121, ""en"", ""my"")"),"မိုး")</f>
        <v>မိုး</v>
      </c>
      <c r="N121" s="7" t="str">
        <f>IFERROR(__xludf.DUMMYFUNCTION("GoogleTranslate(C121, ""en"", ""ca"")"),"Pluja")</f>
        <v>Pluja</v>
      </c>
      <c r="O121" s="7" t="str">
        <f>IFERROR(__xludf.DUMMYFUNCTION("GoogleTranslate(C121, ""en"", ""zh-cn"")"),"雨")</f>
        <v>雨</v>
      </c>
      <c r="P121" s="7" t="str">
        <f>IFERROR(__xludf.DUMMYFUNCTION("GoogleTranslate(C121, ""en"", ""zh-TW"")"),"雨")</f>
        <v>雨</v>
      </c>
      <c r="Q121" s="7" t="str">
        <f>IFERROR(__xludf.DUMMYFUNCTION("GoogleTranslate(C121, ""en"", ""hr"")"),"Kiša")</f>
        <v>Kiša</v>
      </c>
      <c r="R121" s="7" t="str">
        <f>IFERROR(__xludf.DUMMYFUNCTION("GoogleTranslate(C121, ""en"", ""cs"")"),"Déšť")</f>
        <v>Déšť</v>
      </c>
      <c r="S121" s="7" t="str">
        <f>IFERROR(__xludf.DUMMYFUNCTION("GoogleTranslate(C121, ""en"", ""da"")"),"Regn")</f>
        <v>Regn</v>
      </c>
      <c r="T121" s="7" t="str">
        <f>IFERROR(__xludf.DUMMYFUNCTION("GoogleTranslate(C121, ""en"", ""nl"")"),"Regen")</f>
        <v>Regen</v>
      </c>
      <c r="U121" s="7" t="str">
        <f>IFERROR(__xludf.DUMMYFUNCTION("GoogleTranslate(C121, ""en"", ""et"")"),"Vihma")</f>
        <v>Vihma</v>
      </c>
      <c r="V121" s="5" t="str">
        <f t="shared" si="3"/>
        <v>Rain</v>
      </c>
      <c r="W121" s="7" t="str">
        <f>IFERROR(__xludf.DUMMYFUNCTION("GoogleTranslate(C121, ""en"", ""fi"")"),"Sade")</f>
        <v>Sade</v>
      </c>
      <c r="X121" s="7" t="str">
        <f>IFERROR(__xludf.DUMMYFUNCTION("GoogleTranslate(C121, ""en"", ""fr"")"),"Pluie")</f>
        <v>Pluie</v>
      </c>
      <c r="Y121" s="7" t="str">
        <f>IFERROR(__xludf.DUMMYFUNCTION("GoogleTranslate(C121, ""en"", ""de"")"),"Regen")</f>
        <v>Regen</v>
      </c>
      <c r="Z121" s="7" t="str">
        <f>IFERROR(__xludf.DUMMYFUNCTION("GoogleTranslate(C121, ""en"", ""el"")"),"Βροχή")</f>
        <v>Βροχή</v>
      </c>
      <c r="AA121" s="7" t="str">
        <f>IFERROR(__xludf.DUMMYFUNCTION("GoogleTranslate(C121, ""en"", ""iw"")"),"גֶשֶׁם")</f>
        <v>גֶשֶׁם</v>
      </c>
      <c r="AB121" s="7" t="str">
        <f>IFERROR(__xludf.DUMMYFUNCTION("GoogleTranslate(C121, ""en"", ""hi"")"),"बारिश")</f>
        <v>बारिश</v>
      </c>
      <c r="AC121" s="7" t="str">
        <f>IFERROR(__xludf.DUMMYFUNCTION("GoogleTranslate(C121, ""en"", ""hu"")"),"Eső")</f>
        <v>Eső</v>
      </c>
      <c r="AD121" s="7" t="str">
        <f>IFERROR(__xludf.DUMMYFUNCTION("GoogleTranslate(C121, ""en"", ""is"")"),"Rigning")</f>
        <v>Rigning</v>
      </c>
      <c r="AE121" s="7" t="str">
        <f>IFERROR(__xludf.DUMMYFUNCTION("GoogleTranslate(C121, ""en"", ""id"")"),"Hujan")</f>
        <v>Hujan</v>
      </c>
      <c r="AF121" s="7" t="str">
        <f>IFERROR(__xludf.DUMMYFUNCTION("GoogleTranslate(C121, ""en"", ""in"")"),"Hujan")</f>
        <v>Hujan</v>
      </c>
      <c r="AG121" s="7" t="str">
        <f>IFERROR(__xludf.DUMMYFUNCTION("GoogleTranslate(C121, ""en"", ""it"")"),"Piovere")</f>
        <v>Piovere</v>
      </c>
      <c r="AH121" s="7" t="str">
        <f>IFERROR(__xludf.DUMMYFUNCTION("GoogleTranslate(C121, ""en"", ""ja"")"),"雨")</f>
        <v>雨</v>
      </c>
      <c r="AI121" s="7" t="str">
        <f>IFERROR(__xludf.DUMMYFUNCTION("GoogleTranslate(C121, ""en"", ""kn"")"),"ಮಳೆ")</f>
        <v>ಮಳೆ</v>
      </c>
      <c r="AJ121" s="7" t="str">
        <f>IFERROR(__xludf.DUMMYFUNCTION("GoogleTranslate(C121, ""en"", ""km"")"),"ភ្លៀង")</f>
        <v>ភ្លៀង</v>
      </c>
      <c r="AK121" s="7" t="str">
        <f>IFERROR(__xludf.DUMMYFUNCTION("GoogleTranslate(C121, ""en"", ""ko"")"),"비")</f>
        <v>비</v>
      </c>
      <c r="AL121" s="7" t="str">
        <f>IFERROR(__xludf.DUMMYFUNCTION("GoogleTranslate(C121, ""en"", ""lo"")"),"ຝົນ")</f>
        <v>ຝົນ</v>
      </c>
      <c r="AM121" s="7" t="str">
        <f>IFERROR(__xludf.DUMMYFUNCTION("GoogleTranslate(C121, ""en"", ""lv"")"),"Lietus")</f>
        <v>Lietus</v>
      </c>
      <c r="AN121" s="7" t="str">
        <f>IFERROR(__xludf.DUMMYFUNCTION("GoogleTranslate(C121, ""en"", ""lt"")"),"Lietus")</f>
        <v>Lietus</v>
      </c>
      <c r="AO121" s="7" t="str">
        <f>IFERROR(__xludf.DUMMYFUNCTION("GoogleTranslate(C121, ""en"", ""mk"")"),"Дожд")</f>
        <v>Дожд</v>
      </c>
      <c r="AP121" s="7" t="str">
        <f>IFERROR(__xludf.DUMMYFUNCTION("GoogleTranslate(C121, ""en"", ""ms"")"),"hujan")</f>
        <v>hujan</v>
      </c>
      <c r="AQ121" s="7" t="str">
        <f>IFERROR(__xludf.DUMMYFUNCTION("GoogleTranslate(C121, ""en"", ""ml"")"),"മഴ")</f>
        <v>മഴ</v>
      </c>
      <c r="AR121" s="7" t="str">
        <f>IFERROR(__xludf.DUMMYFUNCTION("GoogleTranslate(C121, ""en"", ""mr"")"),"पाऊस")</f>
        <v>पाऊस</v>
      </c>
      <c r="AS121" s="7" t="str">
        <f>IFERROR(__xludf.DUMMYFUNCTION("GoogleTranslate(C121, ""en"", ""mn"")"),"Бороо")</f>
        <v>Бороо</v>
      </c>
      <c r="AT121" s="7" t="str">
        <f>IFERROR(__xludf.DUMMYFUNCTION("GoogleTranslate(C121, ""en"", ""ne"")"),"वर्षा")</f>
        <v>वर्षा</v>
      </c>
      <c r="AU121" s="7" t="str">
        <f>IFERROR(__xludf.DUMMYFUNCTION("GoogleTranslate(C121, ""en"", ""nb"")"),"Regn")</f>
        <v>Regn</v>
      </c>
      <c r="AV121" s="7" t="str">
        <f>IFERROR(__xludf.DUMMYFUNCTION("GoogleTranslate(C121, ""en"", ""fa"")"),"باران")</f>
        <v>باران</v>
      </c>
      <c r="AW121" s="7" t="str">
        <f>IFERROR(__xludf.DUMMYFUNCTION("GoogleTranslate(C121, ""en"", ""pl"")"),"Deszcz")</f>
        <v>Deszcz</v>
      </c>
      <c r="AX121" s="7" t="str">
        <f>IFERROR(__xludf.DUMMYFUNCTION("GoogleTranslate(C121, ""en"", ""pt"")"),"Chuva")</f>
        <v>Chuva</v>
      </c>
      <c r="AY121" s="7" t="str">
        <f>IFERROR(__xludf.DUMMYFUNCTION("GoogleTranslate(C121, ""en"", ""ro"")"),"Ploaie")</f>
        <v>Ploaie</v>
      </c>
      <c r="AZ121" s="7" t="str">
        <f>IFERROR(__xludf.DUMMYFUNCTION("GoogleTranslate(C121, ""en"", ""ru"")"),"Дождь")</f>
        <v>Дождь</v>
      </c>
      <c r="BA121" s="7" t="str">
        <f>IFERROR(__xludf.DUMMYFUNCTION("GoogleTranslate(C121, ""en"", ""sr"")"),"Киша")</f>
        <v>Киша</v>
      </c>
      <c r="BB121" s="7" t="str">
        <f>IFERROR(__xludf.DUMMYFUNCTION("GoogleTranslate(C121, ""en"", ""si"")"),"වැස්ස")</f>
        <v>වැස්ස</v>
      </c>
      <c r="BC121" s="7" t="str">
        <f>IFERROR(__xludf.DUMMYFUNCTION("GoogleTranslate(C121, ""en"", ""sk"")"),"Dážď")</f>
        <v>Dážď</v>
      </c>
      <c r="BD121" s="7" t="str">
        <f>IFERROR(__xludf.DUMMYFUNCTION("GoogleTranslate(C121, ""en"", ""sl"")"),"dež")</f>
        <v>dež</v>
      </c>
      <c r="BE121" s="7" t="str">
        <f>IFERROR(__xludf.DUMMYFUNCTION("GoogleTranslate(C121, ""en"", ""es"")"),"Lluvia")</f>
        <v>Lluvia</v>
      </c>
      <c r="BF121" s="7" t="str">
        <f>IFERROR(__xludf.DUMMYFUNCTION("GoogleTranslate(C121, ""en"", ""sw"")"),"Mvua")</f>
        <v>Mvua</v>
      </c>
      <c r="BG121" s="7" t="str">
        <f>IFERROR(__xludf.DUMMYFUNCTION("GoogleTranslate(C121, ""en"", ""sv"")"),"Regn")</f>
        <v>Regn</v>
      </c>
      <c r="BH121" s="7" t="str">
        <f>IFERROR(__xludf.DUMMYFUNCTION("GoogleTranslate(C121, ""en"", ""te"")"),"వర్షం")</f>
        <v>వర్షం</v>
      </c>
      <c r="BI121" s="7" t="str">
        <f>IFERROR(__xludf.DUMMYFUNCTION("GoogleTranslate(C121, ""en"", ""th"")"),"ฝน")</f>
        <v>ฝน</v>
      </c>
      <c r="BJ121" s="7" t="str">
        <f>IFERROR(__xludf.DUMMYFUNCTION("GoogleTranslate(C121, ""en"", ""tr"")"),"Yağmur")</f>
        <v>Yağmur</v>
      </c>
      <c r="BK121" s="7" t="str">
        <f>IFERROR(__xludf.DUMMYFUNCTION("GoogleTranslate(C121, ""en"", ""uk"")"),"Дощ")</f>
        <v>Дощ</v>
      </c>
      <c r="BL121" s="7" t="str">
        <f>IFERROR(__xludf.DUMMYFUNCTION("GoogleTranslate(C121, ""en"", ""zu"")"),"Imvula")</f>
        <v>Imvula</v>
      </c>
    </row>
    <row r="122">
      <c r="A122" s="5" t="str">
        <f t="shared" si="1"/>
        <v>Cloudy</v>
      </c>
      <c r="B122" s="6" t="s">
        <v>178</v>
      </c>
      <c r="C122" s="5" t="str">
        <f t="shared" si="2"/>
        <v>Cloudy</v>
      </c>
      <c r="D122" s="7" t="str">
        <f>IFERROR(__xludf.DUMMYFUNCTION("GoogleTranslate(C122, ""en"", ""es"")"),"Nublado")</f>
        <v>Nublado</v>
      </c>
      <c r="E122" s="7" t="str">
        <f>IFERROR(__xludf.DUMMYFUNCTION("GoogleTranslate(C122, ""en"", ""ar"")"),"غائم")</f>
        <v>غائم</v>
      </c>
      <c r="F122" s="7" t="str">
        <f>IFERROR(__xludf.DUMMYFUNCTION("GoogleTranslate(C122, ""en"", ""hy"")"),"Ամպամած")</f>
        <v>Ամպամած</v>
      </c>
      <c r="G122" s="7" t="str">
        <f>IFERROR(__xludf.DUMMYFUNCTION("GoogleTranslate(C122, ""en"", ""vi"")"),"Nhiều mây")</f>
        <v>Nhiều mây</v>
      </c>
      <c r="H122" s="7" t="str">
        <f>IFERROR(__xludf.DUMMYFUNCTION("GoogleTranslate(C122, ""en"", ""az"")"),"buludlu")</f>
        <v>buludlu</v>
      </c>
      <c r="I122" s="7" t="str">
        <f>IFERROR(__xludf.DUMMYFUNCTION("GoogleTranslate(C122, ""en"", ""eu"")"),"Hodeitsu")</f>
        <v>Hodeitsu</v>
      </c>
      <c r="J122" s="7" t="str">
        <f>IFERROR(__xludf.DUMMYFUNCTION("GoogleTranslate(C122, ""en"", ""be"")"),"Воблачна")</f>
        <v>Воблачна</v>
      </c>
      <c r="K122" s="7" t="str">
        <f>IFERROR(__xludf.DUMMYFUNCTION("GoogleTranslate(C122, ""en"", ""bn"")"),"মেঘলা")</f>
        <v>মেঘলা</v>
      </c>
      <c r="L122" s="7" t="str">
        <f>IFERROR(__xludf.DUMMYFUNCTION("GoogleTranslate(C122, ""en"", ""bg"")"),"Облачно")</f>
        <v>Облачно</v>
      </c>
      <c r="M122" s="7" t="str">
        <f>IFERROR(__xludf.DUMMYFUNCTION("GoogleTranslate(C122, ""en"", ""my"")"),"တိမ်ထူတယ်။")</f>
        <v>တိမ်ထူတယ်။</v>
      </c>
      <c r="N122" s="7" t="str">
        <f>IFERROR(__xludf.DUMMYFUNCTION("GoogleTranslate(C122, ""en"", ""ca"")"),"Ennuvolat")</f>
        <v>Ennuvolat</v>
      </c>
      <c r="O122" s="7" t="str">
        <f>IFERROR(__xludf.DUMMYFUNCTION("GoogleTranslate(C122, ""en"", ""zh-cn"")"),"多云")</f>
        <v>多云</v>
      </c>
      <c r="P122" s="7" t="str">
        <f>IFERROR(__xludf.DUMMYFUNCTION("GoogleTranslate(C122, ""en"", ""zh-TW"")"),"多雲")</f>
        <v>多雲</v>
      </c>
      <c r="Q122" s="7" t="str">
        <f>IFERROR(__xludf.DUMMYFUNCTION("GoogleTranslate(C122, ""en"", ""hr"")"),"Oblačno")</f>
        <v>Oblačno</v>
      </c>
      <c r="R122" s="7" t="str">
        <f>IFERROR(__xludf.DUMMYFUNCTION("GoogleTranslate(C122, ""en"", ""cs"")"),"Zataženo")</f>
        <v>Zataženo</v>
      </c>
      <c r="S122" s="7" t="str">
        <f>IFERROR(__xludf.DUMMYFUNCTION("GoogleTranslate(C122, ""en"", ""da"")"),"Overskyet")</f>
        <v>Overskyet</v>
      </c>
      <c r="T122" s="7" t="str">
        <f>IFERROR(__xludf.DUMMYFUNCTION("GoogleTranslate(C122, ""en"", ""nl"")"),"Bewolkt")</f>
        <v>Bewolkt</v>
      </c>
      <c r="U122" s="7" t="str">
        <f>IFERROR(__xludf.DUMMYFUNCTION("GoogleTranslate(C122, ""en"", ""et"")"),"Pilves ilm")</f>
        <v>Pilves ilm</v>
      </c>
      <c r="V122" s="5" t="str">
        <f t="shared" si="3"/>
        <v>Cloudy</v>
      </c>
      <c r="W122" s="7" t="str">
        <f>IFERROR(__xludf.DUMMYFUNCTION("GoogleTranslate(C122, ""en"", ""fi"")"),"Pilvinen")</f>
        <v>Pilvinen</v>
      </c>
      <c r="X122" s="7" t="str">
        <f>IFERROR(__xludf.DUMMYFUNCTION("GoogleTranslate(C122, ""en"", ""fr"")"),"Nuageux")</f>
        <v>Nuageux</v>
      </c>
      <c r="Y122" s="7" t="str">
        <f>IFERROR(__xludf.DUMMYFUNCTION("GoogleTranslate(C122, ""en"", ""de"")"),"Wolkig")</f>
        <v>Wolkig</v>
      </c>
      <c r="Z122" s="7" t="str">
        <f>IFERROR(__xludf.DUMMYFUNCTION("GoogleTranslate(C122, ""en"", ""el"")"),"Νεφελώδης")</f>
        <v>Νεφελώδης</v>
      </c>
      <c r="AA122" s="7" t="str">
        <f>IFERROR(__xludf.DUMMYFUNCTION("GoogleTranslate(C122, ""en"", ""iw"")"),"מְעוּנָן")</f>
        <v>מְעוּנָן</v>
      </c>
      <c r="AB122" s="7" t="str">
        <f>IFERROR(__xludf.DUMMYFUNCTION("GoogleTranslate(C122, ""en"", ""hi"")"),"बादलों से घिरा")</f>
        <v>बादलों से घिरा</v>
      </c>
      <c r="AC122" s="7" t="str">
        <f>IFERROR(__xludf.DUMMYFUNCTION("GoogleTranslate(C122, ""en"", ""hu"")"),"Felhős")</f>
        <v>Felhős</v>
      </c>
      <c r="AD122" s="7" t="str">
        <f>IFERROR(__xludf.DUMMYFUNCTION("GoogleTranslate(C122, ""en"", ""is"")"),"Skýjað")</f>
        <v>Skýjað</v>
      </c>
      <c r="AE122" s="7" t="str">
        <f>IFERROR(__xludf.DUMMYFUNCTION("GoogleTranslate(C122, ""en"", ""id"")"),"Berawan")</f>
        <v>Berawan</v>
      </c>
      <c r="AF122" s="7" t="str">
        <f>IFERROR(__xludf.DUMMYFUNCTION("GoogleTranslate(C122, ""en"", ""in"")"),"Berawan")</f>
        <v>Berawan</v>
      </c>
      <c r="AG122" s="7" t="str">
        <f>IFERROR(__xludf.DUMMYFUNCTION("GoogleTranslate(C122, ""en"", ""it"")"),"Nuvoloso")</f>
        <v>Nuvoloso</v>
      </c>
      <c r="AH122" s="7" t="str">
        <f>IFERROR(__xludf.DUMMYFUNCTION("GoogleTranslate(C122, ""en"", ""ja"")"),"曇り")</f>
        <v>曇り</v>
      </c>
      <c r="AI122" s="7" t="str">
        <f>IFERROR(__xludf.DUMMYFUNCTION("GoogleTranslate(C122, ""en"", ""kn"")"),"ಮೋಡ ಕವಿದಿದೆ")</f>
        <v>ಮೋಡ ಕವಿದಿದೆ</v>
      </c>
      <c r="AJ122" s="7" t="str">
        <f>IFERROR(__xludf.DUMMYFUNCTION("GoogleTranslate(C122, ""en"", ""km"")"),"ពពក")</f>
        <v>ពពក</v>
      </c>
      <c r="AK122" s="7" t="str">
        <f>IFERROR(__xludf.DUMMYFUNCTION("GoogleTranslate(C122, ""en"", ""ko"")"),"흐린")</f>
        <v>흐린</v>
      </c>
      <c r="AL122" s="7" t="str">
        <f>IFERROR(__xludf.DUMMYFUNCTION("GoogleTranslate(C122, ""en"", ""lo"")"),"ມີເມກ")</f>
        <v>ມີເມກ</v>
      </c>
      <c r="AM122" s="7" t="str">
        <f>IFERROR(__xludf.DUMMYFUNCTION("GoogleTranslate(C122, ""en"", ""lv"")"),"Mākoņains")</f>
        <v>Mākoņains</v>
      </c>
      <c r="AN122" s="7" t="str">
        <f>IFERROR(__xludf.DUMMYFUNCTION("GoogleTranslate(C122, ""en"", ""lt"")"),"Debesuota")</f>
        <v>Debesuota</v>
      </c>
      <c r="AO122" s="7" t="str">
        <f>IFERROR(__xludf.DUMMYFUNCTION("GoogleTranslate(C122, ""en"", ""mk"")"),"Облачно")</f>
        <v>Облачно</v>
      </c>
      <c r="AP122" s="7" t="str">
        <f>IFERROR(__xludf.DUMMYFUNCTION("GoogleTranslate(C122, ""en"", ""ms"")"),"mendung")</f>
        <v>mendung</v>
      </c>
      <c r="AQ122" s="7" t="str">
        <f>IFERROR(__xludf.DUMMYFUNCTION("GoogleTranslate(C122, ""en"", ""ml"")"),"മേഘാവൃതമായ")</f>
        <v>മേഘാവൃതമായ</v>
      </c>
      <c r="AR122" s="7" t="str">
        <f>IFERROR(__xludf.DUMMYFUNCTION("GoogleTranslate(C122, ""en"", ""mr"")"),"ढगाळ")</f>
        <v>ढगाळ</v>
      </c>
      <c r="AS122" s="7" t="str">
        <f>IFERROR(__xludf.DUMMYFUNCTION("GoogleTranslate(C122, ""en"", ""mn"")"),"Үүлэрхэг")</f>
        <v>Үүлэрхэг</v>
      </c>
      <c r="AT122" s="7" t="str">
        <f>IFERROR(__xludf.DUMMYFUNCTION("GoogleTranslate(C122, ""en"", ""ne"")"),"बादल छ")</f>
        <v>बादल छ</v>
      </c>
      <c r="AU122" s="7" t="str">
        <f>IFERROR(__xludf.DUMMYFUNCTION("GoogleTranslate(C122, ""en"", ""nb"")"),"Skyet")</f>
        <v>Skyet</v>
      </c>
      <c r="AV122" s="7" t="str">
        <f>IFERROR(__xludf.DUMMYFUNCTION("GoogleTranslate(C122, ""en"", ""fa"")"),"ابری")</f>
        <v>ابری</v>
      </c>
      <c r="AW122" s="7" t="str">
        <f>IFERROR(__xludf.DUMMYFUNCTION("GoogleTranslate(C122, ""en"", ""pl"")"),"Mętny")</f>
        <v>Mętny</v>
      </c>
      <c r="AX122" s="7" t="str">
        <f>IFERROR(__xludf.DUMMYFUNCTION("GoogleTranslate(C122, ""en"", ""pt"")"),"Nublado")</f>
        <v>Nublado</v>
      </c>
      <c r="AY122" s="7" t="str">
        <f>IFERROR(__xludf.DUMMYFUNCTION("GoogleTranslate(C122, ""en"", ""ro"")"),"Noros")</f>
        <v>Noros</v>
      </c>
      <c r="AZ122" s="7" t="str">
        <f>IFERROR(__xludf.DUMMYFUNCTION("GoogleTranslate(C122, ""en"", ""ru"")"),"Облачно")</f>
        <v>Облачно</v>
      </c>
      <c r="BA122" s="7" t="str">
        <f>IFERROR(__xludf.DUMMYFUNCTION("GoogleTranslate(C122, ""en"", ""sr"")"),"Облачно")</f>
        <v>Облачно</v>
      </c>
      <c r="BB122" s="7" t="str">
        <f>IFERROR(__xludf.DUMMYFUNCTION("GoogleTranslate(C122, ""en"", ""si"")"),"වළාකුළු පිරි")</f>
        <v>වළාකුළු පිරි</v>
      </c>
      <c r="BC122" s="7" t="str">
        <f>IFERROR(__xludf.DUMMYFUNCTION("GoogleTranslate(C122, ""en"", ""sk"")"),"Zamračené")</f>
        <v>Zamračené</v>
      </c>
      <c r="BD122" s="7" t="str">
        <f>IFERROR(__xludf.DUMMYFUNCTION("GoogleTranslate(C122, ""en"", ""sl"")"),"Oblačno")</f>
        <v>Oblačno</v>
      </c>
      <c r="BE122" s="7" t="str">
        <f>IFERROR(__xludf.DUMMYFUNCTION("GoogleTranslate(C122, ""en"", ""es"")"),"Nublado")</f>
        <v>Nublado</v>
      </c>
      <c r="BF122" s="7" t="str">
        <f>IFERROR(__xludf.DUMMYFUNCTION("GoogleTranslate(C122, ""en"", ""sw"")"),"Mawingu")</f>
        <v>Mawingu</v>
      </c>
      <c r="BG122" s="7" t="str">
        <f>IFERROR(__xludf.DUMMYFUNCTION("GoogleTranslate(C122, ""en"", ""sv"")"),"Molnig")</f>
        <v>Molnig</v>
      </c>
      <c r="BH122" s="7" t="str">
        <f>IFERROR(__xludf.DUMMYFUNCTION("GoogleTranslate(C122, ""en"", ""te"")"),"మేఘావృతం")</f>
        <v>మేఘావృతం</v>
      </c>
      <c r="BI122" s="7" t="str">
        <f>IFERROR(__xludf.DUMMYFUNCTION("GoogleTranslate(C122, ""en"", ""th"")"),"เมฆมาก")</f>
        <v>เมฆมาก</v>
      </c>
      <c r="BJ122" s="7" t="str">
        <f>IFERROR(__xludf.DUMMYFUNCTION("GoogleTranslate(C122, ""en"", ""tr"")"),"Bulutlu")</f>
        <v>Bulutlu</v>
      </c>
      <c r="BK122" s="7" t="str">
        <f>IFERROR(__xludf.DUMMYFUNCTION("GoogleTranslate(C122, ""en"", ""uk"")"),"Хмарно")</f>
        <v>Хмарно</v>
      </c>
      <c r="BL122" s="7" t="str">
        <f>IFERROR(__xludf.DUMMYFUNCTION("GoogleTranslate(C122, ""en"", ""zu"")"),"Liguqubele")</f>
        <v>Liguqubele</v>
      </c>
    </row>
    <row r="123">
      <c r="A123" s="5" t="str">
        <f t="shared" si="1"/>
        <v>Snow</v>
      </c>
      <c r="B123" s="6" t="s">
        <v>179</v>
      </c>
      <c r="C123" s="5" t="str">
        <f t="shared" si="2"/>
        <v>Snow</v>
      </c>
      <c r="D123" s="7" t="str">
        <f>IFERROR(__xludf.DUMMYFUNCTION("GoogleTranslate(C123, ""en"", ""es"")"),"Nieve")</f>
        <v>Nieve</v>
      </c>
      <c r="E123" s="7" t="str">
        <f>IFERROR(__xludf.DUMMYFUNCTION("GoogleTranslate(C123, ""en"", ""ar"")"),"ثلج")</f>
        <v>ثلج</v>
      </c>
      <c r="F123" s="7" t="str">
        <f>IFERROR(__xludf.DUMMYFUNCTION("GoogleTranslate(C123, ""en"", ""hy"")"),"Ձյուն")</f>
        <v>Ձյուն</v>
      </c>
      <c r="G123" s="7" t="str">
        <f>IFERROR(__xludf.DUMMYFUNCTION("GoogleTranslate(C123, ""en"", ""vi"")"),"Tuyết")</f>
        <v>Tuyết</v>
      </c>
      <c r="H123" s="7" t="str">
        <f>IFERROR(__xludf.DUMMYFUNCTION("GoogleTranslate(C123, ""en"", ""az"")"),"qar")</f>
        <v>qar</v>
      </c>
      <c r="I123" s="7" t="str">
        <f>IFERROR(__xludf.DUMMYFUNCTION("GoogleTranslate(C123, ""en"", ""eu"")"),"Elurra")</f>
        <v>Elurra</v>
      </c>
      <c r="J123" s="7" t="str">
        <f>IFERROR(__xludf.DUMMYFUNCTION("GoogleTranslate(C123, ""en"", ""be"")"),"Снег")</f>
        <v>Снег</v>
      </c>
      <c r="K123" s="7" t="str">
        <f>IFERROR(__xludf.DUMMYFUNCTION("GoogleTranslate(C123, ""en"", ""bn"")"),"তুষার")</f>
        <v>তুষার</v>
      </c>
      <c r="L123" s="7" t="str">
        <f>IFERROR(__xludf.DUMMYFUNCTION("GoogleTranslate(C123, ""en"", ""bg"")"),"сняг")</f>
        <v>сняг</v>
      </c>
      <c r="M123" s="7" t="str">
        <f>IFERROR(__xludf.DUMMYFUNCTION("GoogleTranslate(C123, ""en"", ""my"")"),"နှင်း")</f>
        <v>နှင်း</v>
      </c>
      <c r="N123" s="7" t="str">
        <f>IFERROR(__xludf.DUMMYFUNCTION("GoogleTranslate(C123, ""en"", ""ca"")"),"Neu")</f>
        <v>Neu</v>
      </c>
      <c r="O123" s="7" t="str">
        <f>IFERROR(__xludf.DUMMYFUNCTION("GoogleTranslate(C123, ""en"", ""zh-cn"")"),"雪")</f>
        <v>雪</v>
      </c>
      <c r="P123" s="7" t="str">
        <f>IFERROR(__xludf.DUMMYFUNCTION("GoogleTranslate(C123, ""en"", ""zh-TW"")"),"雪")</f>
        <v>雪</v>
      </c>
      <c r="Q123" s="7" t="str">
        <f>IFERROR(__xludf.DUMMYFUNCTION("GoogleTranslate(C123, ""en"", ""hr"")"),"Snijeg")</f>
        <v>Snijeg</v>
      </c>
      <c r="R123" s="7" t="str">
        <f>IFERROR(__xludf.DUMMYFUNCTION("GoogleTranslate(C123, ""en"", ""cs"")"),"Sněžení")</f>
        <v>Sněžení</v>
      </c>
      <c r="S123" s="7" t="str">
        <f>IFERROR(__xludf.DUMMYFUNCTION("GoogleTranslate(C123, ""en"", ""da"")"),"Sne")</f>
        <v>Sne</v>
      </c>
      <c r="T123" s="7" t="str">
        <f>IFERROR(__xludf.DUMMYFUNCTION("GoogleTranslate(C123, ""en"", ""nl"")"),"Sneeuw")</f>
        <v>Sneeuw</v>
      </c>
      <c r="U123" s="7" t="str">
        <f>IFERROR(__xludf.DUMMYFUNCTION("GoogleTranslate(C123, ""en"", ""et"")"),"Lumi")</f>
        <v>Lumi</v>
      </c>
      <c r="V123" s="5" t="str">
        <f t="shared" si="3"/>
        <v>Snow</v>
      </c>
      <c r="W123" s="7" t="str">
        <f>IFERROR(__xludf.DUMMYFUNCTION("GoogleTranslate(C123, ""en"", ""fi"")"),"Lumi")</f>
        <v>Lumi</v>
      </c>
      <c r="X123" s="7" t="str">
        <f>IFERROR(__xludf.DUMMYFUNCTION("GoogleTranslate(C123, ""en"", ""fr"")"),"Neige")</f>
        <v>Neige</v>
      </c>
      <c r="Y123" s="7" t="str">
        <f>IFERROR(__xludf.DUMMYFUNCTION("GoogleTranslate(C123, ""en"", ""de"")"),"Schnee")</f>
        <v>Schnee</v>
      </c>
      <c r="Z123" s="7" t="str">
        <f>IFERROR(__xludf.DUMMYFUNCTION("GoogleTranslate(C123, ""en"", ""el"")"),"Χιόνι")</f>
        <v>Χιόνι</v>
      </c>
      <c r="AA123" s="7" t="str">
        <f>IFERROR(__xludf.DUMMYFUNCTION("GoogleTranslate(C123, ""en"", ""iw"")"),"שֶׁלֶג")</f>
        <v>שֶׁלֶג</v>
      </c>
      <c r="AB123" s="7" t="str">
        <f>IFERROR(__xludf.DUMMYFUNCTION("GoogleTranslate(C123, ""en"", ""hi"")"),"बर्फ")</f>
        <v>बर्फ</v>
      </c>
      <c r="AC123" s="7" t="str">
        <f>IFERROR(__xludf.DUMMYFUNCTION("GoogleTranslate(C123, ""en"", ""hu"")"),"Hó")</f>
        <v>Hó</v>
      </c>
      <c r="AD123" s="7" t="str">
        <f>IFERROR(__xludf.DUMMYFUNCTION("GoogleTranslate(C123, ""en"", ""is"")"),"Snjór")</f>
        <v>Snjór</v>
      </c>
      <c r="AE123" s="7" t="str">
        <f>IFERROR(__xludf.DUMMYFUNCTION("GoogleTranslate(C123, ""en"", ""id"")"),"Salju")</f>
        <v>Salju</v>
      </c>
      <c r="AF123" s="7" t="str">
        <f>IFERROR(__xludf.DUMMYFUNCTION("GoogleTranslate(C123, ""en"", ""in"")"),"Salju")</f>
        <v>Salju</v>
      </c>
      <c r="AG123" s="7" t="str">
        <f>IFERROR(__xludf.DUMMYFUNCTION("GoogleTranslate(C123, ""en"", ""it"")"),"Nevicare")</f>
        <v>Nevicare</v>
      </c>
      <c r="AH123" s="7" t="str">
        <f>IFERROR(__xludf.DUMMYFUNCTION("GoogleTranslate(C123, ""en"", ""ja"")"),"雪")</f>
        <v>雪</v>
      </c>
      <c r="AI123" s="7" t="str">
        <f>IFERROR(__xludf.DUMMYFUNCTION("GoogleTranslate(C123, ""en"", ""kn"")"),"ಹಿಮ")</f>
        <v>ಹಿಮ</v>
      </c>
      <c r="AJ123" s="7" t="str">
        <f>IFERROR(__xludf.DUMMYFUNCTION("GoogleTranslate(C123, ""en"", ""km"")"),"ព្រិល")</f>
        <v>ព្រិល</v>
      </c>
      <c r="AK123" s="7" t="str">
        <f>IFERROR(__xludf.DUMMYFUNCTION("GoogleTranslate(C123, ""en"", ""ko"")"),"눈")</f>
        <v>눈</v>
      </c>
      <c r="AL123" s="7" t="str">
        <f>IFERROR(__xludf.DUMMYFUNCTION("GoogleTranslate(C123, ""en"", ""lo"")"),"ຫິມະ")</f>
        <v>ຫິມະ</v>
      </c>
      <c r="AM123" s="7" t="str">
        <f>IFERROR(__xludf.DUMMYFUNCTION("GoogleTranslate(C123, ""en"", ""lv"")"),"Sniegs")</f>
        <v>Sniegs</v>
      </c>
      <c r="AN123" s="7" t="str">
        <f>IFERROR(__xludf.DUMMYFUNCTION("GoogleTranslate(C123, ""en"", ""lt"")"),"Sniegas")</f>
        <v>Sniegas</v>
      </c>
      <c r="AO123" s="7" t="str">
        <f>IFERROR(__xludf.DUMMYFUNCTION("GoogleTranslate(C123, ""en"", ""mk"")"),"Снег")</f>
        <v>Снег</v>
      </c>
      <c r="AP123" s="7" t="str">
        <f>IFERROR(__xludf.DUMMYFUNCTION("GoogleTranslate(C123, ""en"", ""ms"")"),"salji")</f>
        <v>salji</v>
      </c>
      <c r="AQ123" s="7" t="str">
        <f>IFERROR(__xludf.DUMMYFUNCTION("GoogleTranslate(C123, ""en"", ""ml"")"),"മഞ്ഞ്")</f>
        <v>മഞ്ഞ്</v>
      </c>
      <c r="AR123" s="7" t="str">
        <f>IFERROR(__xludf.DUMMYFUNCTION("GoogleTranslate(C123, ""en"", ""mr"")"),"बर्फ")</f>
        <v>बर्फ</v>
      </c>
      <c r="AS123" s="7" t="str">
        <f>IFERROR(__xludf.DUMMYFUNCTION("GoogleTranslate(C123, ""en"", ""mn"")"),"Цас")</f>
        <v>Цас</v>
      </c>
      <c r="AT123" s="7" t="str">
        <f>IFERROR(__xludf.DUMMYFUNCTION("GoogleTranslate(C123, ""en"", ""ne"")"),"हिउँ")</f>
        <v>हिउँ</v>
      </c>
      <c r="AU123" s="7" t="str">
        <f>IFERROR(__xludf.DUMMYFUNCTION("GoogleTranslate(C123, ""en"", ""nb"")"),"Snø")</f>
        <v>Snø</v>
      </c>
      <c r="AV123" s="7" t="str">
        <f>IFERROR(__xludf.DUMMYFUNCTION("GoogleTranslate(C123, ""en"", ""fa"")"),"برف")</f>
        <v>برف</v>
      </c>
      <c r="AW123" s="7" t="str">
        <f>IFERROR(__xludf.DUMMYFUNCTION("GoogleTranslate(C123, ""en"", ""pl"")"),"Śnieg")</f>
        <v>Śnieg</v>
      </c>
      <c r="AX123" s="7" t="str">
        <f>IFERROR(__xludf.DUMMYFUNCTION("GoogleTranslate(C123, ""en"", ""pt"")"),"Neve")</f>
        <v>Neve</v>
      </c>
      <c r="AY123" s="7" t="str">
        <f>IFERROR(__xludf.DUMMYFUNCTION("GoogleTranslate(C123, ""en"", ""ro"")"),"Zăpadă")</f>
        <v>Zăpadă</v>
      </c>
      <c r="AZ123" s="7" t="str">
        <f>IFERROR(__xludf.DUMMYFUNCTION("GoogleTranslate(C123, ""en"", ""ru"")"),"Снег")</f>
        <v>Снег</v>
      </c>
      <c r="BA123" s="7" t="str">
        <f>IFERROR(__xludf.DUMMYFUNCTION("GoogleTranslate(C123, ""en"", ""sr"")"),"Снег")</f>
        <v>Снег</v>
      </c>
      <c r="BB123" s="7" t="str">
        <f>IFERROR(__xludf.DUMMYFUNCTION("GoogleTranslate(C123, ""en"", ""si"")"),"හිම")</f>
        <v>හිම</v>
      </c>
      <c r="BC123" s="7" t="str">
        <f>IFERROR(__xludf.DUMMYFUNCTION("GoogleTranslate(C123, ""en"", ""sk"")"),"Sneh")</f>
        <v>Sneh</v>
      </c>
      <c r="BD123" s="7" t="str">
        <f>IFERROR(__xludf.DUMMYFUNCTION("GoogleTranslate(C123, ""en"", ""sl"")"),"sneg")</f>
        <v>sneg</v>
      </c>
      <c r="BE123" s="7" t="str">
        <f>IFERROR(__xludf.DUMMYFUNCTION("GoogleTranslate(C123, ""en"", ""es"")"),"Nieve")</f>
        <v>Nieve</v>
      </c>
      <c r="BF123" s="7" t="str">
        <f>IFERROR(__xludf.DUMMYFUNCTION("GoogleTranslate(C123, ""en"", ""sw"")"),"Theluji")</f>
        <v>Theluji</v>
      </c>
      <c r="BG123" s="7" t="str">
        <f>IFERROR(__xludf.DUMMYFUNCTION("GoogleTranslate(C123, ""en"", ""sv"")"),"Snö")</f>
        <v>Snö</v>
      </c>
      <c r="BH123" s="7" t="str">
        <f>IFERROR(__xludf.DUMMYFUNCTION("GoogleTranslate(C123, ""en"", ""te"")"),"మంచు")</f>
        <v>మంచు</v>
      </c>
      <c r="BI123" s="7" t="str">
        <f>IFERROR(__xludf.DUMMYFUNCTION("GoogleTranslate(C123, ""en"", ""th"")"),"หิมะ")</f>
        <v>หิมะ</v>
      </c>
      <c r="BJ123" s="7" t="str">
        <f>IFERROR(__xludf.DUMMYFUNCTION("GoogleTranslate(C123, ""en"", ""tr"")"),"Kar")</f>
        <v>Kar</v>
      </c>
      <c r="BK123" s="7" t="str">
        <f>IFERROR(__xludf.DUMMYFUNCTION("GoogleTranslate(C123, ""en"", ""uk"")"),"сніг")</f>
        <v>сніг</v>
      </c>
      <c r="BL123" s="7" t="str">
        <f>IFERROR(__xludf.DUMMYFUNCTION("GoogleTranslate(C123, ""en"", ""zu"")"),"Isithwathwa")</f>
        <v>Isithwathwa</v>
      </c>
    </row>
    <row r="124">
      <c r="A124" s="5" t="str">
        <f t="shared" si="1"/>
        <v>Speed</v>
      </c>
      <c r="B124" s="6" t="s">
        <v>180</v>
      </c>
      <c r="C124" s="5" t="str">
        <f t="shared" si="2"/>
        <v>Speed</v>
      </c>
      <c r="D124" s="7" t="str">
        <f>IFERROR(__xludf.DUMMYFUNCTION("GoogleTranslate(C124, ""en"", ""es"")"),"Velocidad")</f>
        <v>Velocidad</v>
      </c>
      <c r="E124" s="7" t="str">
        <f>IFERROR(__xludf.DUMMYFUNCTION("GoogleTranslate(C124, ""en"", ""ar"")"),"سرعة")</f>
        <v>سرعة</v>
      </c>
      <c r="F124" s="7" t="str">
        <f>IFERROR(__xludf.DUMMYFUNCTION("GoogleTranslate(C124, ""en"", ""hy"")"),"Արագություն")</f>
        <v>Արագություն</v>
      </c>
      <c r="G124" s="7" t="str">
        <f>IFERROR(__xludf.DUMMYFUNCTION("GoogleTranslate(C124, ""en"", ""vi"")"),"Tốc độ")</f>
        <v>Tốc độ</v>
      </c>
      <c r="H124" s="7" t="str">
        <f>IFERROR(__xludf.DUMMYFUNCTION("GoogleTranslate(C124, ""en"", ""az"")"),"Sürət")</f>
        <v>Sürət</v>
      </c>
      <c r="I124" s="7" t="str">
        <f>IFERROR(__xludf.DUMMYFUNCTION("GoogleTranslate(C124, ""en"", ""eu"")"),"Abiadura")</f>
        <v>Abiadura</v>
      </c>
      <c r="J124" s="7" t="str">
        <f>IFERROR(__xludf.DUMMYFUNCTION("GoogleTranslate(C124, ""en"", ""be"")"),"хуткасць")</f>
        <v>хуткасць</v>
      </c>
      <c r="K124" s="7" t="str">
        <f>IFERROR(__xludf.DUMMYFUNCTION("GoogleTranslate(C124, ""en"", ""bn"")"),"গতি")</f>
        <v>গতি</v>
      </c>
      <c r="L124" s="7" t="str">
        <f>IFERROR(__xludf.DUMMYFUNCTION("GoogleTranslate(C124, ""en"", ""bg"")"),"Скорост")</f>
        <v>Скорост</v>
      </c>
      <c r="M124" s="7" t="str">
        <f>IFERROR(__xludf.DUMMYFUNCTION("GoogleTranslate(C124, ""en"", ""my"")"),"အရှိန်")</f>
        <v>အရှိန်</v>
      </c>
      <c r="N124" s="7" t="str">
        <f>IFERROR(__xludf.DUMMYFUNCTION("GoogleTranslate(C124, ""en"", ""ca"")"),"Velocitat")</f>
        <v>Velocitat</v>
      </c>
      <c r="O124" s="7" t="str">
        <f>IFERROR(__xludf.DUMMYFUNCTION("GoogleTranslate(C124, ""en"", ""zh-cn"")"),"速度")</f>
        <v>速度</v>
      </c>
      <c r="P124" s="7" t="str">
        <f>IFERROR(__xludf.DUMMYFUNCTION("GoogleTranslate(C124, ""en"", ""zh-TW"")"),"速度")</f>
        <v>速度</v>
      </c>
      <c r="Q124" s="7" t="str">
        <f>IFERROR(__xludf.DUMMYFUNCTION("GoogleTranslate(C124, ""en"", ""hr"")"),"Ubrzati")</f>
        <v>Ubrzati</v>
      </c>
      <c r="R124" s="7" t="str">
        <f>IFERROR(__xludf.DUMMYFUNCTION("GoogleTranslate(C124, ""en"", ""cs"")"),"Rychlost")</f>
        <v>Rychlost</v>
      </c>
      <c r="S124" s="7" t="str">
        <f>IFERROR(__xludf.DUMMYFUNCTION("GoogleTranslate(C124, ""en"", ""da"")"),"Hastighed")</f>
        <v>Hastighed</v>
      </c>
      <c r="T124" s="7" t="str">
        <f>IFERROR(__xludf.DUMMYFUNCTION("GoogleTranslate(C124, ""en"", ""nl"")"),"Snelheid")</f>
        <v>Snelheid</v>
      </c>
      <c r="U124" s="7" t="str">
        <f>IFERROR(__xludf.DUMMYFUNCTION("GoogleTranslate(C124, ""en"", ""et"")"),"Kiirus")</f>
        <v>Kiirus</v>
      </c>
      <c r="V124" s="5" t="str">
        <f t="shared" si="3"/>
        <v>Speed</v>
      </c>
      <c r="W124" s="7" t="str">
        <f>IFERROR(__xludf.DUMMYFUNCTION("GoogleTranslate(C124, ""en"", ""fi"")"),"Nopeus")</f>
        <v>Nopeus</v>
      </c>
      <c r="X124" s="7" t="str">
        <f>IFERROR(__xludf.DUMMYFUNCTION("GoogleTranslate(C124, ""en"", ""fr"")"),"Vitesse")</f>
        <v>Vitesse</v>
      </c>
      <c r="Y124" s="7" t="str">
        <f>IFERROR(__xludf.DUMMYFUNCTION("GoogleTranslate(C124, ""en"", ""de"")"),"Geschwindigkeit")</f>
        <v>Geschwindigkeit</v>
      </c>
      <c r="Z124" s="7" t="str">
        <f>IFERROR(__xludf.DUMMYFUNCTION("GoogleTranslate(C124, ""en"", ""el"")"),"Ταχύτητα")</f>
        <v>Ταχύτητα</v>
      </c>
      <c r="AA124" s="7" t="str">
        <f>IFERROR(__xludf.DUMMYFUNCTION("GoogleTranslate(C124, ""en"", ""iw"")"),"מְהִירוּת")</f>
        <v>מְהִירוּת</v>
      </c>
      <c r="AB124" s="7" t="str">
        <f>IFERROR(__xludf.DUMMYFUNCTION("GoogleTranslate(C124, ""en"", ""hi"")"),"रफ़्तार")</f>
        <v>रफ़्तार</v>
      </c>
      <c r="AC124" s="7" t="str">
        <f>IFERROR(__xludf.DUMMYFUNCTION("GoogleTranslate(C124, ""en"", ""hu"")"),"Sebesség")</f>
        <v>Sebesség</v>
      </c>
      <c r="AD124" s="7" t="str">
        <f>IFERROR(__xludf.DUMMYFUNCTION("GoogleTranslate(C124, ""en"", ""is"")"),"Hraði")</f>
        <v>Hraði</v>
      </c>
      <c r="AE124" s="7" t="str">
        <f>IFERROR(__xludf.DUMMYFUNCTION("GoogleTranslate(C124, ""en"", ""id"")"),"Kecepatan")</f>
        <v>Kecepatan</v>
      </c>
      <c r="AF124" s="7" t="str">
        <f>IFERROR(__xludf.DUMMYFUNCTION("GoogleTranslate(C124, ""en"", ""in"")"),"Kecepatan")</f>
        <v>Kecepatan</v>
      </c>
      <c r="AG124" s="7" t="str">
        <f>IFERROR(__xludf.DUMMYFUNCTION("GoogleTranslate(C124, ""en"", ""it"")"),"Velocità")</f>
        <v>Velocità</v>
      </c>
      <c r="AH124" s="7" t="str">
        <f>IFERROR(__xludf.DUMMYFUNCTION("GoogleTranslate(C124, ""en"", ""ja"")"),"スピード")</f>
        <v>スピード</v>
      </c>
      <c r="AI124" s="7" t="str">
        <f>IFERROR(__xludf.DUMMYFUNCTION("GoogleTranslate(C124, ""en"", ""kn"")"),"ವೇಗ")</f>
        <v>ವೇಗ</v>
      </c>
      <c r="AJ124" s="7" t="str">
        <f>IFERROR(__xludf.DUMMYFUNCTION("GoogleTranslate(C124, ""en"", ""km"")"),"ល្បឿន")</f>
        <v>ល្បឿន</v>
      </c>
      <c r="AK124" s="7" t="str">
        <f>IFERROR(__xludf.DUMMYFUNCTION("GoogleTranslate(C124, ""en"", ""ko"")"),"속도")</f>
        <v>속도</v>
      </c>
      <c r="AL124" s="7" t="str">
        <f>IFERROR(__xludf.DUMMYFUNCTION("GoogleTranslate(C124, ""en"", ""lo"")"),"ຄວາມໄວ")</f>
        <v>ຄວາມໄວ</v>
      </c>
      <c r="AM124" s="7" t="str">
        <f>IFERROR(__xludf.DUMMYFUNCTION("GoogleTranslate(C124, ""en"", ""lv"")"),"Ātrums")</f>
        <v>Ātrums</v>
      </c>
      <c r="AN124" s="7" t="str">
        <f>IFERROR(__xludf.DUMMYFUNCTION("GoogleTranslate(C124, ""en"", ""lt"")"),"Greitis")</f>
        <v>Greitis</v>
      </c>
      <c r="AO124" s="7" t="str">
        <f>IFERROR(__xludf.DUMMYFUNCTION("GoogleTranslate(C124, ""en"", ""mk"")"),"Брзина")</f>
        <v>Брзина</v>
      </c>
      <c r="AP124" s="7" t="str">
        <f>IFERROR(__xludf.DUMMYFUNCTION("GoogleTranslate(C124, ""en"", ""ms"")"),"Kelajuan")</f>
        <v>Kelajuan</v>
      </c>
      <c r="AQ124" s="7" t="str">
        <f>IFERROR(__xludf.DUMMYFUNCTION("GoogleTranslate(C124, ""en"", ""ml"")"),"വേഗത")</f>
        <v>വേഗത</v>
      </c>
      <c r="AR124" s="7" t="str">
        <f>IFERROR(__xludf.DUMMYFUNCTION("GoogleTranslate(C124, ""en"", ""mr"")"),"गती")</f>
        <v>गती</v>
      </c>
      <c r="AS124" s="7" t="str">
        <f>IFERROR(__xludf.DUMMYFUNCTION("GoogleTranslate(C124, ""en"", ""mn"")"),"Хурд")</f>
        <v>Хурд</v>
      </c>
      <c r="AT124" s="7" t="str">
        <f>IFERROR(__xludf.DUMMYFUNCTION("GoogleTranslate(C124, ""en"", ""ne"")"),"गति")</f>
        <v>गति</v>
      </c>
      <c r="AU124" s="7" t="str">
        <f>IFERROR(__xludf.DUMMYFUNCTION("GoogleTranslate(C124, ""en"", ""nb"")"),"Fart")</f>
        <v>Fart</v>
      </c>
      <c r="AV124" s="7" t="str">
        <f>IFERROR(__xludf.DUMMYFUNCTION("GoogleTranslate(C124, ""en"", ""fa"")"),"سرعت")</f>
        <v>سرعت</v>
      </c>
      <c r="AW124" s="7" t="str">
        <f>IFERROR(__xludf.DUMMYFUNCTION("GoogleTranslate(C124, ""en"", ""pl"")"),"Prędkość")</f>
        <v>Prędkość</v>
      </c>
      <c r="AX124" s="7" t="str">
        <f>IFERROR(__xludf.DUMMYFUNCTION("GoogleTranslate(C124, ""en"", ""pt"")"),"Velocidade")</f>
        <v>Velocidade</v>
      </c>
      <c r="AY124" s="7" t="str">
        <f>IFERROR(__xludf.DUMMYFUNCTION("GoogleTranslate(C124, ""en"", ""ro"")"),"Viteză")</f>
        <v>Viteză</v>
      </c>
      <c r="AZ124" s="7" t="str">
        <f>IFERROR(__xludf.DUMMYFUNCTION("GoogleTranslate(C124, ""en"", ""ru"")"),"Скорость")</f>
        <v>Скорость</v>
      </c>
      <c r="BA124" s="7" t="str">
        <f>IFERROR(__xludf.DUMMYFUNCTION("GoogleTranslate(C124, ""en"", ""sr"")"),"Брзина")</f>
        <v>Брзина</v>
      </c>
      <c r="BB124" s="7" t="str">
        <f>IFERROR(__xludf.DUMMYFUNCTION("GoogleTranslate(C124, ""en"", ""si"")"),"වේගය")</f>
        <v>වේගය</v>
      </c>
      <c r="BC124" s="7" t="str">
        <f>IFERROR(__xludf.DUMMYFUNCTION("GoogleTranslate(C124, ""en"", ""sk"")"),"Rýchlosť")</f>
        <v>Rýchlosť</v>
      </c>
      <c r="BD124" s="7" t="str">
        <f>IFERROR(__xludf.DUMMYFUNCTION("GoogleTranslate(C124, ""en"", ""sl"")"),"Hitrost")</f>
        <v>Hitrost</v>
      </c>
      <c r="BE124" s="7" t="str">
        <f>IFERROR(__xludf.DUMMYFUNCTION("GoogleTranslate(C124, ""en"", ""es"")"),"Velocidad")</f>
        <v>Velocidad</v>
      </c>
      <c r="BF124" s="7" t="str">
        <f>IFERROR(__xludf.DUMMYFUNCTION("GoogleTranslate(C124, ""en"", ""sw"")"),"Kasi")</f>
        <v>Kasi</v>
      </c>
      <c r="BG124" s="7" t="str">
        <f>IFERROR(__xludf.DUMMYFUNCTION("GoogleTranslate(C124, ""en"", ""sv"")"),"Hastighet")</f>
        <v>Hastighet</v>
      </c>
      <c r="BH124" s="7" t="str">
        <f>IFERROR(__xludf.DUMMYFUNCTION("GoogleTranslate(C124, ""en"", ""te"")"),"వేగం")</f>
        <v>వేగం</v>
      </c>
      <c r="BI124" s="7" t="str">
        <f>IFERROR(__xludf.DUMMYFUNCTION("GoogleTranslate(C124, ""en"", ""th"")"),"ความเร็ว")</f>
        <v>ความเร็ว</v>
      </c>
      <c r="BJ124" s="7" t="str">
        <f>IFERROR(__xludf.DUMMYFUNCTION("GoogleTranslate(C124, ""en"", ""tr"")"),"Hız")</f>
        <v>Hız</v>
      </c>
      <c r="BK124" s="7" t="str">
        <f>IFERROR(__xludf.DUMMYFUNCTION("GoogleTranslate(C124, ""en"", ""uk"")"),"швидкість")</f>
        <v>швидкість</v>
      </c>
      <c r="BL124" s="7" t="str">
        <f>IFERROR(__xludf.DUMMYFUNCTION("GoogleTranslate(C124, ""en"", ""zu"")"),"Isivinini")</f>
        <v>Isivinini</v>
      </c>
    </row>
    <row r="125">
      <c r="A125" s="5" t="str">
        <f t="shared" si="1"/>
        <v>Good</v>
      </c>
      <c r="B125" s="6" t="s">
        <v>181</v>
      </c>
      <c r="C125" s="5" t="str">
        <f t="shared" si="2"/>
        <v>Good</v>
      </c>
      <c r="D125" s="7" t="str">
        <f>IFERROR(__xludf.DUMMYFUNCTION("GoogleTranslate(C125, ""en"", ""es"")"),"Bien")</f>
        <v>Bien</v>
      </c>
      <c r="E125" s="7" t="str">
        <f>IFERROR(__xludf.DUMMYFUNCTION("GoogleTranslate(C125, ""en"", ""ar"")"),"جيد")</f>
        <v>جيد</v>
      </c>
      <c r="F125" s="7" t="str">
        <f>IFERROR(__xludf.DUMMYFUNCTION("GoogleTranslate(C125, ""en"", ""hy"")"),"Լավ")</f>
        <v>Լավ</v>
      </c>
      <c r="G125" s="7" t="str">
        <f>IFERROR(__xludf.DUMMYFUNCTION("GoogleTranslate(C125, ""en"", ""vi"")"),"Tốt")</f>
        <v>Tốt</v>
      </c>
      <c r="H125" s="7" t="str">
        <f>IFERROR(__xludf.DUMMYFUNCTION("GoogleTranslate(C125, ""en"", ""az"")"),"Yaxşı")</f>
        <v>Yaxşı</v>
      </c>
      <c r="I125" s="7" t="str">
        <f>IFERROR(__xludf.DUMMYFUNCTION("GoogleTranslate(C125, ""en"", ""eu"")"),"Ona")</f>
        <v>Ona</v>
      </c>
      <c r="J125" s="7" t="str">
        <f>IFERROR(__xludf.DUMMYFUNCTION("GoogleTranslate(C125, ""en"", ""be"")"),"Добра")</f>
        <v>Добра</v>
      </c>
      <c r="K125" s="7" t="str">
        <f>IFERROR(__xludf.DUMMYFUNCTION("GoogleTranslate(C125, ""en"", ""bn"")"),"ভাল")</f>
        <v>ভাল</v>
      </c>
      <c r="L125" s="7" t="str">
        <f>IFERROR(__xludf.DUMMYFUNCTION("GoogleTranslate(C125, ""en"", ""bg"")"),"добре")</f>
        <v>добре</v>
      </c>
      <c r="M125" s="7" t="str">
        <f>IFERROR(__xludf.DUMMYFUNCTION("GoogleTranslate(C125, ""en"", ""my"")"),"ကောင်းတယ်။")</f>
        <v>ကောင်းတယ်။</v>
      </c>
      <c r="N125" s="7" t="str">
        <f>IFERROR(__xludf.DUMMYFUNCTION("GoogleTranslate(C125, ""en"", ""ca"")"),"Bé")</f>
        <v>Bé</v>
      </c>
      <c r="O125" s="7" t="str">
        <f>IFERROR(__xludf.DUMMYFUNCTION("GoogleTranslate(C125, ""en"", ""zh-cn"")"),"好的")</f>
        <v>好的</v>
      </c>
      <c r="P125" s="7" t="str">
        <f>IFERROR(__xludf.DUMMYFUNCTION("GoogleTranslate(C125, ""en"", ""zh-TW"")"),"好的")</f>
        <v>好的</v>
      </c>
      <c r="Q125" s="7" t="str">
        <f>IFERROR(__xludf.DUMMYFUNCTION("GoogleTranslate(C125, ""en"", ""hr"")"),"Dobro")</f>
        <v>Dobro</v>
      </c>
      <c r="R125" s="7" t="str">
        <f>IFERROR(__xludf.DUMMYFUNCTION("GoogleTranslate(C125, ""en"", ""cs"")"),"Dobrý")</f>
        <v>Dobrý</v>
      </c>
      <c r="S125" s="7" t="str">
        <f>IFERROR(__xludf.DUMMYFUNCTION("GoogleTranslate(C125, ""en"", ""da"")"),"God")</f>
        <v>God</v>
      </c>
      <c r="T125" s="7" t="str">
        <f>IFERROR(__xludf.DUMMYFUNCTION("GoogleTranslate(C125, ""en"", ""nl"")"),"Goed")</f>
        <v>Goed</v>
      </c>
      <c r="U125" s="7" t="str">
        <f>IFERROR(__xludf.DUMMYFUNCTION("GoogleTranslate(C125, ""en"", ""et"")"),"Hea")</f>
        <v>Hea</v>
      </c>
      <c r="V125" s="5" t="str">
        <f t="shared" si="3"/>
        <v>Good</v>
      </c>
      <c r="W125" s="7" t="str">
        <f>IFERROR(__xludf.DUMMYFUNCTION("GoogleTranslate(C125, ""en"", ""fi"")"),"Hyvä")</f>
        <v>Hyvä</v>
      </c>
      <c r="X125" s="7" t="str">
        <f>IFERROR(__xludf.DUMMYFUNCTION("GoogleTranslate(C125, ""en"", ""fr"")"),"Bien")</f>
        <v>Bien</v>
      </c>
      <c r="Y125" s="7" t="str">
        <f>IFERROR(__xludf.DUMMYFUNCTION("GoogleTranslate(C125, ""en"", ""de"")"),"Gut")</f>
        <v>Gut</v>
      </c>
      <c r="Z125" s="7" t="str">
        <f>IFERROR(__xludf.DUMMYFUNCTION("GoogleTranslate(C125, ""en"", ""el"")"),"Καλός")</f>
        <v>Καλός</v>
      </c>
      <c r="AA125" s="7" t="str">
        <f>IFERROR(__xludf.DUMMYFUNCTION("GoogleTranslate(C125, ""en"", ""iw"")"),"טוֹב")</f>
        <v>טוֹב</v>
      </c>
      <c r="AB125" s="7" t="str">
        <f>IFERROR(__xludf.DUMMYFUNCTION("GoogleTranslate(C125, ""en"", ""hi"")"),"अच्छा")</f>
        <v>अच्छा</v>
      </c>
      <c r="AC125" s="7" t="str">
        <f>IFERROR(__xludf.DUMMYFUNCTION("GoogleTranslate(C125, ""en"", ""hu"")"),"Jó")</f>
        <v>Jó</v>
      </c>
      <c r="AD125" s="7" t="str">
        <f>IFERROR(__xludf.DUMMYFUNCTION("GoogleTranslate(C125, ""en"", ""is"")"),"Gott")</f>
        <v>Gott</v>
      </c>
      <c r="AE125" s="7" t="str">
        <f>IFERROR(__xludf.DUMMYFUNCTION("GoogleTranslate(C125, ""en"", ""id"")"),"Bagus")</f>
        <v>Bagus</v>
      </c>
      <c r="AF125" s="7" t="str">
        <f>IFERROR(__xludf.DUMMYFUNCTION("GoogleTranslate(C125, ""en"", ""in"")"),"Bagus")</f>
        <v>Bagus</v>
      </c>
      <c r="AG125" s="7" t="str">
        <f>IFERROR(__xludf.DUMMYFUNCTION("GoogleTranslate(C125, ""en"", ""it"")"),"Bene")</f>
        <v>Bene</v>
      </c>
      <c r="AH125" s="7" t="str">
        <f>IFERROR(__xludf.DUMMYFUNCTION("GoogleTranslate(C125, ""en"", ""ja"")"),"良い")</f>
        <v>良い</v>
      </c>
      <c r="AI125" s="7" t="str">
        <f>IFERROR(__xludf.DUMMYFUNCTION("GoogleTranslate(C125, ""en"", ""kn"")"),"ಒಳ್ಳೆಯದು")</f>
        <v>ಒಳ್ಳೆಯದು</v>
      </c>
      <c r="AJ125" s="7" t="str">
        <f>IFERROR(__xludf.DUMMYFUNCTION("GoogleTranslate(C125, ""en"", ""km"")"),"ល្អ")</f>
        <v>ល្អ</v>
      </c>
      <c r="AK125" s="7" t="str">
        <f>IFERROR(__xludf.DUMMYFUNCTION("GoogleTranslate(C125, ""en"", ""ko"")"),"좋은")</f>
        <v>좋은</v>
      </c>
      <c r="AL125" s="7" t="str">
        <f>IFERROR(__xludf.DUMMYFUNCTION("GoogleTranslate(C125, ""en"", ""lo"")"),"ດີ")</f>
        <v>ດີ</v>
      </c>
      <c r="AM125" s="7" t="str">
        <f>IFERROR(__xludf.DUMMYFUNCTION("GoogleTranslate(C125, ""en"", ""lv"")"),"Labi")</f>
        <v>Labi</v>
      </c>
      <c r="AN125" s="7" t="str">
        <f>IFERROR(__xludf.DUMMYFUNCTION("GoogleTranslate(C125, ""en"", ""lt"")"),"Geras")</f>
        <v>Geras</v>
      </c>
      <c r="AO125" s="7" t="str">
        <f>IFERROR(__xludf.DUMMYFUNCTION("GoogleTranslate(C125, ""en"", ""mk"")"),"Добро")</f>
        <v>Добро</v>
      </c>
      <c r="AP125" s="7" t="str">
        <f>IFERROR(__xludf.DUMMYFUNCTION("GoogleTranslate(C125, ""en"", ""ms"")"),"bagus")</f>
        <v>bagus</v>
      </c>
      <c r="AQ125" s="7" t="str">
        <f>IFERROR(__xludf.DUMMYFUNCTION("GoogleTranslate(C125, ""en"", ""ml"")"),"നല്ലത്")</f>
        <v>നല്ലത്</v>
      </c>
      <c r="AR125" s="7" t="str">
        <f>IFERROR(__xludf.DUMMYFUNCTION("GoogleTranslate(C125, ""en"", ""mr"")"),"चांगले")</f>
        <v>चांगले</v>
      </c>
      <c r="AS125" s="7" t="str">
        <f>IFERROR(__xludf.DUMMYFUNCTION("GoogleTranslate(C125, ""en"", ""mn"")"),"Сайн байна")</f>
        <v>Сайн байна</v>
      </c>
      <c r="AT125" s="7" t="str">
        <f>IFERROR(__xludf.DUMMYFUNCTION("GoogleTranslate(C125, ""en"", ""ne"")"),"राम्रो")</f>
        <v>राम्रो</v>
      </c>
      <c r="AU125" s="7" t="str">
        <f>IFERROR(__xludf.DUMMYFUNCTION("GoogleTranslate(C125, ""en"", ""nb"")"),"God")</f>
        <v>God</v>
      </c>
      <c r="AV125" s="7" t="str">
        <f>IFERROR(__xludf.DUMMYFUNCTION("GoogleTranslate(C125, ""en"", ""fa"")"),"خوب")</f>
        <v>خوب</v>
      </c>
      <c r="AW125" s="7" t="str">
        <f>IFERROR(__xludf.DUMMYFUNCTION("GoogleTranslate(C125, ""en"", ""pl"")"),"Dobry")</f>
        <v>Dobry</v>
      </c>
      <c r="AX125" s="7" t="str">
        <f>IFERROR(__xludf.DUMMYFUNCTION("GoogleTranslate(C125, ""en"", ""pt"")"),"Bom")</f>
        <v>Bom</v>
      </c>
      <c r="AY125" s="7" t="str">
        <f>IFERROR(__xludf.DUMMYFUNCTION("GoogleTranslate(C125, ""en"", ""ro"")"),"Bun")</f>
        <v>Bun</v>
      </c>
      <c r="AZ125" s="7" t="str">
        <f>IFERROR(__xludf.DUMMYFUNCTION("GoogleTranslate(C125, ""en"", ""ru"")"),"Хороший")</f>
        <v>Хороший</v>
      </c>
      <c r="BA125" s="7" t="str">
        <f>IFERROR(__xludf.DUMMYFUNCTION("GoogleTranslate(C125, ""en"", ""sr"")"),"Добро")</f>
        <v>Добро</v>
      </c>
      <c r="BB125" s="7" t="str">
        <f>IFERROR(__xludf.DUMMYFUNCTION("GoogleTranslate(C125, ""en"", ""si"")"),"හොඳයි")</f>
        <v>හොඳයි</v>
      </c>
      <c r="BC125" s="7" t="str">
        <f>IFERROR(__xludf.DUMMYFUNCTION("GoogleTranslate(C125, ""en"", ""sk"")"),"Dobre")</f>
        <v>Dobre</v>
      </c>
      <c r="BD125" s="7" t="str">
        <f>IFERROR(__xludf.DUMMYFUNCTION("GoogleTranslate(C125, ""en"", ""sl"")"),"Dobro")</f>
        <v>Dobro</v>
      </c>
      <c r="BE125" s="7" t="str">
        <f>IFERROR(__xludf.DUMMYFUNCTION("GoogleTranslate(C125, ""en"", ""es"")"),"Bien")</f>
        <v>Bien</v>
      </c>
      <c r="BF125" s="7" t="str">
        <f>IFERROR(__xludf.DUMMYFUNCTION("GoogleTranslate(C125, ""en"", ""sw"")"),"Nzuri")</f>
        <v>Nzuri</v>
      </c>
      <c r="BG125" s="7" t="str">
        <f>IFERROR(__xludf.DUMMYFUNCTION("GoogleTranslate(C125, ""en"", ""sv"")"),"Bra")</f>
        <v>Bra</v>
      </c>
      <c r="BH125" s="7" t="str">
        <f>IFERROR(__xludf.DUMMYFUNCTION("GoogleTranslate(C125, ""en"", ""te"")"),"బాగుంది")</f>
        <v>బాగుంది</v>
      </c>
      <c r="BI125" s="7" t="str">
        <f>IFERROR(__xludf.DUMMYFUNCTION("GoogleTranslate(C125, ""en"", ""th"")"),"ดี")</f>
        <v>ดี</v>
      </c>
      <c r="BJ125" s="7" t="str">
        <f>IFERROR(__xludf.DUMMYFUNCTION("GoogleTranslate(C125, ""en"", ""tr"")"),"İyi")</f>
        <v>İyi</v>
      </c>
      <c r="BK125" s="7" t="str">
        <f>IFERROR(__xludf.DUMMYFUNCTION("GoogleTranslate(C125, ""en"", ""uk"")"),"добре")</f>
        <v>добре</v>
      </c>
      <c r="BL125" s="7" t="str">
        <f>IFERROR(__xludf.DUMMYFUNCTION("GoogleTranslate(C125, ""en"", ""zu"")"),"Kuhle")</f>
        <v>Kuhle</v>
      </c>
    </row>
    <row r="126">
      <c r="A126" s="5" t="str">
        <f t="shared" si="1"/>
        <v>Moderate</v>
      </c>
      <c r="B126" s="6" t="s">
        <v>182</v>
      </c>
      <c r="C126" s="5" t="str">
        <f t="shared" si="2"/>
        <v>Moderate</v>
      </c>
      <c r="D126" s="7" t="str">
        <f>IFERROR(__xludf.DUMMYFUNCTION("GoogleTranslate(C126, ""en"", ""es"")"),"Moderado")</f>
        <v>Moderado</v>
      </c>
      <c r="E126" s="7" t="str">
        <f>IFERROR(__xludf.DUMMYFUNCTION("GoogleTranslate(C126, ""en"", ""ar"")"),"معتدل")</f>
        <v>معتدل</v>
      </c>
      <c r="F126" s="7" t="str">
        <f>IFERROR(__xludf.DUMMYFUNCTION("GoogleTranslate(C126, ""en"", ""hy"")"),"Չափավոր")</f>
        <v>Չափավոր</v>
      </c>
      <c r="G126" s="7" t="str">
        <f>IFERROR(__xludf.DUMMYFUNCTION("GoogleTranslate(C126, ""en"", ""vi"")"),"Vừa phải")</f>
        <v>Vừa phải</v>
      </c>
      <c r="H126" s="7" t="str">
        <f>IFERROR(__xludf.DUMMYFUNCTION("GoogleTranslate(C126, ""en"", ""az"")"),"Orta")</f>
        <v>Orta</v>
      </c>
      <c r="I126" s="7" t="str">
        <f>IFERROR(__xludf.DUMMYFUNCTION("GoogleTranslate(C126, ""en"", ""eu"")"),"Moderatua")</f>
        <v>Moderatua</v>
      </c>
      <c r="J126" s="7" t="str">
        <f>IFERROR(__xludf.DUMMYFUNCTION("GoogleTranslate(C126, ""en"", ""be"")"),"Умераны")</f>
        <v>Умераны</v>
      </c>
      <c r="K126" s="7" t="str">
        <f>IFERROR(__xludf.DUMMYFUNCTION("GoogleTranslate(C126, ""en"", ""bn"")"),"পরিমিত")</f>
        <v>পরিমিত</v>
      </c>
      <c r="L126" s="7" t="str">
        <f>IFERROR(__xludf.DUMMYFUNCTION("GoogleTranslate(C126, ""en"", ""bg"")"),"Умерен")</f>
        <v>Умерен</v>
      </c>
      <c r="M126" s="7" t="str">
        <f>IFERROR(__xludf.DUMMYFUNCTION("GoogleTranslate(C126, ""en"", ""my"")"),"တော်ရုံတန်ရုံ")</f>
        <v>တော်ရုံတန်ရုံ</v>
      </c>
      <c r="N126" s="7" t="str">
        <f>IFERROR(__xludf.DUMMYFUNCTION("GoogleTranslate(C126, ""en"", ""ca"")"),"Moderat")</f>
        <v>Moderat</v>
      </c>
      <c r="O126" s="7" t="str">
        <f>IFERROR(__xludf.DUMMYFUNCTION("GoogleTranslate(C126, ""en"", ""zh-cn"")"),"缓和")</f>
        <v>缓和</v>
      </c>
      <c r="P126" s="7" t="str">
        <f>IFERROR(__xludf.DUMMYFUNCTION("GoogleTranslate(C126, ""en"", ""zh-TW"")"),"緩和")</f>
        <v>緩和</v>
      </c>
      <c r="Q126" s="7" t="str">
        <f>IFERROR(__xludf.DUMMYFUNCTION("GoogleTranslate(C126, ""en"", ""hr"")"),"Umjereno")</f>
        <v>Umjereno</v>
      </c>
      <c r="R126" s="7" t="str">
        <f>IFERROR(__xludf.DUMMYFUNCTION("GoogleTranslate(C126, ""en"", ""cs"")"),"Mírný")</f>
        <v>Mírný</v>
      </c>
      <c r="S126" s="7" t="str">
        <f>IFERROR(__xludf.DUMMYFUNCTION("GoogleTranslate(C126, ""en"", ""da"")"),"Moderat")</f>
        <v>Moderat</v>
      </c>
      <c r="T126" s="7" t="str">
        <f>IFERROR(__xludf.DUMMYFUNCTION("GoogleTranslate(C126, ""en"", ""nl"")"),"Gematigd")</f>
        <v>Gematigd</v>
      </c>
      <c r="U126" s="7" t="str">
        <f>IFERROR(__xludf.DUMMYFUNCTION("GoogleTranslate(C126, ""en"", ""et"")"),"Mõõdukas")</f>
        <v>Mõõdukas</v>
      </c>
      <c r="V126" s="5" t="str">
        <f t="shared" si="3"/>
        <v>Moderate</v>
      </c>
      <c r="W126" s="7" t="str">
        <f>IFERROR(__xludf.DUMMYFUNCTION("GoogleTranslate(C126, ""en"", ""fi"")"),"Kohtalainen")</f>
        <v>Kohtalainen</v>
      </c>
      <c r="X126" s="7" t="str">
        <f>IFERROR(__xludf.DUMMYFUNCTION("GoogleTranslate(C126, ""en"", ""fr"")"),"Modéré")</f>
        <v>Modéré</v>
      </c>
      <c r="Y126" s="7" t="str">
        <f>IFERROR(__xludf.DUMMYFUNCTION("GoogleTranslate(C126, ""en"", ""de"")"),"Mäßig")</f>
        <v>Mäßig</v>
      </c>
      <c r="Z126" s="7" t="str">
        <f>IFERROR(__xludf.DUMMYFUNCTION("GoogleTranslate(C126, ""en"", ""el"")"),"Μέτριος")</f>
        <v>Μέτριος</v>
      </c>
      <c r="AA126" s="7" t="str">
        <f>IFERROR(__xludf.DUMMYFUNCTION("GoogleTranslate(C126, ""en"", ""iw"")"),"לְמַתֵן")</f>
        <v>לְמַתֵן</v>
      </c>
      <c r="AB126" s="7" t="str">
        <f>IFERROR(__xludf.DUMMYFUNCTION("GoogleTranslate(C126, ""en"", ""hi"")"),"मध्यम")</f>
        <v>मध्यम</v>
      </c>
      <c r="AC126" s="7" t="str">
        <f>IFERROR(__xludf.DUMMYFUNCTION("GoogleTranslate(C126, ""en"", ""hu"")"),"Mérsékelt")</f>
        <v>Mérsékelt</v>
      </c>
      <c r="AD126" s="7" t="str">
        <f>IFERROR(__xludf.DUMMYFUNCTION("GoogleTranslate(C126, ""en"", ""is"")"),"Í meðallagi")</f>
        <v>Í meðallagi</v>
      </c>
      <c r="AE126" s="7" t="str">
        <f>IFERROR(__xludf.DUMMYFUNCTION("GoogleTranslate(C126, ""en"", ""id"")"),"Sedang")</f>
        <v>Sedang</v>
      </c>
      <c r="AF126" s="7" t="str">
        <f>IFERROR(__xludf.DUMMYFUNCTION("GoogleTranslate(C126, ""en"", ""in"")"),"Sedang")</f>
        <v>Sedang</v>
      </c>
      <c r="AG126" s="7" t="str">
        <f>IFERROR(__xludf.DUMMYFUNCTION("GoogleTranslate(C126, ""en"", ""it"")"),"Moderare")</f>
        <v>Moderare</v>
      </c>
      <c r="AH126" s="7" t="str">
        <f>IFERROR(__xludf.DUMMYFUNCTION("GoogleTranslate(C126, ""en"", ""ja"")"),"適度")</f>
        <v>適度</v>
      </c>
      <c r="AI126" s="7" t="str">
        <f>IFERROR(__xludf.DUMMYFUNCTION("GoogleTranslate(C126, ""en"", ""kn"")"),"ಮಧ್ಯಮ")</f>
        <v>ಮಧ್ಯಮ</v>
      </c>
      <c r="AJ126" s="7" t="str">
        <f>IFERROR(__xludf.DUMMYFUNCTION("GoogleTranslate(C126, ""en"", ""km"")"),"មធ្យម")</f>
        <v>មធ្យម</v>
      </c>
      <c r="AK126" s="7" t="str">
        <f>IFERROR(__xludf.DUMMYFUNCTION("GoogleTranslate(C126, ""en"", ""ko"")"),"보통의")</f>
        <v>보통의</v>
      </c>
      <c r="AL126" s="7" t="str">
        <f>IFERROR(__xludf.DUMMYFUNCTION("GoogleTranslate(C126, ""en"", ""lo"")"),"ປານກາງ")</f>
        <v>ປານກາງ</v>
      </c>
      <c r="AM126" s="7" t="str">
        <f>IFERROR(__xludf.DUMMYFUNCTION("GoogleTranslate(C126, ""en"", ""lv"")"),"Mērens")</f>
        <v>Mērens</v>
      </c>
      <c r="AN126" s="7" t="str">
        <f>IFERROR(__xludf.DUMMYFUNCTION("GoogleTranslate(C126, ""en"", ""lt"")"),"Vidutinis")</f>
        <v>Vidutinis</v>
      </c>
      <c r="AO126" s="7" t="str">
        <f>IFERROR(__xludf.DUMMYFUNCTION("GoogleTranslate(C126, ""en"", ""mk"")"),"Умерено")</f>
        <v>Умерено</v>
      </c>
      <c r="AP126" s="7" t="str">
        <f>IFERROR(__xludf.DUMMYFUNCTION("GoogleTranslate(C126, ""en"", ""ms"")"),"Sederhana")</f>
        <v>Sederhana</v>
      </c>
      <c r="AQ126" s="7" t="str">
        <f>IFERROR(__xludf.DUMMYFUNCTION("GoogleTranslate(C126, ""en"", ""ml"")"),"മിതത്വം")</f>
        <v>മിതത്വം</v>
      </c>
      <c r="AR126" s="7" t="str">
        <f>IFERROR(__xludf.DUMMYFUNCTION("GoogleTranslate(C126, ""en"", ""mr"")"),"मध्यम")</f>
        <v>मध्यम</v>
      </c>
      <c r="AS126" s="7" t="str">
        <f>IFERROR(__xludf.DUMMYFUNCTION("GoogleTranslate(C126, ""en"", ""mn"")"),"Дунд зэрэг")</f>
        <v>Дунд зэрэг</v>
      </c>
      <c r="AT126" s="7" t="str">
        <f>IFERROR(__xludf.DUMMYFUNCTION("GoogleTranslate(C126, ""en"", ""ne"")"),"मध्यम")</f>
        <v>मध्यम</v>
      </c>
      <c r="AU126" s="7" t="str">
        <f>IFERROR(__xludf.DUMMYFUNCTION("GoogleTranslate(C126, ""en"", ""nb"")"),"Moderat")</f>
        <v>Moderat</v>
      </c>
      <c r="AV126" s="7" t="str">
        <f>IFERROR(__xludf.DUMMYFUNCTION("GoogleTranslate(C126, ""en"", ""fa"")"),"متوسط")</f>
        <v>متوسط</v>
      </c>
      <c r="AW126" s="7" t="str">
        <f>IFERROR(__xludf.DUMMYFUNCTION("GoogleTranslate(C126, ""en"", ""pl"")"),"Umiarkowany")</f>
        <v>Umiarkowany</v>
      </c>
      <c r="AX126" s="7" t="str">
        <f>IFERROR(__xludf.DUMMYFUNCTION("GoogleTranslate(C126, ""en"", ""pt"")"),"Moderado")</f>
        <v>Moderado</v>
      </c>
      <c r="AY126" s="7" t="str">
        <f>IFERROR(__xludf.DUMMYFUNCTION("GoogleTranslate(C126, ""en"", ""ro"")"),"Moderat")</f>
        <v>Moderat</v>
      </c>
      <c r="AZ126" s="7" t="str">
        <f>IFERROR(__xludf.DUMMYFUNCTION("GoogleTranslate(C126, ""en"", ""ru"")"),"Умеренный")</f>
        <v>Умеренный</v>
      </c>
      <c r="BA126" s="7" t="str">
        <f>IFERROR(__xludf.DUMMYFUNCTION("GoogleTranslate(C126, ""en"", ""sr"")"),"Умерено")</f>
        <v>Умерено</v>
      </c>
      <c r="BB126" s="7" t="str">
        <f>IFERROR(__xludf.DUMMYFUNCTION("GoogleTranslate(C126, ""en"", ""si"")"),"මධ්යස්ථ")</f>
        <v>මධ්යස්ථ</v>
      </c>
      <c r="BC126" s="7" t="str">
        <f>IFERROR(__xludf.DUMMYFUNCTION("GoogleTranslate(C126, ""en"", ""sk"")"),"Mierne")</f>
        <v>Mierne</v>
      </c>
      <c r="BD126" s="7" t="str">
        <f>IFERROR(__xludf.DUMMYFUNCTION("GoogleTranslate(C126, ""en"", ""sl"")"),"Zmerno")</f>
        <v>Zmerno</v>
      </c>
      <c r="BE126" s="7" t="str">
        <f>IFERROR(__xludf.DUMMYFUNCTION("GoogleTranslate(C126, ""en"", ""es"")"),"Moderado")</f>
        <v>Moderado</v>
      </c>
      <c r="BF126" s="7" t="str">
        <f>IFERROR(__xludf.DUMMYFUNCTION("GoogleTranslate(C126, ""en"", ""sw"")"),"Wastani")</f>
        <v>Wastani</v>
      </c>
      <c r="BG126" s="7" t="str">
        <f>IFERROR(__xludf.DUMMYFUNCTION("GoogleTranslate(C126, ""en"", ""sv"")"),"Måttlig")</f>
        <v>Måttlig</v>
      </c>
      <c r="BH126" s="7" t="str">
        <f>IFERROR(__xludf.DUMMYFUNCTION("GoogleTranslate(C126, ""en"", ""te"")"),"మితమైన")</f>
        <v>మితమైన</v>
      </c>
      <c r="BI126" s="7" t="str">
        <f>IFERROR(__xludf.DUMMYFUNCTION("GoogleTranslate(C126, ""en"", ""th"")"),"ปานกลาง")</f>
        <v>ปานกลาง</v>
      </c>
      <c r="BJ126" s="7" t="str">
        <f>IFERROR(__xludf.DUMMYFUNCTION("GoogleTranslate(C126, ""en"", ""tr"")"),"Ilıman")</f>
        <v>Ilıman</v>
      </c>
      <c r="BK126" s="7" t="str">
        <f>IFERROR(__xludf.DUMMYFUNCTION("GoogleTranslate(C126, ""en"", ""uk"")"),"Помірний")</f>
        <v>Помірний</v>
      </c>
      <c r="BL126" s="7" t="str">
        <f>IFERROR(__xludf.DUMMYFUNCTION("GoogleTranslate(C126, ""en"", ""zu"")"),"Kuphakathi")</f>
        <v>Kuphakathi</v>
      </c>
    </row>
    <row r="127">
      <c r="A127" s="5" t="str">
        <f t="shared" si="1"/>
        <v>Unhealthy_for_Sensitive_Groups</v>
      </c>
      <c r="B127" s="6" t="s">
        <v>183</v>
      </c>
      <c r="C127" s="5" t="str">
        <f t="shared" si="2"/>
        <v>Unhealthy for Sensitive Groups</v>
      </c>
      <c r="D127" s="7" t="str">
        <f>IFERROR(__xludf.DUMMYFUNCTION("GoogleTranslate(C127, ""en"", ""es"")"),"No saludable para grupos sensibles")</f>
        <v>No saludable para grupos sensibles</v>
      </c>
      <c r="E127" s="7" t="str">
        <f>IFERROR(__xludf.DUMMYFUNCTION("GoogleTranslate(C127, ""en"", ""ar"")"),"غير صحي للمجموعات الحساسة")</f>
        <v>غير صحي للمجموعات الحساسة</v>
      </c>
      <c r="F127" s="7" t="str">
        <f>IFERROR(__xludf.DUMMYFUNCTION("GoogleTranslate(C127, ""en"", ""hy"")"),"Անառողջ զգայուն խմբերի համար")</f>
        <v>Անառողջ զգայուն խմբերի համար</v>
      </c>
      <c r="G127" s="7" t="str">
        <f>IFERROR(__xludf.DUMMYFUNCTION("GoogleTranslate(C127, ""en"", ""vi"")"),"Không lành mạnh cho các nhóm nhạy cảm")</f>
        <v>Không lành mạnh cho các nhóm nhạy cảm</v>
      </c>
      <c r="H127" s="7" t="str">
        <f>IFERROR(__xludf.DUMMYFUNCTION("GoogleTranslate(C127, ""en"", ""az"")"),"Həssas Qruplar üçün Sağlam deyil")</f>
        <v>Həssas Qruplar üçün Sağlam deyil</v>
      </c>
      <c r="I127" s="7" t="str">
        <f>IFERROR(__xludf.DUMMYFUNCTION("GoogleTranslate(C127, ""en"", ""eu"")"),"Osasungaitza talde sentikorrentzat")</f>
        <v>Osasungaitza talde sentikorrentzat</v>
      </c>
      <c r="J127" s="7" t="str">
        <f>IFERROR(__xludf.DUMMYFUNCTION("GoogleTranslate(C127, ""en"", ""be"")"),"Нездарова для адчувальных груп")</f>
        <v>Нездарова для адчувальных груп</v>
      </c>
      <c r="K127" s="7" t="str">
        <f>IFERROR(__xludf.DUMMYFUNCTION("GoogleTranslate(C127, ""en"", ""bn"")"),"সংবেদনশীল গোষ্ঠীর জন্য অস্বাস্থ্যকর")</f>
        <v>সংবেদনশীল গোষ্ঠীর জন্য অস্বাস্থ্যকর</v>
      </c>
      <c r="L127" s="7" t="str">
        <f>IFERROR(__xludf.DUMMYFUNCTION("GoogleTranslate(C127, ""en"", ""bg"")"),"Нездравословно за чувствителни групи")</f>
        <v>Нездравословно за чувствителни групи</v>
      </c>
      <c r="M127" s="7" t="str">
        <f>IFERROR(__xludf.DUMMYFUNCTION("GoogleTranslate(C127, ""en"", ""my"")"),"Sensitive အဖွဲ့များအတွက် ကျန်းမာရေးနှင့် မညီညွတ်ပါ။")</f>
        <v>Sensitive အဖွဲ့များအတွက် ကျန်းမာရေးနှင့် မညီညွတ်ပါ။</v>
      </c>
      <c r="N127" s="7" t="str">
        <f>IFERROR(__xludf.DUMMYFUNCTION("GoogleTranslate(C127, ""en"", ""ca"")"),"Poc saludable per a grups sensibles")</f>
        <v>Poc saludable per a grups sensibles</v>
      </c>
      <c r="O127" s="7" t="str">
        <f>IFERROR(__xludf.DUMMYFUNCTION("GoogleTranslate(C127, ""en"", ""zh-cn"")"),"对敏感群体不健康")</f>
        <v>对敏感群体不健康</v>
      </c>
      <c r="P127" s="7" t="str">
        <f>IFERROR(__xludf.DUMMYFUNCTION("GoogleTranslate(C127, ""en"", ""zh-TW"")"),"對敏感群體不健康")</f>
        <v>對敏感群體不健康</v>
      </c>
      <c r="Q127" s="7" t="str">
        <f>IFERROR(__xludf.DUMMYFUNCTION("GoogleTranslate(C127, ""en"", ""hr"")"),"Nezdravo za osjetljive skupine")</f>
        <v>Nezdravo za osjetljive skupine</v>
      </c>
      <c r="R127" s="7" t="str">
        <f>IFERROR(__xludf.DUMMYFUNCTION("GoogleTranslate(C127, ""en"", ""cs"")"),"Nezdravé pro citlivé skupiny")</f>
        <v>Nezdravé pro citlivé skupiny</v>
      </c>
      <c r="S127" s="7" t="str">
        <f>IFERROR(__xludf.DUMMYFUNCTION("GoogleTranslate(C127, ""en"", ""da"")"),"Usundt for følsomme grupper")</f>
        <v>Usundt for følsomme grupper</v>
      </c>
      <c r="T127" s="7" t="str">
        <f>IFERROR(__xludf.DUMMYFUNCTION("GoogleTranslate(C127, ""en"", ""nl"")"),"Ongezond voor gevoelige groepen")</f>
        <v>Ongezond voor gevoelige groepen</v>
      </c>
      <c r="U127" s="7" t="str">
        <f>IFERROR(__xludf.DUMMYFUNCTION("GoogleTranslate(C127, ""en"", ""et"")"),"Ebatervislik tundlikele rühmadele")</f>
        <v>Ebatervislik tundlikele rühmadele</v>
      </c>
      <c r="V127" s="5" t="str">
        <f t="shared" si="3"/>
        <v>Unhealthy for Sensitive Groups</v>
      </c>
      <c r="W127" s="7" t="str">
        <f>IFERROR(__xludf.DUMMYFUNCTION("GoogleTranslate(C127, ""en"", ""fi"")"),"Epäterveellistä herkille ryhmille")</f>
        <v>Epäterveellistä herkille ryhmille</v>
      </c>
      <c r="X127" s="7" t="str">
        <f>IFERROR(__xludf.DUMMYFUNCTION("GoogleTranslate(C127, ""en"", ""fr"")"),"Malsain pour les groupes sensibles")</f>
        <v>Malsain pour les groupes sensibles</v>
      </c>
      <c r="Y127" s="7" t="str">
        <f>IFERROR(__xludf.DUMMYFUNCTION("GoogleTranslate(C127, ""en"", ""de"")"),"Ungesund für sensible Gruppen")</f>
        <v>Ungesund für sensible Gruppen</v>
      </c>
      <c r="Z127" s="7" t="str">
        <f>IFERROR(__xludf.DUMMYFUNCTION("GoogleTranslate(C127, ""en"", ""el"")"),"Ανθυγιεινό για ευαίσθητες ομάδες")</f>
        <v>Ανθυγιεινό για ευαίσθητες ομάδες</v>
      </c>
      <c r="AA127" s="7" t="str">
        <f>IFERROR(__xludf.DUMMYFUNCTION("GoogleTranslate(C127, ""en"", ""iw"")"),"לא בריא לקבוצות רגישות")</f>
        <v>לא בריא לקבוצות רגישות</v>
      </c>
      <c r="AB127" s="7" t="str">
        <f>IFERROR(__xludf.DUMMYFUNCTION("GoogleTranslate(C127, ""en"", ""hi"")"),"संवेदनशील समूहों के लिए अस्वास्थ्यकर")</f>
        <v>संवेदनशील समूहों के लिए अस्वास्थ्यकर</v>
      </c>
      <c r="AC127" s="7" t="str">
        <f>IFERROR(__xludf.DUMMYFUNCTION("GoogleTranslate(C127, ""en"", ""hu"")"),"Egészségtelen érzékeny csoportok számára")</f>
        <v>Egészségtelen érzékeny csoportok számára</v>
      </c>
      <c r="AD127" s="7" t="str">
        <f>IFERROR(__xludf.DUMMYFUNCTION("GoogleTranslate(C127, ""en"", ""is"")"),"Óhollt fyrir viðkvæma hópa")</f>
        <v>Óhollt fyrir viðkvæma hópa</v>
      </c>
      <c r="AE127" s="7" t="str">
        <f>IFERROR(__xludf.DUMMYFUNCTION("GoogleTranslate(C127, ""en"", ""id"")"),"Tidak Sehat untuk Kelompok Sensitif")</f>
        <v>Tidak Sehat untuk Kelompok Sensitif</v>
      </c>
      <c r="AF127" s="7" t="str">
        <f>IFERROR(__xludf.DUMMYFUNCTION("GoogleTranslate(C127, ""en"", ""in"")"),"Tidak Sehat untuk Kelompok Sensitif")</f>
        <v>Tidak Sehat untuk Kelompok Sensitif</v>
      </c>
      <c r="AG127" s="7" t="str">
        <f>IFERROR(__xludf.DUMMYFUNCTION("GoogleTranslate(C127, ""en"", ""it"")"),"Malsano per i gruppi sensibili")</f>
        <v>Malsano per i gruppi sensibili</v>
      </c>
      <c r="AH127" s="7" t="str">
        <f>IFERROR(__xludf.DUMMYFUNCTION("GoogleTranslate(C127, ""en"", ""ja"")"),"敏感なグループにとっては不健康")</f>
        <v>敏感なグループにとっては不健康</v>
      </c>
      <c r="AI127" s="7" t="str">
        <f>IFERROR(__xludf.DUMMYFUNCTION("GoogleTranslate(C127, ""en"", ""kn"")"),"ಸೂಕ್ಷ್ಮ ಗುಂಪುಗಳಿಗೆ ಅನಾರೋಗ್ಯಕರ")</f>
        <v>ಸೂಕ್ಷ್ಮ ಗುಂಪುಗಳಿಗೆ ಅನಾರೋಗ್ಯಕರ</v>
      </c>
      <c r="AJ127" s="7" t="str">
        <f>IFERROR(__xludf.DUMMYFUNCTION("GoogleTranslate(C127, ""en"", ""km"")"),"មិនល្អសម្រាប់ក្រុមដែលងាយរងគ្រោះ")</f>
        <v>មិនល្អសម្រាប់ក្រុមដែលងាយរងគ្រោះ</v>
      </c>
      <c r="AK127" s="7" t="str">
        <f>IFERROR(__xludf.DUMMYFUNCTION("GoogleTranslate(C127, ""en"", ""ko"")"),"민감한 그룹에게 건강에 해로움")</f>
        <v>민감한 그룹에게 건강에 해로움</v>
      </c>
      <c r="AL127" s="7" t="str">
        <f>IFERROR(__xludf.DUMMYFUNCTION("GoogleTranslate(C127, ""en"", ""lo"")"),"ບໍ່ດີຕໍ່ກຸ່ມທີ່ລະອຽດອ່ອນ")</f>
        <v>ບໍ່ດີຕໍ່ກຸ່ມທີ່ລະອຽດອ່ອນ</v>
      </c>
      <c r="AM127" s="7" t="str">
        <f>IFERROR(__xludf.DUMMYFUNCTION("GoogleTranslate(C127, ""en"", ""lv"")"),"Neveselīgs jutīgām grupām")</f>
        <v>Neveselīgs jutīgām grupām</v>
      </c>
      <c r="AN127" s="7" t="str">
        <f>IFERROR(__xludf.DUMMYFUNCTION("GoogleTranslate(C127, ""en"", ""lt"")"),"Nesveika jautrioms grupėms")</f>
        <v>Nesveika jautrioms grupėms</v>
      </c>
      <c r="AO127" s="7" t="str">
        <f>IFERROR(__xludf.DUMMYFUNCTION("GoogleTranslate(C127, ""en"", ""mk"")"),"Нездраво за чувствителни групи")</f>
        <v>Нездраво за чувствителни групи</v>
      </c>
      <c r="AP127" s="7" t="str">
        <f>IFERROR(__xludf.DUMMYFUNCTION("GoogleTranslate(C127, ""en"", ""ms"")"),"Tidak sihat untuk Kumpulan Sensitif")</f>
        <v>Tidak sihat untuk Kumpulan Sensitif</v>
      </c>
      <c r="AQ127" s="7" t="str">
        <f>IFERROR(__xludf.DUMMYFUNCTION("GoogleTranslate(C127, ""en"", ""ml"")"),"സെൻസിറ്റീവ് ഗ്രൂപ്പുകൾക്ക് അനാരോഗ്യം")</f>
        <v>സെൻസിറ്റീവ് ഗ്രൂപ്പുകൾക്ക് അനാരോഗ്യം</v>
      </c>
      <c r="AR127" s="7" t="str">
        <f>IFERROR(__xludf.DUMMYFUNCTION("GoogleTranslate(C127, ""en"", ""mr"")"),"संवेदनशील गटांसाठी अस्वास्थ्यकर")</f>
        <v>संवेदनशील गटांसाठी अस्वास्थ्यकर</v>
      </c>
      <c r="AS127" s="7" t="str">
        <f>IFERROR(__xludf.DUMMYFUNCTION("GoogleTranslate(C127, ""en"", ""mn"")"),"Мэдрэмтгий бүлгүүдэд тохиромжгүй")</f>
        <v>Мэдрэмтгий бүлгүүдэд тохиромжгүй</v>
      </c>
      <c r="AT127" s="7" t="str">
        <f>IFERROR(__xludf.DUMMYFUNCTION("GoogleTranslate(C127, ""en"", ""ne"")"),"संवेदनशील समूहहरूको लागि अस्वस्थ")</f>
        <v>संवेदनशील समूहहरूको लागि अस्वस्थ</v>
      </c>
      <c r="AU127" s="7" t="str">
        <f>IFERROR(__xludf.DUMMYFUNCTION("GoogleTranslate(C127, ""en"", ""nb"")"),"Usunt for sensitive grupper")</f>
        <v>Usunt for sensitive grupper</v>
      </c>
      <c r="AV127" s="7" t="str">
        <f>IFERROR(__xludf.DUMMYFUNCTION("GoogleTranslate(C127, ""en"", ""fa"")"),"ناسالم برای گروه های حساس")</f>
        <v>ناسالم برای گروه های حساس</v>
      </c>
      <c r="AW127" s="7" t="str">
        <f>IFERROR(__xludf.DUMMYFUNCTION("GoogleTranslate(C127, ""en"", ""pl"")"),"Niezdrowe dla grup wrażliwych")</f>
        <v>Niezdrowe dla grup wrażliwych</v>
      </c>
      <c r="AX127" s="7" t="str">
        <f>IFERROR(__xludf.DUMMYFUNCTION("GoogleTranslate(C127, ""en"", ""pt"")"),"Não saudável para grupos sensíveis")</f>
        <v>Não saudável para grupos sensíveis</v>
      </c>
      <c r="AY127" s="7" t="str">
        <f>IFERROR(__xludf.DUMMYFUNCTION("GoogleTranslate(C127, ""en"", ""ro"")"),"Nesănătos pentru grupurile sensibile")</f>
        <v>Nesănătos pentru grupurile sensibile</v>
      </c>
      <c r="AZ127" s="7" t="str">
        <f>IFERROR(__xludf.DUMMYFUNCTION("GoogleTranslate(C127, ""en"", ""ru"")"),"Вредно для чувствительных групп")</f>
        <v>Вредно для чувствительных групп</v>
      </c>
      <c r="BA127" s="7" t="str">
        <f>IFERROR(__xludf.DUMMYFUNCTION("GoogleTranslate(C127, ""en"", ""sr"")"),"Нездраво за осетљиве групе")</f>
        <v>Нездраво за осетљиве групе</v>
      </c>
      <c r="BB127" s="7" t="str">
        <f>IFERROR(__xludf.DUMMYFUNCTION("GoogleTranslate(C127, ""en"", ""si"")"),"සංවේදී කණ්ඩායම් සඳහා සෞඛ්‍යයට අහිතකරයි")</f>
        <v>සංවේදී කණ්ඩායම් සඳහා සෞඛ්‍යයට අහිතකරයි</v>
      </c>
      <c r="BC127" s="7" t="str">
        <f>IFERROR(__xludf.DUMMYFUNCTION("GoogleTranslate(C127, ""en"", ""sk"")"),"Nezdravé pre citlivé skupiny")</f>
        <v>Nezdravé pre citlivé skupiny</v>
      </c>
      <c r="BD127" s="7" t="str">
        <f>IFERROR(__xludf.DUMMYFUNCTION("GoogleTranslate(C127, ""en"", ""sl"")"),"Nezdravo za občutljive skupine")</f>
        <v>Nezdravo za občutljive skupine</v>
      </c>
      <c r="BE127" s="7" t="str">
        <f>IFERROR(__xludf.DUMMYFUNCTION("GoogleTranslate(C127, ""en"", ""es"")"),"No saludable para grupos sensibles")</f>
        <v>No saludable para grupos sensibles</v>
      </c>
      <c r="BF127" s="7" t="str">
        <f>IFERROR(__xludf.DUMMYFUNCTION("GoogleTranslate(C127, ""en"", ""sw"")"),"Haifai kwa Vikundi Nyeti")</f>
        <v>Haifai kwa Vikundi Nyeti</v>
      </c>
      <c r="BG127" s="7" t="str">
        <f>IFERROR(__xludf.DUMMYFUNCTION("GoogleTranslate(C127, ""en"", ""sv"")"),"Ohälsosamt för känsliga grupper")</f>
        <v>Ohälsosamt för känsliga grupper</v>
      </c>
      <c r="BH127" s="7" t="str">
        <f>IFERROR(__xludf.DUMMYFUNCTION("GoogleTranslate(C127, ""en"", ""te"")"),"సున్నితమైన సమూహాలకు అనారోగ్యకరం")</f>
        <v>సున్నితమైన సమూహాలకు అనారోగ్యకరం</v>
      </c>
      <c r="BI127" s="7" t="str">
        <f>IFERROR(__xludf.DUMMYFUNCTION("GoogleTranslate(C127, ""en"", ""th"")"),"ไม่ดีต่อสุขภาพสำหรับกลุ่มที่ละเอียดอ่อน")</f>
        <v>ไม่ดีต่อสุขภาพสำหรับกลุ่มที่ละเอียดอ่อน</v>
      </c>
      <c r="BJ127" s="7" t="str">
        <f>IFERROR(__xludf.DUMMYFUNCTION("GoogleTranslate(C127, ""en"", ""tr"")"),"Hassas Gruplar için Sağlıksız")</f>
        <v>Hassas Gruplar için Sağlıksız</v>
      </c>
      <c r="BK127" s="7" t="str">
        <f>IFERROR(__xludf.DUMMYFUNCTION("GoogleTranslate(C127, ""en"", ""uk"")"),"Нездоровий для чутливих груп")</f>
        <v>Нездоровий для чутливих груп</v>
      </c>
      <c r="BL127" s="7" t="str">
        <f>IFERROR(__xludf.DUMMYFUNCTION("GoogleTranslate(C127, ""en"", ""zu"")"),"Akulungile Emaqenjini Azwelayo")</f>
        <v>Akulungile Emaqenjini Azwelayo</v>
      </c>
    </row>
    <row r="128">
      <c r="A128" s="5" t="str">
        <f t="shared" si="1"/>
        <v>Unhealthy</v>
      </c>
      <c r="B128" s="6" t="s">
        <v>184</v>
      </c>
      <c r="C128" s="5" t="str">
        <f t="shared" si="2"/>
        <v>Unhealthy</v>
      </c>
      <c r="D128" s="7" t="str">
        <f>IFERROR(__xludf.DUMMYFUNCTION("GoogleTranslate(C128, ""en"", ""es"")"),"Malsano")</f>
        <v>Malsano</v>
      </c>
      <c r="E128" s="7" t="str">
        <f>IFERROR(__xludf.DUMMYFUNCTION("GoogleTranslate(C128, ""en"", ""ar"")"),"غير صحي")</f>
        <v>غير صحي</v>
      </c>
      <c r="F128" s="7" t="str">
        <f>IFERROR(__xludf.DUMMYFUNCTION("GoogleTranslate(C128, ""en"", ""hy"")"),"Անառողջ")</f>
        <v>Անառողջ</v>
      </c>
      <c r="G128" s="7" t="str">
        <f>IFERROR(__xludf.DUMMYFUNCTION("GoogleTranslate(C128, ""en"", ""vi"")"),"Không tốt cho sức khỏe")</f>
        <v>Không tốt cho sức khỏe</v>
      </c>
      <c r="H128" s="7" t="str">
        <f>IFERROR(__xludf.DUMMYFUNCTION("GoogleTranslate(C128, ""en"", ""az"")"),"Sağlam olmayan")</f>
        <v>Sağlam olmayan</v>
      </c>
      <c r="I128" s="7" t="str">
        <f>IFERROR(__xludf.DUMMYFUNCTION("GoogleTranslate(C128, ""en"", ""eu"")"),"Osasungaitza")</f>
        <v>Osasungaitza</v>
      </c>
      <c r="J128" s="7" t="str">
        <f>IFERROR(__xludf.DUMMYFUNCTION("GoogleTranslate(C128, ""en"", ""be"")"),"Нездаровае")</f>
        <v>Нездаровае</v>
      </c>
      <c r="K128" s="7" t="str">
        <f>IFERROR(__xludf.DUMMYFUNCTION("GoogleTranslate(C128, ""en"", ""bn"")"),"অস্বাস্থ্যকর")</f>
        <v>অস্বাস্থ্যকর</v>
      </c>
      <c r="L128" s="7" t="str">
        <f>IFERROR(__xludf.DUMMYFUNCTION("GoogleTranslate(C128, ""en"", ""bg"")"),"Нездравословно")</f>
        <v>Нездравословно</v>
      </c>
      <c r="M128" s="7" t="str">
        <f>IFERROR(__xludf.DUMMYFUNCTION("GoogleTranslate(C128, ""en"", ""my"")"),"ကျန်းမာရေးနဲ့ မညီညွတ်ဘူး။")</f>
        <v>ကျန်းမာရေးနဲ့ မညီညွတ်ဘူး။</v>
      </c>
      <c r="N128" s="7" t="str">
        <f>IFERROR(__xludf.DUMMYFUNCTION("GoogleTranslate(C128, ""en"", ""ca"")"),"Poc saludable")</f>
        <v>Poc saludable</v>
      </c>
      <c r="O128" s="7" t="str">
        <f>IFERROR(__xludf.DUMMYFUNCTION("GoogleTranslate(C128, ""en"", ""zh-cn"")"),"不良")</f>
        <v>不良</v>
      </c>
      <c r="P128" s="7" t="str">
        <f>IFERROR(__xludf.DUMMYFUNCTION("GoogleTranslate(C128, ""en"", ""zh-TW"")"),"不良")</f>
        <v>不良</v>
      </c>
      <c r="Q128" s="7" t="str">
        <f>IFERROR(__xludf.DUMMYFUNCTION("GoogleTranslate(C128, ""en"", ""hr"")"),"Nezdravo")</f>
        <v>Nezdravo</v>
      </c>
      <c r="R128" s="7" t="str">
        <f>IFERROR(__xludf.DUMMYFUNCTION("GoogleTranslate(C128, ""en"", ""cs"")"),"Nezdravý")</f>
        <v>Nezdravý</v>
      </c>
      <c r="S128" s="7" t="str">
        <f>IFERROR(__xludf.DUMMYFUNCTION("GoogleTranslate(C128, ""en"", ""da"")"),"Usund")</f>
        <v>Usund</v>
      </c>
      <c r="T128" s="7" t="str">
        <f>IFERROR(__xludf.DUMMYFUNCTION("GoogleTranslate(C128, ""en"", ""nl"")"),"Ongezond")</f>
        <v>Ongezond</v>
      </c>
      <c r="U128" s="7" t="str">
        <f>IFERROR(__xludf.DUMMYFUNCTION("GoogleTranslate(C128, ""en"", ""et"")"),"Ebatervislik")</f>
        <v>Ebatervislik</v>
      </c>
      <c r="V128" s="5" t="str">
        <f t="shared" si="3"/>
        <v>Unhealthy</v>
      </c>
      <c r="W128" s="7" t="str">
        <f>IFERROR(__xludf.DUMMYFUNCTION("GoogleTranslate(C128, ""en"", ""fi"")"),"Epäterveellistä")</f>
        <v>Epäterveellistä</v>
      </c>
      <c r="X128" s="7" t="str">
        <f>IFERROR(__xludf.DUMMYFUNCTION("GoogleTranslate(C128, ""en"", ""fr"")"),"Malsain")</f>
        <v>Malsain</v>
      </c>
      <c r="Y128" s="7" t="str">
        <f>IFERROR(__xludf.DUMMYFUNCTION("GoogleTranslate(C128, ""en"", ""de"")"),"Ungesund")</f>
        <v>Ungesund</v>
      </c>
      <c r="Z128" s="7" t="str">
        <f>IFERROR(__xludf.DUMMYFUNCTION("GoogleTranslate(C128, ""en"", ""el"")"),"Ανθυγιεινός")</f>
        <v>Ανθυγιεινός</v>
      </c>
      <c r="AA128" s="7" t="str">
        <f>IFERROR(__xludf.DUMMYFUNCTION("GoogleTranslate(C128, ""en"", ""iw"")"),"חוֹלָנִי")</f>
        <v>חוֹלָנִי</v>
      </c>
      <c r="AB128" s="7" t="str">
        <f>IFERROR(__xludf.DUMMYFUNCTION("GoogleTranslate(C128, ""en"", ""hi"")"),"बीमार")</f>
        <v>बीमार</v>
      </c>
      <c r="AC128" s="7" t="str">
        <f>IFERROR(__xludf.DUMMYFUNCTION("GoogleTranslate(C128, ""en"", ""hu"")"),"Egészségtelen")</f>
        <v>Egészségtelen</v>
      </c>
      <c r="AD128" s="7" t="str">
        <f>IFERROR(__xludf.DUMMYFUNCTION("GoogleTranslate(C128, ""en"", ""is"")"),"Óhollt")</f>
        <v>Óhollt</v>
      </c>
      <c r="AE128" s="7" t="str">
        <f>IFERROR(__xludf.DUMMYFUNCTION("GoogleTranslate(C128, ""en"", ""id"")"),"Tidak sehat")</f>
        <v>Tidak sehat</v>
      </c>
      <c r="AF128" s="7" t="str">
        <f>IFERROR(__xludf.DUMMYFUNCTION("GoogleTranslate(C128, ""en"", ""in"")"),"Tidak sehat")</f>
        <v>Tidak sehat</v>
      </c>
      <c r="AG128" s="7" t="str">
        <f>IFERROR(__xludf.DUMMYFUNCTION("GoogleTranslate(C128, ""en"", ""it"")"),"Malsano")</f>
        <v>Malsano</v>
      </c>
      <c r="AH128" s="7" t="str">
        <f>IFERROR(__xludf.DUMMYFUNCTION("GoogleTranslate(C128, ""en"", ""ja"")"),"不健康")</f>
        <v>不健康</v>
      </c>
      <c r="AI128" s="7" t="str">
        <f>IFERROR(__xludf.DUMMYFUNCTION("GoogleTranslate(C128, ""en"", ""kn"")"),"ಅನಾರೋಗ್ಯಕರ")</f>
        <v>ಅನಾರೋಗ್ಯಕರ</v>
      </c>
      <c r="AJ128" s="7" t="str">
        <f>IFERROR(__xludf.DUMMYFUNCTION("GoogleTranslate(C128, ""en"", ""km"")"),"មិនមានសុខភាពល្អ")</f>
        <v>មិនមានសុខភាពល្អ</v>
      </c>
      <c r="AK128" s="7" t="str">
        <f>IFERROR(__xludf.DUMMYFUNCTION("GoogleTranslate(C128, ""en"", ""ko"")"),"위험한")</f>
        <v>위험한</v>
      </c>
      <c r="AL128" s="7" t="str">
        <f>IFERROR(__xludf.DUMMYFUNCTION("GoogleTranslate(C128, ""en"", ""lo"")"),"ບໍ່ມີສຸຂະພາບດີ")</f>
        <v>ບໍ່ມີສຸຂະພາບດີ</v>
      </c>
      <c r="AM128" s="7" t="str">
        <f>IFERROR(__xludf.DUMMYFUNCTION("GoogleTranslate(C128, ""en"", ""lv"")"),"Neveselīgs")</f>
        <v>Neveselīgs</v>
      </c>
      <c r="AN128" s="7" t="str">
        <f>IFERROR(__xludf.DUMMYFUNCTION("GoogleTranslate(C128, ""en"", ""lt"")"),"Nesveika")</f>
        <v>Nesveika</v>
      </c>
      <c r="AO128" s="7" t="str">
        <f>IFERROR(__xludf.DUMMYFUNCTION("GoogleTranslate(C128, ""en"", ""mk"")"),"Нездраво")</f>
        <v>Нездраво</v>
      </c>
      <c r="AP128" s="7" t="str">
        <f>IFERROR(__xludf.DUMMYFUNCTION("GoogleTranslate(C128, ""en"", ""ms"")"),"tak sihat")</f>
        <v>tak sihat</v>
      </c>
      <c r="AQ128" s="7" t="str">
        <f>IFERROR(__xludf.DUMMYFUNCTION("GoogleTranslate(C128, ""en"", ""ml"")"),"അനാരോഗ്യം")</f>
        <v>അനാരോഗ്യം</v>
      </c>
      <c r="AR128" s="7" t="str">
        <f>IFERROR(__xludf.DUMMYFUNCTION("GoogleTranslate(C128, ""en"", ""mr"")"),"अस्वस्थ")</f>
        <v>अस्वस्थ</v>
      </c>
      <c r="AS128" s="7" t="str">
        <f>IFERROR(__xludf.DUMMYFUNCTION("GoogleTranslate(C128, ""en"", ""mn"")"),"Эрүүл бус")</f>
        <v>Эрүүл бус</v>
      </c>
      <c r="AT128" s="7" t="str">
        <f>IFERROR(__xludf.DUMMYFUNCTION("GoogleTranslate(C128, ""en"", ""ne"")"),"अस्वस्थ")</f>
        <v>अस्वस्थ</v>
      </c>
      <c r="AU128" s="7" t="str">
        <f>IFERROR(__xludf.DUMMYFUNCTION("GoogleTranslate(C128, ""en"", ""nb"")"),"Usunn")</f>
        <v>Usunn</v>
      </c>
      <c r="AV128" s="7" t="str">
        <f>IFERROR(__xludf.DUMMYFUNCTION("GoogleTranslate(C128, ""en"", ""fa"")"),"ناسالم")</f>
        <v>ناسالم</v>
      </c>
      <c r="AW128" s="7" t="str">
        <f>IFERROR(__xludf.DUMMYFUNCTION("GoogleTranslate(C128, ""en"", ""pl"")"),"Niezdrowy")</f>
        <v>Niezdrowy</v>
      </c>
      <c r="AX128" s="7" t="str">
        <f>IFERROR(__xludf.DUMMYFUNCTION("GoogleTranslate(C128, ""en"", ""pt"")"),"Insalubre")</f>
        <v>Insalubre</v>
      </c>
      <c r="AY128" s="7" t="str">
        <f>IFERROR(__xludf.DUMMYFUNCTION("GoogleTranslate(C128, ""en"", ""ro"")"),"Nesănătos")</f>
        <v>Nesănătos</v>
      </c>
      <c r="AZ128" s="7" t="str">
        <f>IFERROR(__xludf.DUMMYFUNCTION("GoogleTranslate(C128, ""en"", ""ru"")"),"Нездоровый")</f>
        <v>Нездоровый</v>
      </c>
      <c r="BA128" s="7" t="str">
        <f>IFERROR(__xludf.DUMMYFUNCTION("GoogleTranslate(C128, ""en"", ""sr"")"),"Нездраво")</f>
        <v>Нездраво</v>
      </c>
      <c r="BB128" s="7" t="str">
        <f>IFERROR(__xludf.DUMMYFUNCTION("GoogleTranslate(C128, ""en"", ""si"")"),"සෞඛ්යයට අහිතකරයි")</f>
        <v>සෞඛ්යයට අහිතකරයි</v>
      </c>
      <c r="BC128" s="7" t="str">
        <f>IFERROR(__xludf.DUMMYFUNCTION("GoogleTranslate(C128, ""en"", ""sk"")"),"Nezdravé")</f>
        <v>Nezdravé</v>
      </c>
      <c r="BD128" s="7" t="str">
        <f>IFERROR(__xludf.DUMMYFUNCTION("GoogleTranslate(C128, ""en"", ""sl"")"),"Nezdravo")</f>
        <v>Nezdravo</v>
      </c>
      <c r="BE128" s="7" t="str">
        <f>IFERROR(__xludf.DUMMYFUNCTION("GoogleTranslate(C128, ""en"", ""es"")"),"Malsano")</f>
        <v>Malsano</v>
      </c>
      <c r="BF128" s="7" t="str">
        <f>IFERROR(__xludf.DUMMYFUNCTION("GoogleTranslate(C128, ""en"", ""sw"")"),"Asiye na afya")</f>
        <v>Asiye na afya</v>
      </c>
      <c r="BG128" s="7" t="str">
        <f>IFERROR(__xludf.DUMMYFUNCTION("GoogleTranslate(C128, ""en"", ""sv"")"),"Ohälsosam")</f>
        <v>Ohälsosam</v>
      </c>
      <c r="BH128" s="7" t="str">
        <f>IFERROR(__xludf.DUMMYFUNCTION("GoogleTranslate(C128, ""en"", ""te"")"),"అనారోగ్యకరమైనది")</f>
        <v>అనారోగ్యకరమైనది</v>
      </c>
      <c r="BI128" s="7" t="str">
        <f>IFERROR(__xludf.DUMMYFUNCTION("GoogleTranslate(C128, ""en"", ""th"")"),"ไม่ดีต่อสุขภาพ")</f>
        <v>ไม่ดีต่อสุขภาพ</v>
      </c>
      <c r="BJ128" s="7" t="str">
        <f>IFERROR(__xludf.DUMMYFUNCTION("GoogleTranslate(C128, ""en"", ""tr"")"),"Sağlıksız")</f>
        <v>Sağlıksız</v>
      </c>
      <c r="BK128" s="7" t="str">
        <f>IFERROR(__xludf.DUMMYFUNCTION("GoogleTranslate(C128, ""en"", ""uk"")"),"Нездоровий")</f>
        <v>Нездоровий</v>
      </c>
      <c r="BL128" s="7" t="str">
        <f>IFERROR(__xludf.DUMMYFUNCTION("GoogleTranslate(C128, ""en"", ""zu"")"),"Okungenampilo")</f>
        <v>Okungenampilo</v>
      </c>
    </row>
    <row r="129">
      <c r="A129" s="5" t="str">
        <f t="shared" si="1"/>
        <v>Very_Unhealthy</v>
      </c>
      <c r="B129" s="6" t="s">
        <v>185</v>
      </c>
      <c r="C129" s="5" t="str">
        <f t="shared" si="2"/>
        <v>Very Unhealthy</v>
      </c>
      <c r="D129" s="7" t="str">
        <f>IFERROR(__xludf.DUMMYFUNCTION("GoogleTranslate(C129, ""en"", ""es"")"),"muy poco saludable")</f>
        <v>muy poco saludable</v>
      </c>
      <c r="E129" s="7" t="str">
        <f>IFERROR(__xludf.DUMMYFUNCTION("GoogleTranslate(C129, ""en"", ""ar"")"),"غير صحي للغاية")</f>
        <v>غير صحي للغاية</v>
      </c>
      <c r="F129" s="7" t="str">
        <f>IFERROR(__xludf.DUMMYFUNCTION("GoogleTranslate(C129, ""en"", ""hy"")"),"Շատ անառողջ")</f>
        <v>Շատ անառողջ</v>
      </c>
      <c r="G129" s="7" t="str">
        <f>IFERROR(__xludf.DUMMYFUNCTION("GoogleTranslate(C129, ""en"", ""vi"")"),"Rất không tốt cho sức khỏe")</f>
        <v>Rất không tốt cho sức khỏe</v>
      </c>
      <c r="H129" s="7" t="str">
        <f>IFERROR(__xludf.DUMMYFUNCTION("GoogleTranslate(C129, ""en"", ""az"")"),"Çox Sağlam")</f>
        <v>Çox Sağlam</v>
      </c>
      <c r="I129" s="7" t="str">
        <f>IFERROR(__xludf.DUMMYFUNCTION("GoogleTranslate(C129, ""en"", ""eu"")"),"Oso Osasungaitza")</f>
        <v>Oso Osasungaitza</v>
      </c>
      <c r="J129" s="7" t="str">
        <f>IFERROR(__xludf.DUMMYFUNCTION("GoogleTranslate(C129, ""en"", ""be"")"),"Вельмі нездаровы")</f>
        <v>Вельмі нездаровы</v>
      </c>
      <c r="K129" s="7" t="str">
        <f>IFERROR(__xludf.DUMMYFUNCTION("GoogleTranslate(C129, ""en"", ""bn"")"),"খুবই অস্বাস্থ্যকর")</f>
        <v>খুবই অস্বাস্থ্যকর</v>
      </c>
      <c r="L129" s="7" t="str">
        <f>IFERROR(__xludf.DUMMYFUNCTION("GoogleTranslate(C129, ""en"", ""bg"")"),"Много нездравословно")</f>
        <v>Много нездравословно</v>
      </c>
      <c r="M129" s="7" t="str">
        <f>IFERROR(__xludf.DUMMYFUNCTION("GoogleTranslate(C129, ""en"", ""my"")"),"အလွန် ကျန်းမာရေးနှင့် မညီညွတ်")</f>
        <v>အလွန် ကျန်းမာရေးနှင့် မညီညွတ်</v>
      </c>
      <c r="N129" s="7" t="str">
        <f>IFERROR(__xludf.DUMMYFUNCTION("GoogleTranslate(C129, ""en"", ""ca"")"),"Molt poc saludable")</f>
        <v>Molt poc saludable</v>
      </c>
      <c r="O129" s="7" t="str">
        <f>IFERROR(__xludf.DUMMYFUNCTION("GoogleTranslate(C129, ""en"", ""zh-cn"")"),"非常不健康")</f>
        <v>非常不健康</v>
      </c>
      <c r="P129" s="7" t="str">
        <f>IFERROR(__xludf.DUMMYFUNCTION("GoogleTranslate(C129, ""en"", ""zh-TW"")"),"非常不健康")</f>
        <v>非常不健康</v>
      </c>
      <c r="Q129" s="7" t="str">
        <f>IFERROR(__xludf.DUMMYFUNCTION("GoogleTranslate(C129, ""en"", ""hr"")"),"Vrlo nezdravo")</f>
        <v>Vrlo nezdravo</v>
      </c>
      <c r="R129" s="7" t="str">
        <f>IFERROR(__xludf.DUMMYFUNCTION("GoogleTranslate(C129, ""en"", ""cs"")"),"Velmi nezdravé")</f>
        <v>Velmi nezdravé</v>
      </c>
      <c r="S129" s="7" t="str">
        <f>IFERROR(__xludf.DUMMYFUNCTION("GoogleTranslate(C129, ""en"", ""da"")"),"Meget usundt")</f>
        <v>Meget usundt</v>
      </c>
      <c r="T129" s="7" t="str">
        <f>IFERROR(__xludf.DUMMYFUNCTION("GoogleTranslate(C129, ""en"", ""nl"")"),"Zeer ongezond")</f>
        <v>Zeer ongezond</v>
      </c>
      <c r="U129" s="7" t="str">
        <f>IFERROR(__xludf.DUMMYFUNCTION("GoogleTranslate(C129, ""en"", ""et"")"),"Väga ebatervislik")</f>
        <v>Väga ebatervislik</v>
      </c>
      <c r="V129" s="5" t="str">
        <f t="shared" si="3"/>
        <v>Very Unhealthy</v>
      </c>
      <c r="W129" s="7" t="str">
        <f>IFERROR(__xludf.DUMMYFUNCTION("GoogleTranslate(C129, ""en"", ""fi"")"),"Erittäin epäterveellistä")</f>
        <v>Erittäin epäterveellistä</v>
      </c>
      <c r="X129" s="7" t="str">
        <f>IFERROR(__xludf.DUMMYFUNCTION("GoogleTranslate(C129, ""en"", ""fr"")"),"Très malsain")</f>
        <v>Très malsain</v>
      </c>
      <c r="Y129" s="7" t="str">
        <f>IFERROR(__xludf.DUMMYFUNCTION("GoogleTranslate(C129, ""en"", ""de"")"),"Sehr ungesund")</f>
        <v>Sehr ungesund</v>
      </c>
      <c r="Z129" s="7" t="str">
        <f>IFERROR(__xludf.DUMMYFUNCTION("GoogleTranslate(C129, ""en"", ""el"")"),"Πολύ Ανθυγιεινό")</f>
        <v>Πολύ Ανθυγιεινό</v>
      </c>
      <c r="AA129" s="7" t="str">
        <f>IFERROR(__xludf.DUMMYFUNCTION("GoogleTranslate(C129, ""en"", ""iw"")"),"מאוד לא בריא")</f>
        <v>מאוד לא בריא</v>
      </c>
      <c r="AB129" s="7" t="str">
        <f>IFERROR(__xludf.DUMMYFUNCTION("GoogleTranslate(C129, ""en"", ""hi"")"),"बहुत ही अस्वास्थ्यकर")</f>
        <v>बहुत ही अस्वास्थ्यकर</v>
      </c>
      <c r="AC129" s="7" t="str">
        <f>IFERROR(__xludf.DUMMYFUNCTION("GoogleTranslate(C129, ""en"", ""hu"")"),"Nagyon egészségtelen")</f>
        <v>Nagyon egészségtelen</v>
      </c>
      <c r="AD129" s="7" t="str">
        <f>IFERROR(__xludf.DUMMYFUNCTION("GoogleTranslate(C129, ""en"", ""is"")"),"Mjög óhollt")</f>
        <v>Mjög óhollt</v>
      </c>
      <c r="AE129" s="7" t="str">
        <f>IFERROR(__xludf.DUMMYFUNCTION("GoogleTranslate(C129, ""en"", ""id"")"),"Sangat Tidak Sehat")</f>
        <v>Sangat Tidak Sehat</v>
      </c>
      <c r="AF129" s="7" t="str">
        <f>IFERROR(__xludf.DUMMYFUNCTION("GoogleTranslate(C129, ""en"", ""in"")"),"Sangat Tidak Sehat")</f>
        <v>Sangat Tidak Sehat</v>
      </c>
      <c r="AG129" s="7" t="str">
        <f>IFERROR(__xludf.DUMMYFUNCTION("GoogleTranslate(C129, ""en"", ""it"")"),"Molto malsano")</f>
        <v>Molto malsano</v>
      </c>
      <c r="AH129" s="7" t="str">
        <f>IFERROR(__xludf.DUMMYFUNCTION("GoogleTranslate(C129, ""en"", ""ja"")"),"非常に不健康")</f>
        <v>非常に不健康</v>
      </c>
      <c r="AI129" s="7" t="str">
        <f>IFERROR(__xludf.DUMMYFUNCTION("GoogleTranslate(C129, ""en"", ""kn"")"),"ತುಂಬಾ ಅನಾರೋಗ್ಯಕರ")</f>
        <v>ತುಂಬಾ ಅನಾರೋಗ್ಯಕರ</v>
      </c>
      <c r="AJ129" s="7" t="str">
        <f>IFERROR(__xludf.DUMMYFUNCTION("GoogleTranslate(C129, ""en"", ""km"")"),"សុខភាពមិនល្អខ្លាំងណាស់")</f>
        <v>សុខភាពមិនល្អខ្លាំងណាស់</v>
      </c>
      <c r="AK129" s="7" t="str">
        <f>IFERROR(__xludf.DUMMYFUNCTION("GoogleTranslate(C129, ""en"", ""ko"")"),"매우 건강에 해로움")</f>
        <v>매우 건강에 해로움</v>
      </c>
      <c r="AL129" s="7" t="str">
        <f>IFERROR(__xludf.DUMMYFUNCTION("GoogleTranslate(C129, ""en"", ""lo"")"),"ບໍ່ດີສຸຂະພາບຫຼາຍ")</f>
        <v>ບໍ່ດີສຸຂະພາບຫຼາຍ</v>
      </c>
      <c r="AM129" s="7" t="str">
        <f>IFERROR(__xludf.DUMMYFUNCTION("GoogleTranslate(C129, ""en"", ""lv"")"),"Ļoti neveselīgi")</f>
        <v>Ļoti neveselīgi</v>
      </c>
      <c r="AN129" s="7" t="str">
        <f>IFERROR(__xludf.DUMMYFUNCTION("GoogleTranslate(C129, ""en"", ""lt"")"),"Labai nesveika")</f>
        <v>Labai nesveika</v>
      </c>
      <c r="AO129" s="7" t="str">
        <f>IFERROR(__xludf.DUMMYFUNCTION("GoogleTranslate(C129, ""en"", ""mk"")"),"Многу нездраво")</f>
        <v>Многу нездраво</v>
      </c>
      <c r="AP129" s="7" t="str">
        <f>IFERROR(__xludf.DUMMYFUNCTION("GoogleTranslate(C129, ""en"", ""ms"")"),"Sangat Tidak Sihat")</f>
        <v>Sangat Tidak Sihat</v>
      </c>
      <c r="AQ129" s="7" t="str">
        <f>IFERROR(__xludf.DUMMYFUNCTION("GoogleTranslate(C129, ""en"", ""ml"")"),"വളരെ അനാരോഗ്യകരമാണ്")</f>
        <v>വളരെ അനാരോഗ്യകരമാണ്</v>
      </c>
      <c r="AR129" s="7" t="str">
        <f>IFERROR(__xludf.DUMMYFUNCTION("GoogleTranslate(C129, ""en"", ""mr"")"),"अतिशय अस्वस्थ")</f>
        <v>अतिशय अस्वस्थ</v>
      </c>
      <c r="AS129" s="7" t="str">
        <f>IFERROR(__xludf.DUMMYFUNCTION("GoogleTranslate(C129, ""en"", ""mn"")"),"Маш эрүүл бус")</f>
        <v>Маш эрүүл бус</v>
      </c>
      <c r="AT129" s="7" t="str">
        <f>IFERROR(__xludf.DUMMYFUNCTION("GoogleTranslate(C129, ""en"", ""ne"")"),"धेरै अस्वस्थ")</f>
        <v>धेरै अस्वस्थ</v>
      </c>
      <c r="AU129" s="7" t="str">
        <f>IFERROR(__xludf.DUMMYFUNCTION("GoogleTranslate(C129, ""en"", ""nb"")"),"Veldig usunn")</f>
        <v>Veldig usunn</v>
      </c>
      <c r="AV129" s="7" t="str">
        <f>IFERROR(__xludf.DUMMYFUNCTION("GoogleTranslate(C129, ""en"", ""fa"")"),"خیلی ناسالم")</f>
        <v>خیلی ناسالم</v>
      </c>
      <c r="AW129" s="7" t="str">
        <f>IFERROR(__xludf.DUMMYFUNCTION("GoogleTranslate(C129, ""en"", ""pl"")"),"Bardzo niezdrowe")</f>
        <v>Bardzo niezdrowe</v>
      </c>
      <c r="AX129" s="7" t="str">
        <f>IFERROR(__xludf.DUMMYFUNCTION("GoogleTranslate(C129, ""en"", ""pt"")"),"Muito prejudicial à saúde")</f>
        <v>Muito prejudicial à saúde</v>
      </c>
      <c r="AY129" s="7" t="str">
        <f>IFERROR(__xludf.DUMMYFUNCTION("GoogleTranslate(C129, ""en"", ""ro"")"),"Foarte nesănătos")</f>
        <v>Foarte nesănătos</v>
      </c>
      <c r="AZ129" s="7" t="str">
        <f>IFERROR(__xludf.DUMMYFUNCTION("GoogleTranslate(C129, ""en"", ""ru"")"),"Очень вредно для здоровья")</f>
        <v>Очень вредно для здоровья</v>
      </c>
      <c r="BA129" s="7" t="str">
        <f>IFERROR(__xludf.DUMMYFUNCTION("GoogleTranslate(C129, ""en"", ""sr"")"),"Веома нездраво")</f>
        <v>Веома нездраво</v>
      </c>
      <c r="BB129" s="7" t="str">
        <f>IFERROR(__xludf.DUMMYFUNCTION("GoogleTranslate(C129, ""en"", ""si"")"),"ඉතා සෞඛ්‍යයට අහිතකරයි")</f>
        <v>ඉතා සෞඛ්‍යයට අහිතකරයි</v>
      </c>
      <c r="BC129" s="7" t="str">
        <f>IFERROR(__xludf.DUMMYFUNCTION("GoogleTranslate(C129, ""en"", ""sk"")"),"Veľmi nezdravé")</f>
        <v>Veľmi nezdravé</v>
      </c>
      <c r="BD129" s="7" t="str">
        <f>IFERROR(__xludf.DUMMYFUNCTION("GoogleTranslate(C129, ""en"", ""sl"")"),"Zelo nezdravo")</f>
        <v>Zelo nezdravo</v>
      </c>
      <c r="BE129" s="7" t="str">
        <f>IFERROR(__xludf.DUMMYFUNCTION("GoogleTranslate(C129, ""en"", ""es"")"),"muy poco saludable")</f>
        <v>muy poco saludable</v>
      </c>
      <c r="BF129" s="7" t="str">
        <f>IFERROR(__xludf.DUMMYFUNCTION("GoogleTranslate(C129, ""en"", ""sw"")"),"Mbaya Sana")</f>
        <v>Mbaya Sana</v>
      </c>
      <c r="BG129" s="7" t="str">
        <f>IFERROR(__xludf.DUMMYFUNCTION("GoogleTranslate(C129, ""en"", ""sv"")"),"Mycket ohälsosamt")</f>
        <v>Mycket ohälsosamt</v>
      </c>
      <c r="BH129" s="7" t="str">
        <f>IFERROR(__xludf.DUMMYFUNCTION("GoogleTranslate(C129, ""en"", ""te"")"),"చాలా అనారోగ్యకరమైనది")</f>
        <v>చాలా అనారోగ్యకరమైనది</v>
      </c>
      <c r="BI129" s="7" t="str">
        <f>IFERROR(__xludf.DUMMYFUNCTION("GoogleTranslate(C129, ""en"", ""th"")"),"ไม่แข็งแรงมาก")</f>
        <v>ไม่แข็งแรงมาก</v>
      </c>
      <c r="BJ129" s="7" t="str">
        <f>IFERROR(__xludf.DUMMYFUNCTION("GoogleTranslate(C129, ""en"", ""tr"")"),"Çok Sağlıksız")</f>
        <v>Çok Sağlıksız</v>
      </c>
      <c r="BK129" s="7" t="str">
        <f>IFERROR(__xludf.DUMMYFUNCTION("GoogleTranslate(C129, ""en"", ""uk"")"),"Дуже нездоровий")</f>
        <v>Дуже нездоровий</v>
      </c>
      <c r="BL129" s="7" t="str">
        <f>IFERROR(__xludf.DUMMYFUNCTION("GoogleTranslate(C129, ""en"", ""zu"")"),"Okungenampilo Kakhulu")</f>
        <v>Okungenampilo Kakhulu</v>
      </c>
    </row>
    <row r="130">
      <c r="A130" s="5" t="str">
        <f t="shared" si="1"/>
        <v>Hazardous</v>
      </c>
      <c r="B130" s="6" t="s">
        <v>186</v>
      </c>
      <c r="C130" s="5" t="str">
        <f t="shared" si="2"/>
        <v>Hazardous</v>
      </c>
      <c r="D130" s="7" t="str">
        <f>IFERROR(__xludf.DUMMYFUNCTION("GoogleTranslate(C130, ""en"", ""es"")"),"Peligroso")</f>
        <v>Peligroso</v>
      </c>
      <c r="E130" s="7" t="str">
        <f>IFERROR(__xludf.DUMMYFUNCTION("GoogleTranslate(C130, ""en"", ""ar"")"),"خطرة")</f>
        <v>خطرة</v>
      </c>
      <c r="F130" s="7" t="str">
        <f>IFERROR(__xludf.DUMMYFUNCTION("GoogleTranslate(C130, ""en"", ""hy"")"),"Վտանգավոր")</f>
        <v>Վտանգավոր</v>
      </c>
      <c r="G130" s="7" t="str">
        <f>IFERROR(__xludf.DUMMYFUNCTION("GoogleTranslate(C130, ""en"", ""vi"")"),"Nguy hiểm")</f>
        <v>Nguy hiểm</v>
      </c>
      <c r="H130" s="7" t="str">
        <f>IFERROR(__xludf.DUMMYFUNCTION("GoogleTranslate(C130, ""en"", ""az"")"),"Təhlükəli")</f>
        <v>Təhlükəli</v>
      </c>
      <c r="I130" s="7" t="str">
        <f>IFERROR(__xludf.DUMMYFUNCTION("GoogleTranslate(C130, ""en"", ""eu"")"),"Arriskutsuak")</f>
        <v>Arriskutsuak</v>
      </c>
      <c r="J130" s="7" t="str">
        <f>IFERROR(__xludf.DUMMYFUNCTION("GoogleTranslate(C130, ""en"", ""be"")"),"Небяспечна")</f>
        <v>Небяспечна</v>
      </c>
      <c r="K130" s="7" t="str">
        <f>IFERROR(__xludf.DUMMYFUNCTION("GoogleTranslate(C130, ""en"", ""bn"")"),"বিপজ্জনক")</f>
        <v>বিপজ্জনক</v>
      </c>
      <c r="L130" s="7" t="str">
        <f>IFERROR(__xludf.DUMMYFUNCTION("GoogleTranslate(C130, ""en"", ""bg"")"),"Опасни")</f>
        <v>Опасни</v>
      </c>
      <c r="M130" s="7" t="str">
        <f>IFERROR(__xludf.DUMMYFUNCTION("GoogleTranslate(C130, ""en"", ""my"")"),"အန္တရာယ်ရှိသော")</f>
        <v>အန္တရာယ်ရှိသော</v>
      </c>
      <c r="N130" s="7" t="str">
        <f>IFERROR(__xludf.DUMMYFUNCTION("GoogleTranslate(C130, ""en"", ""ca"")"),"Perillós")</f>
        <v>Perillós</v>
      </c>
      <c r="O130" s="7" t="str">
        <f>IFERROR(__xludf.DUMMYFUNCTION("GoogleTranslate(C130, ""en"", ""zh-cn"")"),"危险的")</f>
        <v>危险的</v>
      </c>
      <c r="P130" s="7" t="str">
        <f>IFERROR(__xludf.DUMMYFUNCTION("GoogleTranslate(C130, ""en"", ""zh-TW"")"),"危險的")</f>
        <v>危險的</v>
      </c>
      <c r="Q130" s="7" t="str">
        <f>IFERROR(__xludf.DUMMYFUNCTION("GoogleTranslate(C130, ""en"", ""hr"")"),"Opasno")</f>
        <v>Opasno</v>
      </c>
      <c r="R130" s="7" t="str">
        <f>IFERROR(__xludf.DUMMYFUNCTION("GoogleTranslate(C130, ""en"", ""cs"")"),"Nebezpečný")</f>
        <v>Nebezpečný</v>
      </c>
      <c r="S130" s="7" t="str">
        <f>IFERROR(__xludf.DUMMYFUNCTION("GoogleTranslate(C130, ""en"", ""da"")"),"Farlig")</f>
        <v>Farlig</v>
      </c>
      <c r="T130" s="7" t="str">
        <f>IFERROR(__xludf.DUMMYFUNCTION("GoogleTranslate(C130, ""en"", ""nl"")"),"Gevaarlijk")</f>
        <v>Gevaarlijk</v>
      </c>
      <c r="U130" s="7" t="str">
        <f>IFERROR(__xludf.DUMMYFUNCTION("GoogleTranslate(C130, ""en"", ""et"")"),"Ohtlik")</f>
        <v>Ohtlik</v>
      </c>
      <c r="V130" s="5" t="str">
        <f t="shared" si="3"/>
        <v>Hazardous</v>
      </c>
      <c r="W130" s="7" t="str">
        <f>IFERROR(__xludf.DUMMYFUNCTION("GoogleTranslate(C130, ""en"", ""fi"")"),"Vaarallinen")</f>
        <v>Vaarallinen</v>
      </c>
      <c r="X130" s="7" t="str">
        <f>IFERROR(__xludf.DUMMYFUNCTION("GoogleTranslate(C130, ""en"", ""fr"")"),"Dangereux")</f>
        <v>Dangereux</v>
      </c>
      <c r="Y130" s="7" t="str">
        <f>IFERROR(__xludf.DUMMYFUNCTION("GoogleTranslate(C130, ""en"", ""de"")"),"Gefährlich")</f>
        <v>Gefährlich</v>
      </c>
      <c r="Z130" s="7" t="str">
        <f>IFERROR(__xludf.DUMMYFUNCTION("GoogleTranslate(C130, ""en"", ""el"")"),"Επικίνδυνος")</f>
        <v>Επικίνδυνος</v>
      </c>
      <c r="AA130" s="7" t="str">
        <f>IFERROR(__xludf.DUMMYFUNCTION("GoogleTranslate(C130, ""en"", ""iw"")"),"מְסוּכָּן")</f>
        <v>מְסוּכָּן</v>
      </c>
      <c r="AB130" s="7" t="str">
        <f>IFERROR(__xludf.DUMMYFUNCTION("GoogleTranslate(C130, ""en"", ""hi"")"),"खतरनाक")</f>
        <v>खतरनाक</v>
      </c>
      <c r="AC130" s="7" t="str">
        <f>IFERROR(__xludf.DUMMYFUNCTION("GoogleTranslate(C130, ""en"", ""hu"")"),"Veszélyes")</f>
        <v>Veszélyes</v>
      </c>
      <c r="AD130" s="7" t="str">
        <f>IFERROR(__xludf.DUMMYFUNCTION("GoogleTranslate(C130, ""en"", ""is"")"),"Hættulegt")</f>
        <v>Hættulegt</v>
      </c>
      <c r="AE130" s="7" t="str">
        <f>IFERROR(__xludf.DUMMYFUNCTION("GoogleTranslate(C130, ""en"", ""id"")"),"Berbahaya")</f>
        <v>Berbahaya</v>
      </c>
      <c r="AF130" s="7" t="str">
        <f>IFERROR(__xludf.DUMMYFUNCTION("GoogleTranslate(C130, ""en"", ""in"")"),"Berbahaya")</f>
        <v>Berbahaya</v>
      </c>
      <c r="AG130" s="7" t="str">
        <f>IFERROR(__xludf.DUMMYFUNCTION("GoogleTranslate(C130, ""en"", ""it"")"),"Pericoloso")</f>
        <v>Pericoloso</v>
      </c>
      <c r="AH130" s="7" t="str">
        <f>IFERROR(__xludf.DUMMYFUNCTION("GoogleTranslate(C130, ""en"", ""ja"")"),"危険")</f>
        <v>危険</v>
      </c>
      <c r="AI130" s="7" t="str">
        <f>IFERROR(__xludf.DUMMYFUNCTION("GoogleTranslate(C130, ""en"", ""kn"")"),"ಅಪಾಯಕಾರಿ")</f>
        <v>ಅಪಾಯಕಾರಿ</v>
      </c>
      <c r="AJ130" s="7" t="str">
        <f>IFERROR(__xludf.DUMMYFUNCTION("GoogleTranslate(C130, ""en"", ""km"")"),"គ្រោះថ្នាក់")</f>
        <v>គ្រោះថ្នាក់</v>
      </c>
      <c r="AK130" s="7" t="str">
        <f>IFERROR(__xludf.DUMMYFUNCTION("GoogleTranslate(C130, ""en"", ""ko"")"),"위험한")</f>
        <v>위험한</v>
      </c>
      <c r="AL130" s="7" t="str">
        <f>IFERROR(__xludf.DUMMYFUNCTION("GoogleTranslate(C130, ""en"", ""lo"")"),"ອັນຕະລາຍ")</f>
        <v>ອັນຕະລາຍ</v>
      </c>
      <c r="AM130" s="7" t="str">
        <f>IFERROR(__xludf.DUMMYFUNCTION("GoogleTranslate(C130, ""en"", ""lv"")"),"Bīstams")</f>
        <v>Bīstams</v>
      </c>
      <c r="AN130" s="7" t="str">
        <f>IFERROR(__xludf.DUMMYFUNCTION("GoogleTranslate(C130, ""en"", ""lt"")"),"Pavojinga")</f>
        <v>Pavojinga</v>
      </c>
      <c r="AO130" s="7" t="str">
        <f>IFERROR(__xludf.DUMMYFUNCTION("GoogleTranslate(C130, ""en"", ""mk"")"),"Опасно")</f>
        <v>Опасно</v>
      </c>
      <c r="AP130" s="7" t="str">
        <f>IFERROR(__xludf.DUMMYFUNCTION("GoogleTranslate(C130, ""en"", ""ms"")"),"Berbahaya")</f>
        <v>Berbahaya</v>
      </c>
      <c r="AQ130" s="7" t="str">
        <f>IFERROR(__xludf.DUMMYFUNCTION("GoogleTranslate(C130, ""en"", ""ml"")"),"അപകടകരമായ")</f>
        <v>അപകടകരമായ</v>
      </c>
      <c r="AR130" s="7" t="str">
        <f>IFERROR(__xludf.DUMMYFUNCTION("GoogleTranslate(C130, ""en"", ""mr"")"),"घातक")</f>
        <v>घातक</v>
      </c>
      <c r="AS130" s="7" t="str">
        <f>IFERROR(__xludf.DUMMYFUNCTION("GoogleTranslate(C130, ""en"", ""mn"")"),"Аюултай")</f>
        <v>Аюултай</v>
      </c>
      <c r="AT130" s="7" t="str">
        <f>IFERROR(__xludf.DUMMYFUNCTION("GoogleTranslate(C130, ""en"", ""ne"")"),"खतरनाक")</f>
        <v>खतरनाक</v>
      </c>
      <c r="AU130" s="7" t="str">
        <f>IFERROR(__xludf.DUMMYFUNCTION("GoogleTranslate(C130, ""en"", ""nb"")"),"Farlig")</f>
        <v>Farlig</v>
      </c>
      <c r="AV130" s="7" t="str">
        <f>IFERROR(__xludf.DUMMYFUNCTION("GoogleTranslate(C130, ""en"", ""fa"")"),"خطرناک")</f>
        <v>خطرناک</v>
      </c>
      <c r="AW130" s="7" t="str">
        <f>IFERROR(__xludf.DUMMYFUNCTION("GoogleTranslate(C130, ""en"", ""pl"")"),"Niebezpieczny")</f>
        <v>Niebezpieczny</v>
      </c>
      <c r="AX130" s="7" t="str">
        <f>IFERROR(__xludf.DUMMYFUNCTION("GoogleTranslate(C130, ""en"", ""pt"")"),"Perigoso")</f>
        <v>Perigoso</v>
      </c>
      <c r="AY130" s="7" t="str">
        <f>IFERROR(__xludf.DUMMYFUNCTION("GoogleTranslate(C130, ""en"", ""ro"")"),"Periculoase")</f>
        <v>Periculoase</v>
      </c>
      <c r="AZ130" s="7" t="str">
        <f>IFERROR(__xludf.DUMMYFUNCTION("GoogleTranslate(C130, ""en"", ""ru"")"),"Опасный")</f>
        <v>Опасный</v>
      </c>
      <c r="BA130" s="7" t="str">
        <f>IFERROR(__xludf.DUMMYFUNCTION("GoogleTranslate(C130, ""en"", ""sr"")"),"Хазардоус")</f>
        <v>Хазардоус</v>
      </c>
      <c r="BB130" s="7" t="str">
        <f>IFERROR(__xludf.DUMMYFUNCTION("GoogleTranslate(C130, ""en"", ""si"")"),"අනතුරුදායකයි")</f>
        <v>අනතුරුදායකයි</v>
      </c>
      <c r="BC130" s="7" t="str">
        <f>IFERROR(__xludf.DUMMYFUNCTION("GoogleTranslate(C130, ""en"", ""sk"")"),"Nebezpečný")</f>
        <v>Nebezpečný</v>
      </c>
      <c r="BD130" s="7" t="str">
        <f>IFERROR(__xludf.DUMMYFUNCTION("GoogleTranslate(C130, ""en"", ""sl"")"),"Nevarno")</f>
        <v>Nevarno</v>
      </c>
      <c r="BE130" s="7" t="str">
        <f>IFERROR(__xludf.DUMMYFUNCTION("GoogleTranslate(C130, ""en"", ""es"")"),"Peligroso")</f>
        <v>Peligroso</v>
      </c>
      <c r="BF130" s="7" t="str">
        <f>IFERROR(__xludf.DUMMYFUNCTION("GoogleTranslate(C130, ""en"", ""sw"")"),"Hatari")</f>
        <v>Hatari</v>
      </c>
      <c r="BG130" s="7" t="str">
        <f>IFERROR(__xludf.DUMMYFUNCTION("GoogleTranslate(C130, ""en"", ""sv"")"),"Farlig")</f>
        <v>Farlig</v>
      </c>
      <c r="BH130" s="7" t="str">
        <f>IFERROR(__xludf.DUMMYFUNCTION("GoogleTranslate(C130, ""en"", ""te"")"),"ప్రమాదకరం")</f>
        <v>ప్రమాదకరం</v>
      </c>
      <c r="BI130" s="7" t="str">
        <f>IFERROR(__xludf.DUMMYFUNCTION("GoogleTranslate(C130, ""en"", ""th"")"),"เป็นอันตราย")</f>
        <v>เป็นอันตราย</v>
      </c>
      <c r="BJ130" s="7" t="str">
        <f>IFERROR(__xludf.DUMMYFUNCTION("GoogleTranslate(C130, ""en"", ""tr"")"),"Tehlikeli")</f>
        <v>Tehlikeli</v>
      </c>
      <c r="BK130" s="7" t="str">
        <f>IFERROR(__xludf.DUMMYFUNCTION("GoogleTranslate(C130, ""en"", ""uk"")"),"небезпечний")</f>
        <v>небезпечний</v>
      </c>
      <c r="BL130" s="7" t="str">
        <f>IFERROR(__xludf.DUMMYFUNCTION("GoogleTranslate(C130, ""en"", ""zu"")"),"Kuyingozi")</f>
        <v>Kuyingozi</v>
      </c>
    </row>
    <row r="131">
      <c r="A131" s="5" t="str">
        <f t="shared" si="1"/>
        <v>US_AQI_Level</v>
      </c>
      <c r="B131" s="6" t="s">
        <v>187</v>
      </c>
      <c r="C131" s="5" t="str">
        <f t="shared" si="2"/>
        <v>US AQI Level</v>
      </c>
      <c r="D131" s="7" t="str">
        <f>IFERROR(__xludf.DUMMYFUNCTION("GoogleTranslate(C131, ""en"", ""es"")"),"Nivel AQI de EE. UU.")</f>
        <v>Nivel AQI de EE. UU.</v>
      </c>
      <c r="E131" s="7" t="str">
        <f>IFERROR(__xludf.DUMMYFUNCTION("GoogleTranslate(C131, ""en"", ""ar"")"),"مستوى AQI في الولايات المتحدة")</f>
        <v>مستوى AQI في الولايات المتحدة</v>
      </c>
      <c r="F131" s="7" t="str">
        <f>IFERROR(__xludf.DUMMYFUNCTION("GoogleTranslate(C131, ""en"", ""hy"")"),"ԱՄՆ AQI մակարդակ")</f>
        <v>ԱՄՆ AQI մակարդակ</v>
      </c>
      <c r="G131" s="7" t="str">
        <f>IFERROR(__xludf.DUMMYFUNCTION("GoogleTranslate(C131, ""en"", ""vi"")"),"Mức AQI của Hoa Kỳ")</f>
        <v>Mức AQI của Hoa Kỳ</v>
      </c>
      <c r="H131" s="7" t="str">
        <f>IFERROR(__xludf.DUMMYFUNCTION("GoogleTranslate(C131, ""en"", ""az"")"),"ABŞ AQI Səviyyəsi")</f>
        <v>ABŞ AQI Səviyyəsi</v>
      </c>
      <c r="I131" s="7" t="str">
        <f>IFERROR(__xludf.DUMMYFUNCTION("GoogleTranslate(C131, ""en"", ""eu"")"),"AEBetako AQI maila")</f>
        <v>AEBetako AQI maila</v>
      </c>
      <c r="J131" s="7" t="str">
        <f>IFERROR(__xludf.DUMMYFUNCTION("GoogleTranslate(C131, ""en"", ""be"")"),"Узровень AQI ЗША")</f>
        <v>Узровень AQI ЗША</v>
      </c>
      <c r="K131" s="7" t="str">
        <f>IFERROR(__xludf.DUMMYFUNCTION("GoogleTranslate(C131, ""en"", ""bn"")"),"US AQI স্তর")</f>
        <v>US AQI স্তর</v>
      </c>
      <c r="L131" s="7" t="str">
        <f>IFERROR(__xludf.DUMMYFUNCTION("GoogleTranslate(C131, ""en"", ""bg"")"),"Ниво на AQI в САЩ")</f>
        <v>Ниво на AQI в САЩ</v>
      </c>
      <c r="M131" s="7" t="str">
        <f>IFERROR(__xludf.DUMMYFUNCTION("GoogleTranslate(C131, ""en"", ""my"")"),"US AQI အဆင့်")</f>
        <v>US AQI အဆင့်</v>
      </c>
      <c r="N131" s="7" t="str">
        <f>IFERROR(__xludf.DUMMYFUNCTION("GoogleTranslate(C131, ""en"", ""ca"")"),"Nivell AQI dels EUA")</f>
        <v>Nivell AQI dels EUA</v>
      </c>
      <c r="O131" s="7" t="str">
        <f>IFERROR(__xludf.DUMMYFUNCTION("GoogleTranslate(C131, ""en"", ""zh-cn"")"),"美国AQI水平")</f>
        <v>美国AQI水平</v>
      </c>
      <c r="P131" s="7" t="str">
        <f>IFERROR(__xludf.DUMMYFUNCTION("GoogleTranslate(C131, ""en"", ""zh-TW"")"),"美國AQI水平")</f>
        <v>美國AQI水平</v>
      </c>
      <c r="Q131" s="7" t="str">
        <f>IFERROR(__xludf.DUMMYFUNCTION("GoogleTranslate(C131, ""en"", ""hr"")"),"US AQI razina")</f>
        <v>US AQI razina</v>
      </c>
      <c r="R131" s="7" t="str">
        <f>IFERROR(__xludf.DUMMYFUNCTION("GoogleTranslate(C131, ""en"", ""cs"")"),"Úroveň AQI v USA")</f>
        <v>Úroveň AQI v USA</v>
      </c>
      <c r="S131" s="7" t="str">
        <f>IFERROR(__xludf.DUMMYFUNCTION("GoogleTranslate(C131, ""en"", ""da"")"),"AQI-niveau i USA")</f>
        <v>AQI-niveau i USA</v>
      </c>
      <c r="T131" s="7" t="str">
        <f>IFERROR(__xludf.DUMMYFUNCTION("GoogleTranslate(C131, ""en"", ""nl"")"),"Amerikaans AQI-niveau")</f>
        <v>Amerikaans AQI-niveau</v>
      </c>
      <c r="U131" s="7" t="str">
        <f>IFERROR(__xludf.DUMMYFUNCTION("GoogleTranslate(C131, ""en"", ""et"")"),"USA AQI tase")</f>
        <v>USA AQI tase</v>
      </c>
      <c r="V131" s="5" t="str">
        <f t="shared" si="3"/>
        <v>US AQI Level</v>
      </c>
      <c r="W131" s="7" t="str">
        <f>IFERROR(__xludf.DUMMYFUNCTION("GoogleTranslate(C131, ""en"", ""fi"")"),"Yhdysvaltain AQI-taso")</f>
        <v>Yhdysvaltain AQI-taso</v>
      </c>
      <c r="X131" s="7" t="str">
        <f>IFERROR(__xludf.DUMMYFUNCTION("GoogleTranslate(C131, ""en"", ""fr"")"),"Niveau IQA aux États-Unis")</f>
        <v>Niveau IQA aux États-Unis</v>
      </c>
      <c r="Y131" s="7" t="str">
        <f>IFERROR(__xludf.DUMMYFUNCTION("GoogleTranslate(C131, ""en"", ""de"")"),"US-AQI-Niveau")</f>
        <v>US-AQI-Niveau</v>
      </c>
      <c r="Z131" s="7" t="str">
        <f>IFERROR(__xludf.DUMMYFUNCTION("GoogleTranslate(C131, ""en"", ""el"")"),"Επίπεδο AQI ΗΠΑ")</f>
        <v>Επίπεδο AQI ΗΠΑ</v>
      </c>
      <c r="AA131" s="7" t="str">
        <f>IFERROR(__xludf.DUMMYFUNCTION("GoogleTranslate(C131, ""en"", ""iw"")"),"רמת AQI בארה""ב")</f>
        <v>רמת AQI בארה"ב</v>
      </c>
      <c r="AB131" s="7" t="str">
        <f>IFERROR(__xludf.DUMMYFUNCTION("GoogleTranslate(C131, ""en"", ""hi"")"),"यूएस AQI स्तर")</f>
        <v>यूएस AQI स्तर</v>
      </c>
      <c r="AC131" s="7" t="str">
        <f>IFERROR(__xludf.DUMMYFUNCTION("GoogleTranslate(C131, ""en"", ""hu"")"),"US AQI szint")</f>
        <v>US AQI szint</v>
      </c>
      <c r="AD131" s="7" t="str">
        <f>IFERROR(__xludf.DUMMYFUNCTION("GoogleTranslate(C131, ""en"", ""is"")"),"Bandarískt AQI stig")</f>
        <v>Bandarískt AQI stig</v>
      </c>
      <c r="AE131" s="7" t="str">
        <f>IFERROR(__xludf.DUMMYFUNCTION("GoogleTranslate(C131, ""en"", ""id"")"),"Tingkat AQI AS")</f>
        <v>Tingkat AQI AS</v>
      </c>
      <c r="AF131" s="7" t="str">
        <f>IFERROR(__xludf.DUMMYFUNCTION("GoogleTranslate(C131, ""en"", ""in"")"),"Tingkat AQI AS")</f>
        <v>Tingkat AQI AS</v>
      </c>
      <c r="AG131" s="7" t="str">
        <f>IFERROR(__xludf.DUMMYFUNCTION("GoogleTranslate(C131, ""en"", ""it"")"),"Livello AQI statunitense")</f>
        <v>Livello AQI statunitense</v>
      </c>
      <c r="AH131" s="7" t="str">
        <f>IFERROR(__xludf.DUMMYFUNCTION("GoogleTranslate(C131, ""en"", ""ja"")"),"米国の AQI レベル")</f>
        <v>米国の AQI レベル</v>
      </c>
      <c r="AI131" s="7" t="str">
        <f>IFERROR(__xludf.DUMMYFUNCTION("GoogleTranslate(C131, ""en"", ""kn"")"),"US AQI ಮಟ್ಟ")</f>
        <v>US AQI ಮಟ್ಟ</v>
      </c>
      <c r="AJ131" s="7" t="str">
        <f>IFERROR(__xludf.DUMMYFUNCTION("GoogleTranslate(C131, ""en"", ""km"")"),"កម្រិត AQI របស់សហរដ្ឋអាមេរិក")</f>
        <v>កម្រិត AQI របស់សហរដ្ឋអាមេរិក</v>
      </c>
      <c r="AK131" s="7" t="str">
        <f>IFERROR(__xludf.DUMMYFUNCTION("GoogleTranslate(C131, ""en"", ""ko"")"),"미국 AQI 수준")</f>
        <v>미국 AQI 수준</v>
      </c>
      <c r="AL131" s="7" t="str">
        <f>IFERROR(__xludf.DUMMYFUNCTION("GoogleTranslate(C131, ""en"", ""lo"")"),"ລະດັບ AQI ຂອງສະຫະລັດ")</f>
        <v>ລະດັບ AQI ຂອງສະຫະລັດ</v>
      </c>
      <c r="AM131" s="7" t="str">
        <f>IFERROR(__xludf.DUMMYFUNCTION("GoogleTranslate(C131, ""en"", ""lv"")"),"ASV AQI līmenis")</f>
        <v>ASV AQI līmenis</v>
      </c>
      <c r="AN131" s="7" t="str">
        <f>IFERROR(__xludf.DUMMYFUNCTION("GoogleTranslate(C131, ""en"", ""lt"")"),"JAV AQI lygis")</f>
        <v>JAV AQI lygis</v>
      </c>
      <c r="AO131" s="7" t="str">
        <f>IFERROR(__xludf.DUMMYFUNCTION("GoogleTranslate(C131, ""en"", ""mk"")"),"Ниво на AQI на САД")</f>
        <v>Ниво на AQI на САД</v>
      </c>
      <c r="AP131" s="7" t="str">
        <f>IFERROR(__xludf.DUMMYFUNCTION("GoogleTranslate(C131, ""en"", ""ms"")"),"Tahap AQI AS")</f>
        <v>Tahap AQI AS</v>
      </c>
      <c r="AQ131" s="7" t="str">
        <f>IFERROR(__xludf.DUMMYFUNCTION("GoogleTranslate(C131, ""en"", ""ml"")"),"യുഎസ് എക്യുഐ ലെവൽ")</f>
        <v>യുഎസ് എക്യുഐ ലെവൽ</v>
      </c>
      <c r="AR131" s="7" t="str">
        <f>IFERROR(__xludf.DUMMYFUNCTION("GoogleTranslate(C131, ""en"", ""mr"")"),"यूएस AQI पातळी")</f>
        <v>यूएस AQI पातळी</v>
      </c>
      <c r="AS131" s="7" t="str">
        <f>IFERROR(__xludf.DUMMYFUNCTION("GoogleTranslate(C131, ""en"", ""mn"")"),"АНУ-ын AQI түвшин")</f>
        <v>АНУ-ын AQI түвшин</v>
      </c>
      <c r="AT131" s="7" t="str">
        <f>IFERROR(__xludf.DUMMYFUNCTION("GoogleTranslate(C131, ""en"", ""ne"")"),"US AQI स्तर")</f>
        <v>US AQI स्तर</v>
      </c>
      <c r="AU131" s="7" t="str">
        <f>IFERROR(__xludf.DUMMYFUNCTION("GoogleTranslate(C131, ""en"", ""nb"")"),"AQI-nivå i USA")</f>
        <v>AQI-nivå i USA</v>
      </c>
      <c r="AV131" s="7" t="str">
        <f>IFERROR(__xludf.DUMMYFUNCTION("GoogleTranslate(C131, ""en"", ""fa"")"),"سطح AQI ایالات متحده")</f>
        <v>سطح AQI ایالات متحده</v>
      </c>
      <c r="AW131" s="7" t="str">
        <f>IFERROR(__xludf.DUMMYFUNCTION("GoogleTranslate(C131, ""en"", ""pl"")"),"Poziom AQI w USA")</f>
        <v>Poziom AQI w USA</v>
      </c>
      <c r="AX131" s="7" t="str">
        <f>IFERROR(__xludf.DUMMYFUNCTION("GoogleTranslate(C131, ""en"", ""pt"")"),"Nível AQI dos EUA")</f>
        <v>Nível AQI dos EUA</v>
      </c>
      <c r="AY131" s="7" t="str">
        <f>IFERROR(__xludf.DUMMYFUNCTION("GoogleTranslate(C131, ""en"", ""ro"")"),"Nivelul AQI al SUA")</f>
        <v>Nivelul AQI al SUA</v>
      </c>
      <c r="AZ131" s="7" t="str">
        <f>IFERROR(__xludf.DUMMYFUNCTION("GoogleTranslate(C131, ""en"", ""ru"")"),"Уровень AQI США")</f>
        <v>Уровень AQI США</v>
      </c>
      <c r="BA131" s="7" t="str">
        <f>IFERROR(__xludf.DUMMYFUNCTION("GoogleTranslate(C131, ""en"", ""sr"")"),"Ниво АКИ у САД")</f>
        <v>Ниво АКИ у САД</v>
      </c>
      <c r="BB131" s="7" t="str">
        <f>IFERROR(__xludf.DUMMYFUNCTION("GoogleTranslate(C131, ""en"", ""si"")"),"එක්සත් ජනපද AQI මට්ටම")</f>
        <v>එක්සත් ජනපද AQI මට්ටම</v>
      </c>
      <c r="BC131" s="7" t="str">
        <f>IFERROR(__xludf.DUMMYFUNCTION("GoogleTranslate(C131, ""en"", ""sk"")"),"Úroveň AQI v USA")</f>
        <v>Úroveň AQI v USA</v>
      </c>
      <c r="BD131" s="7" t="str">
        <f>IFERROR(__xludf.DUMMYFUNCTION("GoogleTranslate(C131, ""en"", ""sl"")"),"Stopnja AQI v ZDA")</f>
        <v>Stopnja AQI v ZDA</v>
      </c>
      <c r="BE131" s="7" t="str">
        <f>IFERROR(__xludf.DUMMYFUNCTION("GoogleTranslate(C131, ""en"", ""es"")"),"Nivel AQI de EE. UU.")</f>
        <v>Nivel AQI de EE. UU.</v>
      </c>
      <c r="BF131" s="7" t="str">
        <f>IFERROR(__xludf.DUMMYFUNCTION("GoogleTranslate(C131, ""en"", ""sw"")"),"Kiwango cha AQI cha Marekani")</f>
        <v>Kiwango cha AQI cha Marekani</v>
      </c>
      <c r="BG131" s="7" t="str">
        <f>IFERROR(__xludf.DUMMYFUNCTION("GoogleTranslate(C131, ""en"", ""sv"")"),"AQI-nivå i USA")</f>
        <v>AQI-nivå i USA</v>
      </c>
      <c r="BH131" s="7" t="str">
        <f>IFERROR(__xludf.DUMMYFUNCTION("GoogleTranslate(C131, ""en"", ""te"")"),"US AQI స్థాయి")</f>
        <v>US AQI స్థాయి</v>
      </c>
      <c r="BI131" s="7" t="str">
        <f>IFERROR(__xludf.DUMMYFUNCTION("GoogleTranslate(C131, ""en"", ""th"")"),"ระดับ AQI ของสหรัฐอเมริกา")</f>
        <v>ระดับ AQI ของสหรัฐอเมริกา</v>
      </c>
      <c r="BJ131" s="7" t="str">
        <f>IFERROR(__xludf.DUMMYFUNCTION("GoogleTranslate(C131, ""en"", ""tr"")"),"ABD AQI Seviyesi")</f>
        <v>ABD AQI Seviyesi</v>
      </c>
      <c r="BK131" s="7" t="str">
        <f>IFERROR(__xludf.DUMMYFUNCTION("GoogleTranslate(C131, ""en"", ""uk"")"),"Рівень AQI США")</f>
        <v>Рівень AQI США</v>
      </c>
      <c r="BL131" s="7" t="str">
        <f>IFERROR(__xludf.DUMMYFUNCTION("GoogleTranslate(C131, ""en"", ""zu"")"),"I-US AQI Level")</f>
        <v>I-US AQI Level</v>
      </c>
    </row>
    <row r="132">
      <c r="A132" s="5" t="str">
        <f t="shared" si="1"/>
        <v>Healthy_Recomendation</v>
      </c>
      <c r="B132" s="6" t="s">
        <v>188</v>
      </c>
      <c r="C132" s="5" t="str">
        <f t="shared" si="2"/>
        <v>Healthy Recomendation</v>
      </c>
      <c r="D132" s="7" t="str">
        <f>IFERROR(__xludf.DUMMYFUNCTION("GoogleTranslate(C132, ""en"", ""es"")"),"Recomendación saludable")</f>
        <v>Recomendación saludable</v>
      </c>
      <c r="E132" s="7" t="str">
        <f>IFERROR(__xludf.DUMMYFUNCTION("GoogleTranslate(C132, ""en"", ""ar"")"),"توصية صحية")</f>
        <v>توصية صحية</v>
      </c>
      <c r="F132" s="7" t="str">
        <f>IFERROR(__xludf.DUMMYFUNCTION("GoogleTranslate(C132, ""en"", ""hy"")"),"Առողջ խորհուրդ")</f>
        <v>Առողջ խորհուրդ</v>
      </c>
      <c r="G132" s="7" t="str">
        <f>IFERROR(__xludf.DUMMYFUNCTION("GoogleTranslate(C132, ""en"", ""vi"")"),"Khuyến nghị lành mạnh")</f>
        <v>Khuyến nghị lành mạnh</v>
      </c>
      <c r="H132" s="7" t="str">
        <f>IFERROR(__xludf.DUMMYFUNCTION("GoogleTranslate(C132, ""en"", ""az"")"),"Sağlam Tövsiyə")</f>
        <v>Sağlam Tövsiyə</v>
      </c>
      <c r="I132" s="7" t="str">
        <f>IFERROR(__xludf.DUMMYFUNCTION("GoogleTranslate(C132, ""en"", ""eu"")"),"Gomendio osasuntsua")</f>
        <v>Gomendio osasuntsua</v>
      </c>
      <c r="J132" s="7" t="str">
        <f>IFERROR(__xludf.DUMMYFUNCTION("GoogleTranslate(C132, ""en"", ""be"")"),"Здаровая рэкамендацыя")</f>
        <v>Здаровая рэкамендацыя</v>
      </c>
      <c r="K132" s="7" t="str">
        <f>IFERROR(__xludf.DUMMYFUNCTION("GoogleTranslate(C132, ""en"", ""bn"")"),"স্বাস্থ্যকর সুপারিশ")</f>
        <v>স্বাস্থ্যকর সুপারিশ</v>
      </c>
      <c r="L132" s="7" t="str">
        <f>IFERROR(__xludf.DUMMYFUNCTION("GoogleTranslate(C132, ""en"", ""bg"")"),"Здравословна препоръка")</f>
        <v>Здравословна препоръка</v>
      </c>
      <c r="M132" s="7" t="str">
        <f>IFERROR(__xludf.DUMMYFUNCTION("GoogleTranslate(C132, ""en"", ""my"")"),"ကျန်းမာကြောင်းထောက်ခံစာ")</f>
        <v>ကျန်းမာကြောင်းထောက်ခံစာ</v>
      </c>
      <c r="N132" s="7" t="str">
        <f>IFERROR(__xludf.DUMMYFUNCTION("GoogleTranslate(C132, ""en"", ""ca"")"),"Recomanació saludable")</f>
        <v>Recomanació saludable</v>
      </c>
      <c r="O132" s="7" t="str">
        <f>IFERROR(__xludf.DUMMYFUNCTION("GoogleTranslate(C132, ""en"", ""zh-cn"")"),"健康推荐")</f>
        <v>健康推荐</v>
      </c>
      <c r="P132" s="7" t="str">
        <f>IFERROR(__xludf.DUMMYFUNCTION("GoogleTranslate(C132, ""en"", ""zh-TW"")"),"健康推薦")</f>
        <v>健康推薦</v>
      </c>
      <c r="Q132" s="7" t="str">
        <f>IFERROR(__xludf.DUMMYFUNCTION("GoogleTranslate(C132, ""en"", ""hr"")"),"Zdrava preporuka")</f>
        <v>Zdrava preporuka</v>
      </c>
      <c r="R132" s="7" t="str">
        <f>IFERROR(__xludf.DUMMYFUNCTION("GoogleTranslate(C132, ""en"", ""cs"")"),"Zdravé doporučení")</f>
        <v>Zdravé doporučení</v>
      </c>
      <c r="S132" s="7" t="str">
        <f>IFERROR(__xludf.DUMMYFUNCTION("GoogleTranslate(C132, ""en"", ""da"")"),"Sund anbefaling")</f>
        <v>Sund anbefaling</v>
      </c>
      <c r="T132" s="7" t="str">
        <f>IFERROR(__xludf.DUMMYFUNCTION("GoogleTranslate(C132, ""en"", ""nl"")"),"Gezonde aanbeveling")</f>
        <v>Gezonde aanbeveling</v>
      </c>
      <c r="U132" s="7" t="str">
        <f>IFERROR(__xludf.DUMMYFUNCTION("GoogleTranslate(C132, ""en"", ""et"")"),"Tervislik soovitus")</f>
        <v>Tervislik soovitus</v>
      </c>
      <c r="V132" s="5" t="str">
        <f t="shared" si="3"/>
        <v>Healthy Recomendation</v>
      </c>
      <c r="W132" s="7" t="str">
        <f>IFERROR(__xludf.DUMMYFUNCTION("GoogleTranslate(C132, ""en"", ""fi"")"),"Terve suositus")</f>
        <v>Terve suositus</v>
      </c>
      <c r="X132" s="7" t="str">
        <f>IFERROR(__xludf.DUMMYFUNCTION("GoogleTranslate(C132, ""en"", ""fr"")"),"Recommandation saine")</f>
        <v>Recommandation saine</v>
      </c>
      <c r="Y132" s="7" t="str">
        <f>IFERROR(__xludf.DUMMYFUNCTION("GoogleTranslate(C132, ""en"", ""de"")"),"Gesunde Empfehlung")</f>
        <v>Gesunde Empfehlung</v>
      </c>
      <c r="Z132" s="7" t="str">
        <f>IFERROR(__xludf.DUMMYFUNCTION("GoogleTranslate(C132, ""en"", ""el"")"),"Υγιεινή Σύσταση")</f>
        <v>Υγιεινή Σύσταση</v>
      </c>
      <c r="AA132" s="7" t="str">
        <f>IFERROR(__xludf.DUMMYFUNCTION("GoogleTranslate(C132, ""en"", ""iw"")"),"המלצה בריאה")</f>
        <v>המלצה בריאה</v>
      </c>
      <c r="AB132" s="7" t="str">
        <f>IFERROR(__xludf.DUMMYFUNCTION("GoogleTranslate(C132, ""en"", ""hi"")"),"स्वस्थ अनुशंसा")</f>
        <v>स्वस्थ अनुशंसा</v>
      </c>
      <c r="AC132" s="7" t="str">
        <f>IFERROR(__xludf.DUMMYFUNCTION("GoogleTranslate(C132, ""en"", ""hu"")"),"Egészséges ajánlás")</f>
        <v>Egészséges ajánlás</v>
      </c>
      <c r="AD132" s="7" t="str">
        <f>IFERROR(__xludf.DUMMYFUNCTION("GoogleTranslate(C132, ""en"", ""is"")"),"Heilbrigð meðmæli")</f>
        <v>Heilbrigð meðmæli</v>
      </c>
      <c r="AE132" s="7" t="str">
        <f>IFERROR(__xludf.DUMMYFUNCTION("GoogleTranslate(C132, ""en"", ""id"")"),"Rekomendasi Sehat")</f>
        <v>Rekomendasi Sehat</v>
      </c>
      <c r="AF132" s="7" t="str">
        <f>IFERROR(__xludf.DUMMYFUNCTION("GoogleTranslate(C132, ""en"", ""in"")"),"Rekomendasi Sehat")</f>
        <v>Rekomendasi Sehat</v>
      </c>
      <c r="AG132" s="7" t="str">
        <f>IFERROR(__xludf.DUMMYFUNCTION("GoogleTranslate(C132, ""en"", ""it"")"),"Raccomandazione salutare")</f>
        <v>Raccomandazione salutare</v>
      </c>
      <c r="AH132" s="7" t="str">
        <f>IFERROR(__xludf.DUMMYFUNCTION("GoogleTranslate(C132, ""en"", ""ja"")"),"健康のすすめ")</f>
        <v>健康のすすめ</v>
      </c>
      <c r="AI132" s="7" t="str">
        <f>IFERROR(__xludf.DUMMYFUNCTION("GoogleTranslate(C132, ""en"", ""kn"")"),"ಆರೋಗ್ಯಕರ ಶಿಫಾರಸು")</f>
        <v>ಆರೋಗ್ಯಕರ ಶಿಫಾರಸು</v>
      </c>
      <c r="AJ132" s="7" t="str">
        <f>IFERROR(__xludf.DUMMYFUNCTION("GoogleTranslate(C132, ""en"", ""km"")"),"អនុសាសន៍សុខភាព")</f>
        <v>អនុសាសន៍សុខភាព</v>
      </c>
      <c r="AK132" s="7" t="str">
        <f>IFERROR(__xludf.DUMMYFUNCTION("GoogleTranslate(C132, ""en"", ""ko"")"),"건강한 추천")</f>
        <v>건강한 추천</v>
      </c>
      <c r="AL132" s="7" t="str">
        <f>IFERROR(__xludf.DUMMYFUNCTION("GoogleTranslate(C132, ""en"", ""lo"")"),"ຄໍາແນະນໍາສຸຂະພາບ")</f>
        <v>ຄໍາແນະນໍາສຸຂະພາບ</v>
      </c>
      <c r="AM132" s="7" t="str">
        <f>IFERROR(__xludf.DUMMYFUNCTION("GoogleTranslate(C132, ""en"", ""lv"")"),"Veselīgs ieteikums")</f>
        <v>Veselīgs ieteikums</v>
      </c>
      <c r="AN132" s="7" t="str">
        <f>IFERROR(__xludf.DUMMYFUNCTION("GoogleTranslate(C132, ""en"", ""lt"")"),"Sveika rekomendacija")</f>
        <v>Sveika rekomendacija</v>
      </c>
      <c r="AO132" s="7" t="str">
        <f>IFERROR(__xludf.DUMMYFUNCTION("GoogleTranslate(C132, ""en"", ""mk"")"),"Здрава препорака")</f>
        <v>Здрава препорака</v>
      </c>
      <c r="AP132" s="7" t="str">
        <f>IFERROR(__xludf.DUMMYFUNCTION("GoogleTranslate(C132, ""en"", ""ms"")"),"Cadangan Sihat")</f>
        <v>Cadangan Sihat</v>
      </c>
      <c r="AQ132" s="7" t="str">
        <f>IFERROR(__xludf.DUMMYFUNCTION("GoogleTranslate(C132, ""en"", ""ml"")"),"ആരോഗ്യകരമായ ശുപാർശ")</f>
        <v>ആരോഗ്യകരമായ ശുപാർശ</v>
      </c>
      <c r="AR132" s="7" t="str">
        <f>IFERROR(__xludf.DUMMYFUNCTION("GoogleTranslate(C132, ""en"", ""mr"")"),"आरोग्यदायी शिफारस")</f>
        <v>आरोग्यदायी शिफारस</v>
      </c>
      <c r="AS132" s="7" t="str">
        <f>IFERROR(__xludf.DUMMYFUNCTION("GoogleTranslate(C132, ""en"", ""mn"")"),"Эрүүл мэндийн зөвлөмж")</f>
        <v>Эрүүл мэндийн зөвлөмж</v>
      </c>
      <c r="AT132" s="7" t="str">
        <f>IFERROR(__xludf.DUMMYFUNCTION("GoogleTranslate(C132, ""en"", ""ne"")"),"स्वस्थ सिफारिस")</f>
        <v>स्वस्थ सिफारिस</v>
      </c>
      <c r="AU132" s="7" t="str">
        <f>IFERROR(__xludf.DUMMYFUNCTION("GoogleTranslate(C132, ""en"", ""nb"")"),"Sunn anbefaling")</f>
        <v>Sunn anbefaling</v>
      </c>
      <c r="AV132" s="7" t="str">
        <f>IFERROR(__xludf.DUMMYFUNCTION("GoogleTranslate(C132, ""en"", ""fa"")"),"توصیه سالم")</f>
        <v>توصیه سالم</v>
      </c>
      <c r="AW132" s="7" t="str">
        <f>IFERROR(__xludf.DUMMYFUNCTION("GoogleTranslate(C132, ""en"", ""pl"")"),"Zdrowa rekomendacja")</f>
        <v>Zdrowa rekomendacja</v>
      </c>
      <c r="AX132" s="7" t="str">
        <f>IFERROR(__xludf.DUMMYFUNCTION("GoogleTranslate(C132, ""en"", ""pt"")"),"Recomendação Saudável")</f>
        <v>Recomendação Saudável</v>
      </c>
      <c r="AY132" s="7" t="str">
        <f>IFERROR(__xludf.DUMMYFUNCTION("GoogleTranslate(C132, ""en"", ""ro"")"),"Recomandare Sanatoasa")</f>
        <v>Recomandare Sanatoasa</v>
      </c>
      <c r="AZ132" s="7" t="str">
        <f>IFERROR(__xludf.DUMMYFUNCTION("GoogleTranslate(C132, ""en"", ""ru"")"),"Здоровая рекомендация")</f>
        <v>Здоровая рекомендация</v>
      </c>
      <c r="BA132" s="7" t="str">
        <f>IFERROR(__xludf.DUMMYFUNCTION("GoogleTranslate(C132, ""en"", ""sr"")"),"Здрава препорука")</f>
        <v>Здрава препорука</v>
      </c>
      <c r="BB132" s="7" t="str">
        <f>IFERROR(__xludf.DUMMYFUNCTION("GoogleTranslate(C132, ""en"", ""si"")"),"සෞඛ්ය සම්පන්න නිර්දේශය")</f>
        <v>සෞඛ්ය සම්පන්න නිර්දේශය</v>
      </c>
      <c r="BC132" s="7" t="str">
        <f>IFERROR(__xludf.DUMMYFUNCTION("GoogleTranslate(C132, ""en"", ""sk"")"),"Zdravé odporúčanie")</f>
        <v>Zdravé odporúčanie</v>
      </c>
      <c r="BD132" s="7" t="str">
        <f>IFERROR(__xludf.DUMMYFUNCTION("GoogleTranslate(C132, ""en"", ""sl"")"),"Zdravo priporočilo")</f>
        <v>Zdravo priporočilo</v>
      </c>
      <c r="BE132" s="7" t="str">
        <f>IFERROR(__xludf.DUMMYFUNCTION("GoogleTranslate(C132, ""en"", ""es"")"),"Recomendación saludable")</f>
        <v>Recomendación saludable</v>
      </c>
      <c r="BF132" s="7" t="str">
        <f>IFERROR(__xludf.DUMMYFUNCTION("GoogleTranslate(C132, ""en"", ""sw"")"),"Mapendekezo ya Afya")</f>
        <v>Mapendekezo ya Afya</v>
      </c>
      <c r="BG132" s="7" t="str">
        <f>IFERROR(__xludf.DUMMYFUNCTION("GoogleTranslate(C132, ""en"", ""sv"")"),"Hälsosam rekommendation")</f>
        <v>Hälsosam rekommendation</v>
      </c>
      <c r="BH132" s="7" t="str">
        <f>IFERROR(__xludf.DUMMYFUNCTION("GoogleTranslate(C132, ""en"", ""te"")"),"ఆరోగ్యకరమైన సిఫార్సు")</f>
        <v>ఆరోగ్యకరమైన సిఫార్సు</v>
      </c>
      <c r="BI132" s="7" t="str">
        <f>IFERROR(__xludf.DUMMYFUNCTION("GoogleTranslate(C132, ""en"", ""th"")"),"คำแนะนำเรื่องสุขภาพ")</f>
        <v>คำแนะนำเรื่องสุขภาพ</v>
      </c>
      <c r="BJ132" s="7" t="str">
        <f>IFERROR(__xludf.DUMMYFUNCTION("GoogleTranslate(C132, ""en"", ""tr"")"),"Sağlıklı Öneri")</f>
        <v>Sağlıklı Öneri</v>
      </c>
      <c r="BK132" s="7" t="str">
        <f>IFERROR(__xludf.DUMMYFUNCTION("GoogleTranslate(C132, ""en"", ""uk"")"),"Здорова рекомендація")</f>
        <v>Здорова рекомендація</v>
      </c>
      <c r="BL132" s="7" t="str">
        <f>IFERROR(__xludf.DUMMYFUNCTION("GoogleTranslate(C132, ""en"", ""zu"")"),"Iseluleko Esinempilo")</f>
        <v>Iseluleko Esinempilo</v>
      </c>
    </row>
    <row r="133">
      <c r="A133" s="5" t="str">
        <f t="shared" si="1"/>
        <v>Air_quality_is_satisfactory_and_poses_little_or_no_risk</v>
      </c>
      <c r="B133" s="6" t="s">
        <v>189</v>
      </c>
      <c r="C133" s="5" t="str">
        <f t="shared" si="2"/>
        <v>Air quality is satisfactory and poses little or no risk</v>
      </c>
      <c r="D133" s="7" t="str">
        <f>IFERROR(__xludf.DUMMYFUNCTION("GoogleTranslate(C133, ""en"", ""es"")"),"La calidad del aire es satisfactoria y presenta poco o ningún riesgo.")</f>
        <v>La calidad del aire es satisfactoria y presenta poco o ningún riesgo.</v>
      </c>
      <c r="E133" s="7" t="str">
        <f>IFERROR(__xludf.DUMMYFUNCTION("GoogleTranslate(C133, ""en"", ""ar"")"),"جودة الهواء مرضية ولا تشكل أي خطر يذكر أو لا تشكل أي خطر على الإطلاق")</f>
        <v>جودة الهواء مرضية ولا تشكل أي خطر يذكر أو لا تشكل أي خطر على الإطلاق</v>
      </c>
      <c r="F133" s="7" t="str">
        <f>IFERROR(__xludf.DUMMYFUNCTION("GoogleTranslate(C133, ""en"", ""hy"")"),"Օդի որակը գոհացուցիչ է և քիչ վտանգ է ներկայացնում կամ ընդհանրապես ռիսկ չի ներկայացնում")</f>
        <v>Օդի որակը գոհացուցիչ է և քիչ վտանգ է ներկայացնում կամ ընդհանրապես ռիսկ չի ներկայացնում</v>
      </c>
      <c r="G133" s="7" t="str">
        <f>IFERROR(__xludf.DUMMYFUNCTION("GoogleTranslate(C133, ""en"", ""vi"")"),"Chất lượng không khí đạt yêu cầu và có ít hoặc không có rủi ro")</f>
        <v>Chất lượng không khí đạt yêu cầu và có ít hoặc không có rủi ro</v>
      </c>
      <c r="H133" s="7" t="str">
        <f>IFERROR(__xludf.DUMMYFUNCTION("GoogleTranslate(C133, ""en"", ""az"")"),"Havanın keyfiyyəti qənaətbəxşdir və az və ya heç bir risk yaratmır")</f>
        <v>Havanın keyfiyyəti qənaətbəxşdir və az və ya heç bir risk yaratmır</v>
      </c>
      <c r="I133" s="7" t="str">
        <f>IFERROR(__xludf.DUMMYFUNCTION("GoogleTranslate(C133, ""en"", ""eu"")"),"Airearen kalitatea egokia da eta arrisku gutxi edo batere ez dakar")</f>
        <v>Airearen kalitatea egokia da eta arrisku gutxi edo batere ez dakar</v>
      </c>
      <c r="J133" s="7" t="str">
        <f>IFERROR(__xludf.DUMMYFUNCTION("GoogleTranslate(C133, ""en"", ""be"")"),"Якасць паветра здавальняючая і практычна не ўяўляе рызыкі")</f>
        <v>Якасць паветра здавальняючая і практычна не ўяўляе рызыкі</v>
      </c>
      <c r="K133" s="7" t="str">
        <f>IFERROR(__xludf.DUMMYFUNCTION("GoogleTranslate(C133, ""en"", ""bn"")"),"বায়ুর মান সন্তোষজনক এবং সামান্য বা কোন ঝুঁকি নেই")</f>
        <v>বায়ুর মান সন্তোষজনক এবং সামান্য বা কোন ঝুঁকি নেই</v>
      </c>
      <c r="L133" s="7" t="str">
        <f>IFERROR(__xludf.DUMMYFUNCTION("GoogleTranslate(C133, ""en"", ""bg"")"),"Качеството на въздуха е задоволително и представлява малък или никакъв риск")</f>
        <v>Качеството на въздуха е задоволително и представлява малък или никакъв риск</v>
      </c>
      <c r="M133" s="7" t="str">
        <f>IFERROR(__xludf.DUMMYFUNCTION("GoogleTranslate(C133, ""en"", ""my"")"),"လေအရည်အသွေးသည် ကျေနပ်ဖွယ်ရှိပြီး အန္တရာယ်အနည်းငယ် သို့မဟုတ် လုံးဝမရှိပါ။")</f>
        <v>လေအရည်အသွေးသည် ကျေနပ်ဖွယ်ရှိပြီး အန္တရာယ်အနည်းငယ် သို့မဟုတ် လုံးဝမရှိပါ။</v>
      </c>
      <c r="N133" s="7" t="str">
        <f>IFERROR(__xludf.DUMMYFUNCTION("GoogleTranslate(C133, ""en"", ""ca"")"),"La qualitat de l'aire és satisfactòria i suposa poc o cap risc")</f>
        <v>La qualitat de l'aire és satisfactòria i suposa poc o cap risc</v>
      </c>
      <c r="O133" s="7" t="str">
        <f>IFERROR(__xludf.DUMMYFUNCTION("GoogleTranslate(C133, ""en"", ""zh-cn"")"),"空气质量令人满意，风险很小或没有")</f>
        <v>空气质量令人满意，风险很小或没有</v>
      </c>
      <c r="P133" s="7" t="str">
        <f>IFERROR(__xludf.DUMMYFUNCTION("GoogleTranslate(C133, ""en"", ""zh-TW"")"),"空氣品質令人滿意，風險很小或沒有")</f>
        <v>空氣品質令人滿意，風險很小或沒有</v>
      </c>
      <c r="Q133" s="7" t="str">
        <f>IFERROR(__xludf.DUMMYFUNCTION("GoogleTranslate(C133, ""en"", ""hr"")"),"Kvaliteta zraka je zadovoljavajuća i predstavlja mali ili nikakav rizik")</f>
        <v>Kvaliteta zraka je zadovoljavajuća i predstavlja mali ili nikakav rizik</v>
      </c>
      <c r="R133" s="7" t="str">
        <f>IFERROR(__xludf.DUMMYFUNCTION("GoogleTranslate(C133, ""en"", ""cs"")"),"Kvalita vzduchu je uspokojivá a představuje malé nebo žádné riziko")</f>
        <v>Kvalita vzduchu je uspokojivá a představuje malé nebo žádné riziko</v>
      </c>
      <c r="S133" s="7" t="str">
        <f>IFERROR(__xludf.DUMMYFUNCTION("GoogleTranslate(C133, ""en"", ""da"")"),"Luftkvaliteten er tilfredsstillende og udgør ringe eller ingen risiko")</f>
        <v>Luftkvaliteten er tilfredsstillende og udgør ringe eller ingen risiko</v>
      </c>
      <c r="T133" s="7" t="str">
        <f>IFERROR(__xludf.DUMMYFUNCTION("GoogleTranslate(C133, ""en"", ""nl"")"),"De luchtkwaliteit is bevredigend en vormt weinig tot geen risico")</f>
        <v>De luchtkwaliteit is bevredigend en vormt weinig tot geen risico</v>
      </c>
      <c r="U133" s="7" t="str">
        <f>IFERROR(__xludf.DUMMYFUNCTION("GoogleTranslate(C133, ""en"", ""et"")"),"Õhukvaliteet on rahuldav ja kujutab endast vähest ohtu või üldse mitte")</f>
        <v>Õhukvaliteet on rahuldav ja kujutab endast vähest ohtu või üldse mitte</v>
      </c>
      <c r="V133" s="5" t="str">
        <f t="shared" si="3"/>
        <v>Air quality is satisfactory and poses little or no risk</v>
      </c>
      <c r="W133" s="7" t="str">
        <f>IFERROR(__xludf.DUMMYFUNCTION("GoogleTranslate(C133, ""en"", ""fi"")"),"Ilmanlaatu on tyydyttävä ja aiheuttaa vain vähän tai ei ollenkaan riskiä")</f>
        <v>Ilmanlaatu on tyydyttävä ja aiheuttaa vain vähän tai ei ollenkaan riskiä</v>
      </c>
      <c r="X133" s="7" t="str">
        <f>IFERROR(__xludf.DUMMYFUNCTION("GoogleTranslate(C133, ""en"", ""fr"")"),"La qualité de l'air est satisfaisante et ne présente que peu ou pas de risque")</f>
        <v>La qualité de l'air est satisfaisante et ne présente que peu ou pas de risque</v>
      </c>
      <c r="Y133" s="7" t="str">
        <f>IFERROR(__xludf.DUMMYFUNCTION("GoogleTranslate(C133, ""en"", ""de"")"),"Die Luftqualität ist zufriedenstellend und stellt kaum oder gar kein Risiko dar")</f>
        <v>Die Luftqualität ist zufriedenstellend und stellt kaum oder gar kein Risiko dar</v>
      </c>
      <c r="Z133" s="7" t="str">
        <f>IFERROR(__xludf.DUMMYFUNCTION("GoogleTranslate(C133, ""en"", ""el"")"),"Η ποιότητα του αέρα είναι ικανοποιητική και ενέχει ελάχιστο ή καθόλου κίνδυνο")</f>
        <v>Η ποιότητα του αέρα είναι ικανοποιητική και ενέχει ελάχιστο ή καθόλου κίνδυνο</v>
      </c>
      <c r="AA133" s="7" t="str">
        <f>IFERROR(__xludf.DUMMYFUNCTION("GoogleTranslate(C133, ""en"", ""iw"")"),"איכות האוויר משביעת רצון ומהווה סיכון מועט או לא")</f>
        <v>איכות האוויר משביעת רצון ומהווה סיכון מועט או לא</v>
      </c>
      <c r="AB133" s="7" t="str">
        <f>IFERROR(__xludf.DUMMYFUNCTION("GoogleTranslate(C133, ""en"", ""hi"")"),"हवा की गुणवत्ता संतोषजनक है और इससे बहुत कम या कोई खतरा नहीं है")</f>
        <v>हवा की गुणवत्ता संतोषजनक है और इससे बहुत कम या कोई खतरा नहीं है</v>
      </c>
      <c r="AC133" s="7" t="str">
        <f>IFERROR(__xludf.DUMMYFUNCTION("GoogleTranslate(C133, ""en"", ""hu"")"),"A levegő minősége kielégítő, és csekély kockázatot jelent, vagy egyáltalán nem")</f>
        <v>A levegő minősége kielégítő, és csekély kockázatot jelent, vagy egyáltalán nem</v>
      </c>
      <c r="AD133" s="7" t="str">
        <f>IFERROR(__xludf.DUMMYFUNCTION("GoogleTranslate(C133, ""en"", ""is"")"),"Loftgæði eru viðunandi og lítil sem engin hætta stafar af")</f>
        <v>Loftgæði eru viðunandi og lítil sem engin hætta stafar af</v>
      </c>
      <c r="AE133" s="7" t="str">
        <f>IFERROR(__xludf.DUMMYFUNCTION("GoogleTranslate(C133, ""en"", ""id"")"),"Kualitas udara memuaskan dan menimbulkan sedikit atau tanpa risiko")</f>
        <v>Kualitas udara memuaskan dan menimbulkan sedikit atau tanpa risiko</v>
      </c>
      <c r="AF133" s="7" t="str">
        <f>IFERROR(__xludf.DUMMYFUNCTION("GoogleTranslate(C133, ""en"", ""in"")"),"Kualitas udara memuaskan dan menimbulkan sedikit atau tanpa risiko")</f>
        <v>Kualitas udara memuaskan dan menimbulkan sedikit atau tanpa risiko</v>
      </c>
      <c r="AG133" s="7" t="str">
        <f>IFERROR(__xludf.DUMMYFUNCTION("GoogleTranslate(C133, ""en"", ""it"")"),"La qualità dell’aria è soddisfacente e presenta rischi minimi o nulli")</f>
        <v>La qualità dell’aria è soddisfacente e presenta rischi minimi o nulli</v>
      </c>
      <c r="AH133" s="7" t="str">
        <f>IFERROR(__xludf.DUMMYFUNCTION("GoogleTranslate(C133, ""en"", ""ja"")"),"大気の質は満足のいくものであり、リスクはほとんどまたはまったくありません")</f>
        <v>大気の質は満足のいくものであり、リスクはほとんどまたはまったくありません</v>
      </c>
      <c r="AI133" s="7" t="str">
        <f>IFERROR(__xludf.DUMMYFUNCTION("GoogleTranslate(C133, ""en"", ""kn"")"),"ಗಾಳಿಯ ಗುಣಮಟ್ಟವು ತೃಪ್ತಿಕರವಾಗಿದೆ ಮತ್ತು ಕಡಿಮೆ ಅಥವಾ ಯಾವುದೇ ಅಪಾಯವನ್ನು ಉಂಟುಮಾಡುವುದಿಲ್ಲ")</f>
        <v>ಗಾಳಿಯ ಗುಣಮಟ್ಟವು ತೃಪ್ತಿಕರವಾಗಿದೆ ಮತ್ತು ಕಡಿಮೆ ಅಥವಾ ಯಾವುದೇ ಅಪಾಯವನ್ನು ಉಂಟುಮಾಡುವುದಿಲ್ಲ</v>
      </c>
      <c r="AJ133" s="7" t="str">
        <f>IFERROR(__xludf.DUMMYFUNCTION("GoogleTranslate(C133, ""en"", ""km"")"),"គុណភាពខ្យល់គឺពេញចិត្ត ហើយបង្កហានិភ័យតិចតួច ឬគ្មាន")</f>
        <v>គុណភាពខ្យល់គឺពេញចិត្ត ហើយបង្កហានិភ័យតិចតួច ឬគ្មាន</v>
      </c>
      <c r="AK133" s="7" t="str">
        <f>IFERROR(__xludf.DUMMYFUNCTION("GoogleTranslate(C133, ""en"", ""ko"")"),"공기 질이 만족스럽고 위험이 거의 또는 전혀 없습니다.")</f>
        <v>공기 질이 만족스럽고 위험이 거의 또는 전혀 없습니다.</v>
      </c>
      <c r="AL133" s="7" t="str">
        <f>IFERROR(__xludf.DUMMYFUNCTION("GoogleTranslate(C133, ""en"", ""lo"")"),"ຄຸນນະພາບອາກາດເປັນທີ່ພໍໃຈ ແລະມີຄວາມສ່ຽງໜ້ອຍ ຫຼືບໍ່ມີເລີຍ")</f>
        <v>ຄຸນນະພາບອາກາດເປັນທີ່ພໍໃຈ ແລະມີຄວາມສ່ຽງໜ້ອຍ ຫຼືບໍ່ມີເລີຍ</v>
      </c>
      <c r="AM133" s="7" t="str">
        <f>IFERROR(__xludf.DUMMYFUNCTION("GoogleTranslate(C133, ""en"", ""lv"")"),"Gaisa kvalitāte ir apmierinoša un rada nelielu risku vai nemaz")</f>
        <v>Gaisa kvalitāte ir apmierinoša un rada nelielu risku vai nemaz</v>
      </c>
      <c r="AN133" s="7" t="str">
        <f>IFERROR(__xludf.DUMMYFUNCTION("GoogleTranslate(C133, ""en"", ""lt"")"),"Oro kokybė yra patenkinama ir nekelia jokios rizikos")</f>
        <v>Oro kokybė yra patenkinama ir nekelia jokios rizikos</v>
      </c>
      <c r="AO133" s="7" t="str">
        <f>IFERROR(__xludf.DUMMYFUNCTION("GoogleTranslate(C133, ""en"", ""mk"")"),"Квалитетот на воздухот е задоволителен и претставува мал или никаков ризик")</f>
        <v>Квалитетот на воздухот е задоволителен и претставува мал или никаков ризик</v>
      </c>
      <c r="AP133" s="7" t="str">
        <f>IFERROR(__xludf.DUMMYFUNCTION("GoogleTranslate(C133, ""en"", ""ms"")"),"Kualiti udara adalah memuaskan dan menimbulkan sedikit atau tiada risiko")</f>
        <v>Kualiti udara adalah memuaskan dan menimbulkan sedikit atau tiada risiko</v>
      </c>
      <c r="AQ133" s="7" t="str">
        <f>IFERROR(__xludf.DUMMYFUNCTION("GoogleTranslate(C133, ""en"", ""ml"")"),"വായുവിൻ്റെ ഗുണനിലവാരം തൃപ്തികരവും അപകടസാധ്യത കുറവോ ഇല്ലയോ ആണ്")</f>
        <v>വായുവിൻ്റെ ഗുണനിലവാരം തൃപ്തികരവും അപകടസാധ്യത കുറവോ ഇല്ലയോ ആണ്</v>
      </c>
      <c r="AR133" s="7" t="str">
        <f>IFERROR(__xludf.DUMMYFUNCTION("GoogleTranslate(C133, ""en"", ""mr"")"),"हवेची गुणवत्ता समाधानकारक आहे आणि कमी किंवा कोणताही धोका नाही")</f>
        <v>हवेची गुणवत्ता समाधानकारक आहे आणि कमी किंवा कोणताही धोका नाही</v>
      </c>
      <c r="AS133" s="7" t="str">
        <f>IFERROR(__xludf.DUMMYFUNCTION("GoogleTranslate(C133, ""en"", ""mn"")"),"Агаарын чанар хангалттай, эрсдэл багатай эсвэл огт байхгүй")</f>
        <v>Агаарын чанар хангалттай, эрсдэл багатай эсвэл огт байхгүй</v>
      </c>
      <c r="AT133" s="7" t="str">
        <f>IFERROR(__xludf.DUMMYFUNCTION("GoogleTranslate(C133, ""en"", ""ne"")"),"हावाको गुणस्तर सन्तोषजनक छ र यसले कम वा कुनै जोखिम उत्पन्न गर्दैन")</f>
        <v>हावाको गुणस्तर सन्तोषजनक छ र यसले कम वा कुनै जोखिम उत्पन्न गर्दैन</v>
      </c>
      <c r="AU133" s="7" t="str">
        <f>IFERROR(__xludf.DUMMYFUNCTION("GoogleTranslate(C133, ""en"", ""nb"")"),"Luftkvaliteten er tilfredsstillende og utgjør liten eller ingen risiko")</f>
        <v>Luftkvaliteten er tilfredsstillende og utgjør liten eller ingen risiko</v>
      </c>
      <c r="AV133" s="7" t="str">
        <f>IFERROR(__xludf.DUMMYFUNCTION("GoogleTranslate(C133, ""en"", ""fa"")"),"کیفیت هوا رضایت بخش است و خطر کمی یا بدون خطر دارد")</f>
        <v>کیفیت هوا رضایت بخش است و خطر کمی یا بدون خطر دارد</v>
      </c>
      <c r="AW133" s="7" t="str">
        <f>IFERROR(__xludf.DUMMYFUNCTION("GoogleTranslate(C133, ""en"", ""pl"")"),"Jakość powietrza jest zadowalająca i stwarza niewielkie ryzyko lub nie stwarza żadnego zagrożenia")</f>
        <v>Jakość powietrza jest zadowalająca i stwarza niewielkie ryzyko lub nie stwarza żadnego zagrożenia</v>
      </c>
      <c r="AX133" s="7" t="str">
        <f>IFERROR(__xludf.DUMMYFUNCTION("GoogleTranslate(C133, ""en"", ""pt"")"),"A qualidade do ar é satisfatória e representa pouco ou nenhum risco")</f>
        <v>A qualidade do ar é satisfatória e representa pouco ou nenhum risco</v>
      </c>
      <c r="AY133" s="7" t="str">
        <f>IFERROR(__xludf.DUMMYFUNCTION("GoogleTranslate(C133, ""en"", ""ro"")"),"Calitatea aerului este satisfăcătoare și prezintă un risc redus sau deloc")</f>
        <v>Calitatea aerului este satisfăcătoare și prezintă un risc redus sau deloc</v>
      </c>
      <c r="AZ133" s="7" t="str">
        <f>IFERROR(__xludf.DUMMYFUNCTION("GoogleTranslate(C133, ""en"", ""ru"")"),"Качество воздуха удовлетворительное и представляет небольшой риск или вообще не представляет его.")</f>
        <v>Качество воздуха удовлетворительное и представляет небольшой риск или вообще не представляет его.</v>
      </c>
      <c r="BA133" s="7" t="str">
        <f>IFERROR(__xludf.DUMMYFUNCTION("GoogleTranslate(C133, ""en"", ""sr"")"),"Квалитет ваздуха је задовољавајући и представља мали или никакав ризик")</f>
        <v>Квалитет ваздуха је задовољавајући и представља мали или никакав ризик</v>
      </c>
      <c r="BB133" s="7" t="str">
        <f>IFERROR(__xludf.DUMMYFUNCTION("GoogleTranslate(C133, ""en"", ""si"")"),"වාතයේ ගුණාත්මකභාවය සතුටුදායක වන අතර සුළු හෝ අවදානමක් නොමැත")</f>
        <v>වාතයේ ගුණාත්මකභාවය සතුටුදායක වන අතර සුළු හෝ අවදානමක් නොමැත</v>
      </c>
      <c r="BC133" s="7" t="str">
        <f>IFERROR(__xludf.DUMMYFUNCTION("GoogleTranslate(C133, ""en"", ""sk"")"),"Kvalita vzduchu je uspokojivá a predstavuje malé alebo žiadne riziko")</f>
        <v>Kvalita vzduchu je uspokojivá a predstavuje malé alebo žiadne riziko</v>
      </c>
      <c r="BD133" s="7" t="str">
        <f>IFERROR(__xludf.DUMMYFUNCTION("GoogleTranslate(C133, ""en"", ""sl"")"),"Kakovost zraka je zadovoljiva in predstavlja malo ali nič tveganja")</f>
        <v>Kakovost zraka je zadovoljiva in predstavlja malo ali nič tveganja</v>
      </c>
      <c r="BE133" s="7" t="str">
        <f>IFERROR(__xludf.DUMMYFUNCTION("GoogleTranslate(C133, ""en"", ""es"")"),"La calidad del aire es satisfactoria y presenta poco o ningún riesgo.")</f>
        <v>La calidad del aire es satisfactoria y presenta poco o ningún riesgo.</v>
      </c>
      <c r="BF133" s="7" t="str">
        <f>IFERROR(__xludf.DUMMYFUNCTION("GoogleTranslate(C133, ""en"", ""sw"")"),"Ubora wa hewa ni wa kuridhisha na unaleta hatari kidogo au hakuna kabisa")</f>
        <v>Ubora wa hewa ni wa kuridhisha na unaleta hatari kidogo au hakuna kabisa</v>
      </c>
      <c r="BG133" s="7" t="str">
        <f>IFERROR(__xludf.DUMMYFUNCTION("GoogleTranslate(C133, ""en"", ""sv"")"),"Luftkvaliteten är tillfredsställande och utgör liten eller ingen risk")</f>
        <v>Luftkvaliteten är tillfredsställande och utgör liten eller ingen risk</v>
      </c>
      <c r="BH133" s="7" t="str">
        <f>IFERROR(__xludf.DUMMYFUNCTION("GoogleTranslate(C133, ""en"", ""te"")"),"గాలి నాణ్యత సంతృప్తికరంగా ఉంది మరియు తక్కువ లేదా ఎటువంటి ప్రమాదం లేదు")</f>
        <v>గాలి నాణ్యత సంతృప్తికరంగా ఉంది మరియు తక్కువ లేదా ఎటువంటి ప్రమాదం లేదు</v>
      </c>
      <c r="BI133" s="7" t="str">
        <f>IFERROR(__xludf.DUMMYFUNCTION("GoogleTranslate(C133, ""en"", ""th"")"),"คุณภาพอากาศอยู่ในเกณฑ์น่าพอใจและมีความเสี่ยงเพียงเล็กน้อยหรือไม่มีเลย")</f>
        <v>คุณภาพอากาศอยู่ในเกณฑ์น่าพอใจและมีความเสี่ยงเพียงเล็กน้อยหรือไม่มีเลย</v>
      </c>
      <c r="BJ133" s="7" t="str">
        <f>IFERROR(__xludf.DUMMYFUNCTION("GoogleTranslate(C133, ""en"", ""tr"")"),"Hava kalitesi tatmin edicidir ve çok az risk oluşturur veya hiç risk oluşturmaz")</f>
        <v>Hava kalitesi tatmin edicidir ve çok az risk oluşturur veya hiç risk oluşturmaz</v>
      </c>
      <c r="BK133" s="7" t="str">
        <f>IFERROR(__xludf.DUMMYFUNCTION("GoogleTranslate(C133, ""en"", ""uk"")"),"Якість повітря задовільна, небезпеки незначні або відсутні")</f>
        <v>Якість повітря задовільна, небезпеки незначні або відсутні</v>
      </c>
      <c r="BL133" s="7" t="str">
        <f>IFERROR(__xludf.DUMMYFUNCTION("GoogleTranslate(C133, ""en"", ""zu"")"),"Ikhwalithi yomoya iyanelisa futhi ibeka ingozi encane noma ayinazo nhlobo")</f>
        <v>Ikhwalithi yomoya iyanelisa futhi ibeka ingozi encane noma ayinazo nhlobo</v>
      </c>
    </row>
    <row r="134">
      <c r="A134" s="5" t="str">
        <f t="shared" si="1"/>
        <v>Sensitive_individuals_should_avoid_outdoor_activity_as_they_may_experience_respiraory_symtoms.</v>
      </c>
      <c r="B134" s="6" t="s">
        <v>190</v>
      </c>
      <c r="C134" s="5" t="str">
        <f t="shared" si="2"/>
        <v>Sensitive individuals should avoid outdoor activity as they may experience respiraory symtoms.</v>
      </c>
      <c r="D134" s="7" t="str">
        <f>IFERROR(__xludf.DUMMYFUNCTION("GoogleTranslate(C134, ""en"", ""es"")"),"Las personas sensibles deben evitar las actividades al aire libre ya que pueden experimentar síntomas respiratorios.")</f>
        <v>Las personas sensibles deben evitar las actividades al aire libre ya que pueden experimentar síntomas respiratorios.</v>
      </c>
      <c r="E134" s="7" t="str">
        <f>IFERROR(__xludf.DUMMYFUNCTION("GoogleTranslate(C134, ""en"", ""ar"")"),"يجب على الأفراد الحساسين تجنب الأنشطة الخارجية لأنهم قد يعانون من أعراض تنفسية.")</f>
        <v>يجب على الأفراد الحساسين تجنب الأنشطة الخارجية لأنهم قد يعانون من أعراض تنفسية.</v>
      </c>
      <c r="F134" s="7" t="str">
        <f>IFERROR(__xludf.DUMMYFUNCTION("GoogleTranslate(C134, ""en"", ""hy"")"),"Զգայուն անհատները պետք է խուսափեն բացօթյա գործունեությունից, քանի որ նրանք կարող են զգալ շնչառական ախտանիշներ:")</f>
        <v>Զգայուն անհատները պետք է խուսափեն բացօթյա գործունեությունից, քանի որ նրանք կարող են զգալ շնչառական ախտանիշներ:</v>
      </c>
      <c r="G134" s="7" t="str">
        <f>IFERROR(__xludf.DUMMYFUNCTION("GoogleTranslate(C134, ""en"", ""vi"")"),"Những người nhạy cảm nên tránh hoạt động ngoài trời vì họ có thể gặp các triệu chứng về hô hấp.")</f>
        <v>Những người nhạy cảm nên tránh hoạt động ngoài trời vì họ có thể gặp các triệu chứng về hô hấp.</v>
      </c>
      <c r="H134" s="7" t="str">
        <f>IFERROR(__xludf.DUMMYFUNCTION("GoogleTranslate(C134, ""en"", ""az"")"),"Həssas insanlar tənəffüs əlamətləri ilə qarşılaşa biləcəyi üçün açıq havada fəaliyyətdən çəkinməlidirlər.")</f>
        <v>Həssas insanlar tənəffüs əlamətləri ilə qarşılaşa biləcəyi üçün açıq havada fəaliyyətdən çəkinməlidirlər.</v>
      </c>
      <c r="I134" s="7" t="str">
        <f>IFERROR(__xludf.DUMMYFUNCTION("GoogleTranslate(C134, ""en"", ""eu"")"),"Pertsona sentikorrenek kanpoko jarduerak saihestu behar dituzte, arnas-sintomak izan ditzakete eta.")</f>
        <v>Pertsona sentikorrenek kanpoko jarduerak saihestu behar dituzte, arnas-sintomak izan ditzakete eta.</v>
      </c>
      <c r="J134" s="7" t="str">
        <f>IFERROR(__xludf.DUMMYFUNCTION("GoogleTranslate(C134, ""en"", ""be"")"),"Адчувальным асобам варта пазбягаць актыўнага адпачынку, бо ў іх могуць узнікнуць рэспіраторныя сімптомы.")</f>
        <v>Адчувальным асобам варта пазбягаць актыўнага адпачынку, бо ў іх могуць узнікнуць рэспіраторныя сімптомы.</v>
      </c>
      <c r="K134" s="7" t="str">
        <f>IFERROR(__xludf.DUMMYFUNCTION("GoogleTranslate(C134, ""en"", ""bn"")"),"সংবেদনশীল ব্যক্তিদের বাইরের কার্যকলাপ এড়ানো উচিত কারণ তারা শ্বাসকষ্টের লক্ষণগুলি অনুভব করতে পারে।")</f>
        <v>সংবেদনশীল ব্যক্তিদের বাইরের কার্যকলাপ এড়ানো উচিত কারণ তারা শ্বাসকষ্টের লক্ষণগুলি অনুভব করতে পারে।</v>
      </c>
      <c r="L134" s="7" t="str">
        <f>IFERROR(__xludf.DUMMYFUNCTION("GoogleTranslate(C134, ""en"", ""bg"")"),"Чувствителните хора трябва да избягват дейности на открито, тъй като могат да изпитат респираторни симптоми.")</f>
        <v>Чувствителните хора трябва да избягват дейности на открито, тъй като могат да изпитат респираторни симптоми.</v>
      </c>
      <c r="M134" s="7" t="str">
        <f>IFERROR(__xludf.DUMMYFUNCTION("GoogleTranslate(C134, ""en"", ""my"")"),"အာရုံခံစားတတ်သူများသည် အသက်ရှူလမ်းကြောင်းဆိုင်ရာ လက္ခဏာများခံစားရနိုင်သောကြောင့် ပြင်ပလှုပ်ရှားမှုများကို ရှောင်ကြဉ်သင့်သည်။")</f>
        <v>အာရုံခံစားတတ်သူများသည် အသက်ရှူလမ်းကြောင်းဆိုင်ရာ လက္ခဏာများခံစားရနိုင်သောကြောင့် ပြင်ပလှုပ်ရှားမှုများကို ရှောင်ကြဉ်သင့်သည်။</v>
      </c>
      <c r="N134" s="7" t="str">
        <f>IFERROR(__xludf.DUMMYFUNCTION("GoogleTranslate(C134, ""en"", ""ca"")"),"Les persones sensibles haurien d'evitar l'activitat a l'aire lliure, ja que poden experimentar símptomes respiratoris.")</f>
        <v>Les persones sensibles haurien d'evitar l'activitat a l'aire lliure, ja que poden experimentar símptomes respiratoris.</v>
      </c>
      <c r="O134" s="7" t="str">
        <f>IFERROR(__xludf.DUMMYFUNCTION("GoogleTranslate(C134, ""en"", ""zh-cn"")"),"敏感人群应避免户外活动，因为他们可能会出现呼吸道症状。")</f>
        <v>敏感人群应避免户外活动，因为他们可能会出现呼吸道症状。</v>
      </c>
      <c r="P134" s="7" t="str">
        <f>IFERROR(__xludf.DUMMYFUNCTION("GoogleTranslate(C134, ""en"", ""zh-TW"")"),"敏感族群應避免戶外活動，因為他們可能會出現呼吸道症狀。")</f>
        <v>敏感族群應避免戶外活動，因為他們可能會出現呼吸道症狀。</v>
      </c>
      <c r="Q134" s="7" t="str">
        <f>IFERROR(__xludf.DUMMYFUNCTION("GoogleTranslate(C134, ""en"", ""hr"")"),"Osjetljive osobe trebaju izbjegavati aktivnosti na otvorenom jer mogu osjetiti respiratorne simptome.")</f>
        <v>Osjetljive osobe trebaju izbjegavati aktivnosti na otvorenom jer mogu osjetiti respiratorne simptome.</v>
      </c>
      <c r="R134" s="7" t="str">
        <f>IFERROR(__xludf.DUMMYFUNCTION("GoogleTranslate(C134, ""en"", ""cs"")"),"Citliví jedinci by se měli vyhýbat venkovním aktivitám, protože mohou pociťovat respirační příznaky.")</f>
        <v>Citliví jedinci by se měli vyhýbat venkovním aktivitám, protože mohou pociťovat respirační příznaky.</v>
      </c>
      <c r="S134" s="7" t="str">
        <f>IFERROR(__xludf.DUMMYFUNCTION("GoogleTranslate(C134, ""en"", ""da"")"),"Følsomme personer bør undgå udendørs aktivitet, da de kan opleve luftvejssymptomer.")</f>
        <v>Følsomme personer bør undgå udendørs aktivitet, da de kan opleve luftvejssymptomer.</v>
      </c>
      <c r="T134" s="7" t="str">
        <f>IFERROR(__xludf.DUMMYFUNCTION("GoogleTranslate(C134, ""en"", ""nl"")"),"Gevoelige personen moeten buitenactiviteiten vermijden, omdat zij ademhalingssymptomen kunnen ervaren.")</f>
        <v>Gevoelige personen moeten buitenactiviteiten vermijden, omdat zij ademhalingssymptomen kunnen ervaren.</v>
      </c>
      <c r="U134" s="7" t="str">
        <f>IFERROR(__xludf.DUMMYFUNCTION("GoogleTranslate(C134, ""en"", ""et"")"),"Tundlikud inimesed peaksid vältima välitegevust, kuna neil võivad tekkida hingamisteede sümptomid.")</f>
        <v>Tundlikud inimesed peaksid vältima välitegevust, kuna neil võivad tekkida hingamisteede sümptomid.</v>
      </c>
      <c r="V134" s="5" t="str">
        <f t="shared" si="3"/>
        <v>Sensitive individuals should avoid outdoor activity as they may experience respiraory symtoms.</v>
      </c>
      <c r="W134" s="7" t="str">
        <f>IFERROR(__xludf.DUMMYFUNCTION("GoogleTranslate(C134, ""en"", ""fi"")"),"Herkkien henkilöiden tulee välttää ulkoilua, koska he voivat kokea hengitystieoireita.")</f>
        <v>Herkkien henkilöiden tulee välttää ulkoilua, koska he voivat kokea hengitystieoireita.</v>
      </c>
      <c r="X134" s="7" t="str">
        <f>IFERROR(__xludf.DUMMYFUNCTION("GoogleTranslate(C134, ""en"", ""fr"")"),"Les personnes sensibles doivent éviter les activités extérieures car elles pourraient ressentir des symptômes respiratoires.")</f>
        <v>Les personnes sensibles doivent éviter les activités extérieures car elles pourraient ressentir des symptômes respiratoires.</v>
      </c>
      <c r="Y134" s="7" t="str">
        <f>IFERROR(__xludf.DUMMYFUNCTION("GoogleTranslate(C134, ""en"", ""de"")"),"Empfindliche Personen sollten Aktivitäten im Freien meiden, da bei ihnen Atembeschwerden auftreten können.")</f>
        <v>Empfindliche Personen sollten Aktivitäten im Freien meiden, da bei ihnen Atembeschwerden auftreten können.</v>
      </c>
      <c r="Z134" s="7" t="str">
        <f>IFERROR(__xludf.DUMMYFUNCTION("GoogleTranslate(C134, ""en"", ""el"")"),"Τα ευαίσθητα άτομα θα πρέπει να αποφεύγουν την υπαίθρια δραστηριότητα καθώς μπορεί να εμφανίσουν αναπνευστικά συμπτώματα.")</f>
        <v>Τα ευαίσθητα άτομα θα πρέπει να αποφεύγουν την υπαίθρια δραστηριότητα καθώς μπορεί να εμφανίσουν αναπνευστικά συμπτώματα.</v>
      </c>
      <c r="AA134" s="7" t="str">
        <f>IFERROR(__xludf.DUMMYFUNCTION("GoogleTranslate(C134, ""en"", ""iw"")"),"אנשים רגישים צריכים להימנע מפעילות חיצונית מכיוון שהם עלולים לחוות תסמינים נשימתיים.")</f>
        <v>אנשים רגישים צריכים להימנע מפעילות חיצונית מכיוון שהם עלולים לחוות תסמינים נשימתיים.</v>
      </c>
      <c r="AB134" s="7" t="str">
        <f>IFERROR(__xludf.DUMMYFUNCTION("GoogleTranslate(C134, ""en"", ""hi"")"),"संवेदनशील व्यक्तियों को बाहरी गतिविधियों से बचना चाहिए क्योंकि उन्हें श्वसन संबंधी लक्षणों का अनुभव हो सकता है।")</f>
        <v>संवेदनशील व्यक्तियों को बाहरी गतिविधियों से बचना चाहिए क्योंकि उन्हें श्वसन संबंधी लक्षणों का अनुभव हो सकता है।</v>
      </c>
      <c r="AC134" s="7" t="str">
        <f>IFERROR(__xludf.DUMMYFUNCTION("GoogleTranslate(C134, ""en"", ""hu"")"),"Az érzékeny személyeknek kerülniük kell a szabadtéri tevékenységeket, mivel légúti tüneteket tapasztalhatnak.")</f>
        <v>Az érzékeny személyeknek kerülniük kell a szabadtéri tevékenységeket, mivel légúti tüneteket tapasztalhatnak.</v>
      </c>
      <c r="AD134" s="7" t="str">
        <f>IFERROR(__xludf.DUMMYFUNCTION("GoogleTranslate(C134, ""en"", ""is"")"),"Viðkvæmir einstaklingar ættu að forðast útivist þar sem þeir geta fundið fyrir öndunarfæraeinkennum.")</f>
        <v>Viðkvæmir einstaklingar ættu að forðast útivist þar sem þeir geta fundið fyrir öndunarfæraeinkennum.</v>
      </c>
      <c r="AE134" s="7" t="str">
        <f>IFERROR(__xludf.DUMMYFUNCTION("GoogleTranslate(C134, ""en"", ""id"")"),"Individu yang sensitif harus menghindari aktivitas di luar ruangan karena mereka mungkin mengalami gejala pernapasan.")</f>
        <v>Individu yang sensitif harus menghindari aktivitas di luar ruangan karena mereka mungkin mengalami gejala pernapasan.</v>
      </c>
      <c r="AF134" s="7" t="str">
        <f>IFERROR(__xludf.DUMMYFUNCTION("GoogleTranslate(C134, ""en"", ""in"")"),"Individu yang sensitif harus menghindari aktivitas di luar ruangan karena mereka mungkin mengalami gejala pernapasan.")</f>
        <v>Individu yang sensitif harus menghindari aktivitas di luar ruangan karena mereka mungkin mengalami gejala pernapasan.</v>
      </c>
      <c r="AG134" s="7" t="str">
        <f>IFERROR(__xludf.DUMMYFUNCTION("GoogleTranslate(C134, ""en"", ""it"")"),"Le persone sensibili dovrebbero evitare l'attività all'aperto poiché potrebbero manifestare sintomi respiratori.")</f>
        <v>Le persone sensibili dovrebbero evitare l'attività all'aperto poiché potrebbero manifestare sintomi respiratori.</v>
      </c>
      <c r="AH134" s="7" t="str">
        <f>IFERROR(__xludf.DUMMYFUNCTION("GoogleTranslate(C134, ""en"", ""ja"")"),"敏感な人は、呼吸器症状を経験する可能性があるため、屋外での活動を避ける必要があります。")</f>
        <v>敏感な人は、呼吸器症状を経験する可能性があるため、屋外での活動を避ける必要があります。</v>
      </c>
      <c r="AI134" s="7" t="str">
        <f>IFERROR(__xludf.DUMMYFUNCTION("GoogleTranslate(C134, ""en"", ""kn"")"),"ಸೂಕ್ಷ್ಮ ವ್ಯಕ್ತಿಗಳು ಹೊರಾಂಗಣ ಚಟುವಟಿಕೆಯನ್ನು ತಪ್ಪಿಸಬೇಕು ಏಕೆಂದರೆ ಅವರು ಉಸಿರಾಟದ ರೋಗಲಕ್ಷಣಗಳನ್ನು ಅನುಭವಿಸಬಹುದು.")</f>
        <v>ಸೂಕ್ಷ್ಮ ವ್ಯಕ್ತಿಗಳು ಹೊರಾಂಗಣ ಚಟುವಟಿಕೆಯನ್ನು ತಪ್ಪಿಸಬೇಕು ಏಕೆಂದರೆ ಅವರು ಉಸಿರಾಟದ ರೋಗಲಕ್ಷಣಗಳನ್ನು ಅನುಭವಿಸಬಹುದು.</v>
      </c>
      <c r="AJ134" s="7" t="str">
        <f>IFERROR(__xludf.DUMMYFUNCTION("GoogleTranslate(C134, ""en"", ""km"")"),"បុគ្គលដែលមានអារម្មណ៍រសើបគួរជៀសវាងសកម្មភាពនៅខាងក្រៅ ព្រោះពួកគេអាចជួបប្រទះនឹងរោគសញ្ញាផ្លូវដង្ហើម។")</f>
        <v>បុគ្គលដែលមានអារម្មណ៍រសើបគួរជៀសវាងសកម្មភាពនៅខាងក្រៅ ព្រោះពួកគេអាចជួបប្រទះនឹងរោគសញ្ញាផ្លូវដង្ហើម។</v>
      </c>
      <c r="AK134" s="7" t="str">
        <f>IFERROR(__xludf.DUMMYFUNCTION("GoogleTranslate(C134, ""en"", ""ko"")"),"민감한 사람은 호흡기 증상이 나타날 수 있으므로 야외 활동을 피해야 합니다.")</f>
        <v>민감한 사람은 호흡기 증상이 나타날 수 있으므로 야외 활동을 피해야 합니다.</v>
      </c>
      <c r="AL134" s="7" t="str">
        <f>IFERROR(__xludf.DUMMYFUNCTION("GoogleTranslate(C134, ""en"", ""lo"")"),"ບຸກຄົນທີ່ມີຄວາມອ່ອນໄຫວຄວນຫຼີກລ່ຽງກິດຈະກໍາກາງແຈ້ງຍ້ອນວ່າເຂົາເຈົ້າອາດຈະມີອາການທາງເດີນຫາຍໃຈ.")</f>
        <v>ບຸກຄົນທີ່ມີຄວາມອ່ອນໄຫວຄວນຫຼີກລ່ຽງກິດຈະກໍາກາງແຈ້ງຍ້ອນວ່າເຂົາເຈົ້າອາດຈະມີອາການທາງເດີນຫາຍໃຈ.</v>
      </c>
      <c r="AM134" s="7" t="str">
        <f>IFERROR(__xludf.DUMMYFUNCTION("GoogleTranslate(C134, ""en"", ""lv"")"),"Jutīgām personām jāizvairās no āra aktivitātēm, jo ​​viņiem var rasties elpceļu simptomi.")</f>
        <v>Jutīgām personām jāizvairās no āra aktivitātēm, jo ​​viņiem var rasties elpceļu simptomi.</v>
      </c>
      <c r="AN134" s="7" t="str">
        <f>IFERROR(__xludf.DUMMYFUNCTION("GoogleTranslate(C134, ""en"", ""lt"")"),"Jautrūs asmenys turėtų vengti veiklos lauke, nes jiems gali pasireikšti kvėpavimo takų simptomai.")</f>
        <v>Jautrūs asmenys turėtų vengti veiklos lauke, nes jiems gali pasireikšti kvėpavimo takų simptomai.</v>
      </c>
      <c r="AO134" s="7" t="str">
        <f>IFERROR(__xludf.DUMMYFUNCTION("GoogleTranslate(C134, ""en"", ""mk"")"),"Чувствителните поединци треба да избегнуваат активности на отворено бидејќи може да доживеат респираторни симптоми.")</f>
        <v>Чувствителните поединци треба да избегнуваат активности на отворено бидејќи може да доживеат респираторни симптоми.</v>
      </c>
      <c r="AP134" s="7" t="str">
        <f>IFERROR(__xludf.DUMMYFUNCTION("GoogleTranslate(C134, ""en"", ""ms"")"),"Individu yang sensitif harus mengelakkan aktiviti luar kerana mereka mungkin mengalami simptom pernafasan.")</f>
        <v>Individu yang sensitif harus mengelakkan aktiviti luar kerana mereka mungkin mengalami simptom pernafasan.</v>
      </c>
      <c r="AQ134" s="7" t="str">
        <f>IFERROR(__xludf.DUMMYFUNCTION("GoogleTranslate(C134, ""en"", ""ml"")"),"സെൻസിറ്റീവായ വ്യക്തികൾ ബാഹ്യ പ്രവർത്തനങ്ങൾ ഒഴിവാക്കണം, കാരണം അവർക്ക് ശ്വസന ലക്ഷണങ്ങൾ അനുഭവപ്പെടാം.")</f>
        <v>സെൻസിറ്റീവായ വ്യക്തികൾ ബാഹ്യ പ്രവർത്തനങ്ങൾ ഒഴിവാക്കണം, കാരണം അവർക്ക് ശ്വസന ലക്ഷണങ്ങൾ അനുഭവപ്പെടാം.</v>
      </c>
      <c r="AR134" s="7" t="str">
        <f>IFERROR(__xludf.DUMMYFUNCTION("GoogleTranslate(C134, ""en"", ""mr"")"),"संवेदनशील व्यक्तींनी बाहेरील क्रियाकलाप टाळावे कारण त्यांना श्वासोच्छवासाची लक्षणे जाणवू शकतात.")</f>
        <v>संवेदनशील व्यक्तींनी बाहेरील क्रियाकलाप टाळावे कारण त्यांना श्वासोच्छवासाची लक्षणे जाणवू शकतात.</v>
      </c>
      <c r="AS134" s="7" t="str">
        <f>IFERROR(__xludf.DUMMYFUNCTION("GoogleTranslate(C134, ""en"", ""mn"")"),"Амьсгалын замын шинж тэмдэг илэрч болзошгүй тул эмзэг мэдрэмтгий хүмүүс гадаа ажиллахаас зайлсхийх хэрэгтэй.")</f>
        <v>Амьсгалын замын шинж тэмдэг илэрч болзошгүй тул эмзэг мэдрэмтгий хүмүүс гадаа ажиллахаас зайлсхийх хэрэгтэй.</v>
      </c>
      <c r="AT134" s="7" t="str">
        <f>IFERROR(__xludf.DUMMYFUNCTION("GoogleTranslate(C134, ""en"", ""ne"")"),"संवेदनशील व्यक्तिहरूले बाहिरी गतिविधिबाट टाढा रहनुपर्छ किनभने उनीहरूले श्वासप्रश्वासको लक्षणहरू अनुभव गर्न सक्छन्।")</f>
        <v>संवेदनशील व्यक्तिहरूले बाहिरी गतिविधिबाट टाढा रहनुपर्छ किनभने उनीहरूले श्वासप्रश्वासको लक्षणहरू अनुभव गर्न सक्छन्।</v>
      </c>
      <c r="AU134" s="7" t="str">
        <f>IFERROR(__xludf.DUMMYFUNCTION("GoogleTranslate(C134, ""en"", ""nb"")"),"Sensitive individer bør unngå utendørsaktivitet da de kan oppleve luftveissymptomer.")</f>
        <v>Sensitive individer bør unngå utendørsaktivitet da de kan oppleve luftveissymptomer.</v>
      </c>
      <c r="AV134" s="7" t="str">
        <f>IFERROR(__xludf.DUMMYFUNCTION("GoogleTranslate(C134, ""en"", ""fa"")"),"افراد حساس باید از فعالیت در فضای باز خودداری کنند زیرا ممکن است علائم تنفسی را تجربه کنند.")</f>
        <v>افراد حساس باید از فعالیت در فضای باز خودداری کنند زیرا ممکن است علائم تنفسی را تجربه کنند.</v>
      </c>
      <c r="AW134" s="7" t="str">
        <f>IFERROR(__xludf.DUMMYFUNCTION("GoogleTranslate(C134, ""en"", ""pl"")"),"Osoby wrażliwe powinny unikać aktywności na świeżym powietrzu, gdyż mogą wystąpić u nich objawy ze strony układu oddechowego.")</f>
        <v>Osoby wrażliwe powinny unikać aktywności na świeżym powietrzu, gdyż mogą wystąpić u nich objawy ze strony układu oddechowego.</v>
      </c>
      <c r="AX134" s="7" t="str">
        <f>IFERROR(__xludf.DUMMYFUNCTION("GoogleTranslate(C134, ""en"", ""pt"")"),"Indivíduos sensíveis devem evitar atividades ao ar livre, pois podem apresentar sintomas respiratórios.")</f>
        <v>Indivíduos sensíveis devem evitar atividades ao ar livre, pois podem apresentar sintomas respiratórios.</v>
      </c>
      <c r="AY134" s="7" t="str">
        <f>IFERROR(__xludf.DUMMYFUNCTION("GoogleTranslate(C134, ""en"", ""ro"")"),"Persoanele sensibile ar trebui să evite activitățile în aer liber, deoarece pot prezenta simptome respiratorii.")</f>
        <v>Persoanele sensibile ar trebui să evite activitățile în aer liber, deoarece pot prezenta simptome respiratorii.</v>
      </c>
      <c r="AZ134" s="7" t="str">
        <f>IFERROR(__xludf.DUMMYFUNCTION("GoogleTranslate(C134, ""en"", ""ru"")"),"Чувствительным людям следует избегать активного отдыха, поскольку у них могут возникнуть респираторные симптомы.")</f>
        <v>Чувствительным людям следует избегать активного отдыха, поскольку у них могут возникнуть респираторные симптомы.</v>
      </c>
      <c r="BA134" s="7" t="str">
        <f>IFERROR(__xludf.DUMMYFUNCTION("GoogleTranslate(C134, ""en"", ""sr"")"),"Осетљиве особе треба да избегавају активности на отвореном јер могу искусити респираторне симптоме.")</f>
        <v>Осетљиве особе треба да избегавају активности на отвореном јер могу искусити респираторне симптоме.</v>
      </c>
      <c r="BB134" s="7" t="str">
        <f>IFERROR(__xludf.DUMMYFUNCTION("GoogleTranslate(C134, ""en"", ""si"")"),"ශ්වසන රෝග ලක්ෂණ අත්විඳිය හැකි බැවින් සංවේදී පුද්ගලයින් එළිමහන් ක්‍රියාකාරකම් වලින් වැළකී සිටිය යුතුය.")</f>
        <v>ශ්වසන රෝග ලක්ෂණ අත්විඳිය හැකි බැවින් සංවේදී පුද්ගලයින් එළිමහන් ක්‍රියාකාරකම් වලින් වැළකී සිටිය යුතුය.</v>
      </c>
      <c r="BC134" s="7" t="str">
        <f>IFERROR(__xludf.DUMMYFUNCTION("GoogleTranslate(C134, ""en"", ""sk"")"),"Citliví jedinci by sa mali vyhýbať vonkajším aktivitám, pretože môžu pociťovať respiračné symptómy.")</f>
        <v>Citliví jedinci by sa mali vyhýbať vonkajším aktivitám, pretože môžu pociťovať respiračné symptómy.</v>
      </c>
      <c r="BD134" s="7" t="str">
        <f>IFERROR(__xludf.DUMMYFUNCTION("GoogleTranslate(C134, ""en"", ""sl"")"),"Občutljivi posamezniki naj se izogibajo dejavnostim na prostem, saj lahko doživijo respiratorne simptome.")</f>
        <v>Občutljivi posamezniki naj se izogibajo dejavnostim na prostem, saj lahko doživijo respiratorne simptome.</v>
      </c>
      <c r="BE134" s="7" t="str">
        <f>IFERROR(__xludf.DUMMYFUNCTION("GoogleTranslate(C134, ""en"", ""es"")"),"Las personas sensibles deben evitar las actividades al aire libre ya que pueden experimentar síntomas respiratorios.")</f>
        <v>Las personas sensibles deben evitar las actividades al aire libre ya que pueden experimentar síntomas respiratorios.</v>
      </c>
      <c r="BF134" s="7" t="str">
        <f>IFERROR(__xludf.DUMMYFUNCTION("GoogleTranslate(C134, ""en"", ""sw"")"),"Watu nyeti wanapaswa kuepuka shughuli za nje kwa sababu wanaweza kupata dalili za kupumua.")</f>
        <v>Watu nyeti wanapaswa kuepuka shughuli za nje kwa sababu wanaweza kupata dalili za kupumua.</v>
      </c>
      <c r="BG134" s="7" t="str">
        <f>IFERROR(__xludf.DUMMYFUNCTION("GoogleTranslate(C134, ""en"", ""sv"")"),"Känsliga individer bör undvika utomhusaktiviteter eftersom de kan uppleva andningssymtom.")</f>
        <v>Känsliga individer bör undvika utomhusaktiviteter eftersom de kan uppleva andningssymtom.</v>
      </c>
      <c r="BH134" s="7" t="str">
        <f>IFERROR(__xludf.DUMMYFUNCTION("GoogleTranslate(C134, ""en"", ""te"")"),"సున్నితమైన వ్యక్తులు శ్వాసకోశ లక్షణాలను అనుభవించే అవకాశం ఉన్నందున బహిరంగ కార్యకలాపాలకు దూరంగా ఉండాలి.")</f>
        <v>సున్నితమైన వ్యక్తులు శ్వాసకోశ లక్షణాలను అనుభవించే అవకాశం ఉన్నందున బహిరంగ కార్యకలాపాలకు దూరంగా ఉండాలి.</v>
      </c>
      <c r="BI134" s="7" t="str">
        <f>IFERROR(__xludf.DUMMYFUNCTION("GoogleTranslate(C134, ""en"", ""th"")"),"บุคคลที่มีความรู้สึกไวควรหลีกเลี่ยงกิจกรรมกลางแจ้ง เนื่องจากอาจมีอาการทางระบบทางเดินหายใจ")</f>
        <v>บุคคลที่มีความรู้สึกไวควรหลีกเลี่ยงกิจกรรมกลางแจ้ง เนื่องจากอาจมีอาการทางระบบทางเดินหายใจ</v>
      </c>
      <c r="BJ134" s="7" t="str">
        <f>IFERROR(__xludf.DUMMYFUNCTION("GoogleTranslate(C134, ""en"", ""tr"")"),"Solunum semptomları yaşayabileceği için hassas kişiler açık hava aktivitelerinden kaçınmalıdır.")</f>
        <v>Solunum semptomları yaşayabileceği için hassas kişiler açık hava aktivitelerinden kaçınmalıdır.</v>
      </c>
      <c r="BK134" s="7" t="str">
        <f>IFERROR(__xludf.DUMMYFUNCTION("GoogleTranslate(C134, ""en"", ""uk"")"),"Чутливі особи повинні уникати діяльності на свіжому повітрі, оскільки вони можуть відчувати респіраторні симптоми.")</f>
        <v>Чутливі особи повинні уникати діяльності на свіжому повітрі, оскільки вони можуть відчувати респіраторні симптоми.</v>
      </c>
      <c r="BL134" s="7" t="str">
        <f>IFERROR(__xludf.DUMMYFUNCTION("GoogleTranslate(C134, ""en"", ""zu"")"),"Abantu abazwelayo kufanele bagweme umsebenzi wangaphandle njengoba bangase babe nezimpawu zokuphefumula.")</f>
        <v>Abantu abazwelayo kufanele bagweme umsebenzi wangaphandle njengoba bangase babe nezimpawu zokuphefumula.</v>
      </c>
    </row>
    <row r="135">
      <c r="A135" s="5" t="str">
        <f t="shared" si="1"/>
        <v>General_public_and_sensitive_individuals_in_particular_are_at_risk_to_experience_irritation_and_respiratory_problems.</v>
      </c>
      <c r="B135" s="6" t="s">
        <v>191</v>
      </c>
      <c r="C135" s="5" t="str">
        <f t="shared" si="2"/>
        <v>General public and sensitive individuals in particular are at risk to experience irritation and respiratory problems.</v>
      </c>
      <c r="D135" s="7" t="str">
        <f>IFERROR(__xludf.DUMMYFUNCTION("GoogleTranslate(C135, ""en"", ""es"")"),"El público en general y las personas sensibles en particular corren el riesgo de sufrir irritaciones y problemas respiratorios.")</f>
        <v>El público en general y las personas sensibles en particular corren el riesgo de sufrir irritaciones y problemas respiratorios.</v>
      </c>
      <c r="E135" s="7" t="str">
        <f>IFERROR(__xludf.DUMMYFUNCTION("GoogleTranslate(C135, ""en"", ""ar"")"),"يتعرض عامة الناس والأفراد الحساسون بشكل خاص لخطر الإصابة بالتهيج ومشاكل في الجهاز التنفسي.")</f>
        <v>يتعرض عامة الناس والأفراد الحساسون بشكل خاص لخطر الإصابة بالتهيج ومشاكل في الجهاز التنفسي.</v>
      </c>
      <c r="F135" s="7" t="str">
        <f>IFERROR(__xludf.DUMMYFUNCTION("GoogleTranslate(C135, ""en"", ""hy"")"),"Հասարակությունը և հատկապես զգայուն անհատները գրգռվածության և շնչառական խնդիրների վտանգի տակ են:")</f>
        <v>Հասարակությունը և հատկապես զգայուն անհատները գրգռվածության և շնչառական խնդիրների վտանգի տակ են:</v>
      </c>
      <c r="G135" s="7" t="str">
        <f>IFERROR(__xludf.DUMMYFUNCTION("GoogleTranslate(C135, ""en"", ""vi"")"),"Công chúng nói chung và những người nhạy cảm nói riêng có nguy cơ bị kích ứng và các vấn đề về hô hấp.")</f>
        <v>Công chúng nói chung và những người nhạy cảm nói riêng có nguy cơ bị kích ứng và các vấn đề về hô hấp.</v>
      </c>
      <c r="H135" s="7" t="str">
        <f>IFERROR(__xludf.DUMMYFUNCTION("GoogleTranslate(C135, ""en"", ""az"")"),"Ümumi ictimaiyyət və xüsusilə həssas şəxslər qıcıqlanma və tənəffüs problemləri yaşamaq riski altındadır.")</f>
        <v>Ümumi ictimaiyyət və xüsusilə həssas şəxslər qıcıqlanma və tənəffüs problemləri yaşamaq riski altındadır.</v>
      </c>
      <c r="I135" s="7" t="str">
        <f>IFERROR(__xludf.DUMMYFUNCTION("GoogleTranslate(C135, ""en"", ""eu"")"),"Publiko orokorrak eta pertsona sentikorrak bereziki narritadura eta arnas arazoak izateko arriskua dute.")</f>
        <v>Publiko orokorrak eta pertsona sentikorrak bereziki narritadura eta arnas arazoak izateko arriskua dute.</v>
      </c>
      <c r="J135" s="7" t="str">
        <f>IFERROR(__xludf.DUMMYFUNCTION("GoogleTranslate(C135, ""en"", ""be"")"),"Шырокая грамадскасць і асабліва адчувальныя людзі схільныя рызыцы раздражнення і праблем з дыханнем.")</f>
        <v>Шырокая грамадскасць і асабліва адчувальныя людзі схільныя рызыцы раздражнення і праблем з дыханнем.</v>
      </c>
      <c r="K135" s="7" t="str">
        <f>IFERROR(__xludf.DUMMYFUNCTION("GoogleTranslate(C135, ""en"", ""bn"")"),"সাধারণ জনগণ এবং বিশেষ করে সংবেদনশীল ব্যক্তিরা জ্বালা এবং শ্বাসকষ্টের সম্মুখীন হওয়ার ঝুঁকিতে থাকে।")</f>
        <v>সাধারণ জনগণ এবং বিশেষ করে সংবেদনশীল ব্যক্তিরা জ্বালা এবং শ্বাসকষ্টের সম্মুখীন হওয়ার ঝুঁকিতে থাকে।</v>
      </c>
      <c r="L135" s="7" t="str">
        <f>IFERROR(__xludf.DUMMYFUNCTION("GoogleTranslate(C135, ""en"", ""bg"")"),"Широката общественост и по-специално чувствителните хора са изложени на риск от дразнене и респираторни проблеми.")</f>
        <v>Широката общественост и по-специално чувствителните хора са изложени на риск от дразнене и респираторни проблеми.</v>
      </c>
      <c r="M135" s="7" t="str">
        <f>IFERROR(__xludf.DUMMYFUNCTION("GoogleTranslate(C135, ""en"", ""my"")"),"အထူးသဖြင့် အများသူငှာနှင့် ထိခိုက်လွယ်သူများသည် ယားယံခြင်းနှင့် အသက်ရှူလမ်းကြောင်းဆိုင်ရာ ပြဿနာများကို ကြုံတွေ့ရနိုင်ခြေရှိသည်။")</f>
        <v>အထူးသဖြင့် အများသူငှာနှင့် ထိခိုက်လွယ်သူများသည် ယားယံခြင်းနှင့် အသက်ရှူလမ်းကြောင်းဆိုင်ရာ ပြဿနာများကို ကြုံတွေ့ရနိုင်ခြေရှိသည်။</v>
      </c>
      <c r="N135" s="7" t="str">
        <f>IFERROR(__xludf.DUMMYFUNCTION("GoogleTranslate(C135, ""en"", ""ca"")"),"El públic en general i les persones sensibles en particular corren el risc de patir irritació i problemes respiratoris.")</f>
        <v>El públic en general i les persones sensibles en particular corren el risc de patir irritació i problemes respiratoris.</v>
      </c>
      <c r="O135" s="7" t="str">
        <f>IFERROR(__xludf.DUMMYFUNCTION("GoogleTranslate(C135, ""en"", ""zh-cn"")"),"普通公众和敏感人群尤其有遭受刺激和呼吸系统问题的风险。")</f>
        <v>普通公众和敏感人群尤其有遭受刺激和呼吸系统问题的风险。</v>
      </c>
      <c r="P135" s="7" t="str">
        <f>IFERROR(__xludf.DUMMYFUNCTION("GoogleTranslate(C135, ""en"", ""zh-TW"")"),"一般大眾和敏感族群尤其有遭受刺激和呼吸問題的風險。")</f>
        <v>一般大眾和敏感族群尤其有遭受刺激和呼吸問題的風險。</v>
      </c>
      <c r="Q135" s="7" t="str">
        <f>IFERROR(__xludf.DUMMYFUNCTION("GoogleTranslate(C135, ""en"", ""hr"")"),"Opća javnost i osjetljivi pojedinci posebno su u opasnosti od iritacije i respiratornih problema.")</f>
        <v>Opća javnost i osjetljivi pojedinci posebno su u opasnosti od iritacije i respiratornih problema.</v>
      </c>
      <c r="R135" s="7" t="str">
        <f>IFERROR(__xludf.DUMMYFUNCTION("GoogleTranslate(C135, ""en"", ""cs"")"),"Široká veřejnost a zvláště citliví jedinci jsou ohroženi podrážděním a dýchacími potížemi.")</f>
        <v>Široká veřejnost a zvláště citliví jedinci jsou ohroženi podrážděním a dýchacími potížemi.</v>
      </c>
      <c r="S135" s="7" t="str">
        <f>IFERROR(__xludf.DUMMYFUNCTION("GoogleTranslate(C135, ""en"", ""da"")"),"Den almindelige offentlighed og især sensitive personer er i fare for at opleve irritation og luftvejsproblemer.")</f>
        <v>Den almindelige offentlighed og især sensitive personer er i fare for at opleve irritation og luftvejsproblemer.</v>
      </c>
      <c r="T135" s="7" t="str">
        <f>IFERROR(__xludf.DUMMYFUNCTION("GoogleTranslate(C135, ""en"", ""nl"")"),"Vooral het grote publiek en gevoelige personen lopen het risico op irritatie en ademhalingsproblemen.")</f>
        <v>Vooral het grote publiek en gevoelige personen lopen het risico op irritatie en ademhalingsproblemen.</v>
      </c>
      <c r="U135" s="7" t="str">
        <f>IFERROR(__xludf.DUMMYFUNCTION("GoogleTranslate(C135, ""en"", ""et"")"),"Eriti suur avalikkus ja tundlikel inimestel on oht ärrituse ja hingamisteede probleemide tekkeks.")</f>
        <v>Eriti suur avalikkus ja tundlikel inimestel on oht ärrituse ja hingamisteede probleemide tekkeks.</v>
      </c>
      <c r="V135" s="5" t="str">
        <f t="shared" si="3"/>
        <v>General public and sensitive individuals in particular are at risk to experience irritation and respiratory problems.</v>
      </c>
      <c r="W135" s="7" t="str">
        <f>IFERROR(__xludf.DUMMYFUNCTION("GoogleTranslate(C135, ""en"", ""fi"")"),"Erityisesti suuret yleisöt ja herkät henkilöt ovat vaarassa kokea ärsytystä ja hengitysvaikeuksia.")</f>
        <v>Erityisesti suuret yleisöt ja herkät henkilöt ovat vaarassa kokea ärsytystä ja hengitysvaikeuksia.</v>
      </c>
      <c r="X135" s="7" t="str">
        <f>IFERROR(__xludf.DUMMYFUNCTION("GoogleTranslate(C135, ""en"", ""fr"")"),"Le grand public et les personnes sensibles en particulier risquent de ressentir des irritations et des problèmes respiratoires.")</f>
        <v>Le grand public et les personnes sensibles en particulier risquent de ressentir des irritations et des problèmes respiratoires.</v>
      </c>
      <c r="Y135" s="7" t="str">
        <f>IFERROR(__xludf.DUMMYFUNCTION("GoogleTranslate(C135, ""en"", ""de"")"),"Insbesondere die breite Öffentlichkeit und empfindliche Personen sind gefährdet, Reizungen und Atemwegsbeschwerden zu erleiden.")</f>
        <v>Insbesondere die breite Öffentlichkeit und empfindliche Personen sind gefährdet, Reizungen und Atemwegsbeschwerden zu erleiden.</v>
      </c>
      <c r="Z135" s="7" t="str">
        <f>IFERROR(__xludf.DUMMYFUNCTION("GoogleTranslate(C135, ""en"", ""el"")"),"Το ευρύ κοινό και ιδιαίτερα τα ευαίσθητα άτομα κινδυνεύουν να εμφανίσουν ερεθισμό και αναπνευστικά προβλήματα.")</f>
        <v>Το ευρύ κοινό και ιδιαίτερα τα ευαίσθητα άτομα κινδυνεύουν να εμφανίσουν ερεθισμό και αναπνευστικά προβλήματα.</v>
      </c>
      <c r="AA135" s="7" t="str">
        <f>IFERROR(__xludf.DUMMYFUNCTION("GoogleTranslate(C135, ""en"", ""iw"")"),"הציבור הרחב ואנשים רגישים בפרט נמצאים בסיכון לחוות גירוי ובעיות נשימה.")</f>
        <v>הציבור הרחב ואנשים רגישים בפרט נמצאים בסיכון לחוות גירוי ובעיות נשימה.</v>
      </c>
      <c r="AB135" s="7" t="str">
        <f>IFERROR(__xludf.DUMMYFUNCTION("GoogleTranslate(C135, ""en"", ""hi"")"),"आम जनता और विशेष रूप से संवेदनशील व्यक्तियों को जलन और श्वसन संबंधी समस्याओं का अनुभव होने का खतरा होता है।")</f>
        <v>आम जनता और विशेष रूप से संवेदनशील व्यक्तियों को जलन और श्वसन संबंधी समस्याओं का अनुभव होने का खतरा होता है।</v>
      </c>
      <c r="AC135" s="7" t="str">
        <f>IFERROR(__xludf.DUMMYFUNCTION("GoogleTranslate(C135, ""en"", ""hu"")"),"Különösen a lakosság és az érzékeny egyének vannak kitéve az irritáció és a légzési problémák kockázatának.")</f>
        <v>Különösen a lakosság és az érzékeny egyének vannak kitéve az irritáció és a légzési problémák kockázatának.</v>
      </c>
      <c r="AD135" s="7" t="str">
        <f>IFERROR(__xludf.DUMMYFUNCTION("GoogleTranslate(C135, ""en"", ""is"")"),"Almenningur og sérstaklega viðkvæmir einstaklingar eiga á hættu að upplifa ertingu og öndunarerfiðleika.")</f>
        <v>Almenningur og sérstaklega viðkvæmir einstaklingar eiga á hættu að upplifa ertingu og öndunarerfiðleika.</v>
      </c>
      <c r="AE135" s="7" t="str">
        <f>IFERROR(__xludf.DUMMYFUNCTION("GoogleTranslate(C135, ""en"", ""id"")"),"Masyarakat umum dan individu yang sensitif pada khususnya berisiko mengalami iritasi dan gangguan pernafasan.")</f>
        <v>Masyarakat umum dan individu yang sensitif pada khususnya berisiko mengalami iritasi dan gangguan pernafasan.</v>
      </c>
      <c r="AF135" s="7" t="str">
        <f>IFERROR(__xludf.DUMMYFUNCTION("GoogleTranslate(C135, ""en"", ""in"")"),"Masyarakat umum dan individu yang sensitif pada khususnya berisiko mengalami iritasi dan gangguan pernafasan.")</f>
        <v>Masyarakat umum dan individu yang sensitif pada khususnya berisiko mengalami iritasi dan gangguan pernafasan.</v>
      </c>
      <c r="AG135" s="7" t="str">
        <f>IFERROR(__xludf.DUMMYFUNCTION("GoogleTranslate(C135, ""en"", ""it"")"),"Il pubblico in generale e le persone sensibili in particolare corrono il rischio di manifestare irritazioni e problemi respiratori.")</f>
        <v>Il pubblico in generale e le persone sensibili in particolare corrono il rischio di manifestare irritazioni e problemi respiratori.</v>
      </c>
      <c r="AH135" s="7" t="str">
        <f>IFERROR(__xludf.DUMMYFUNCTION("GoogleTranslate(C135, ""en"", ""ja"")"),"一般の人や敏感な人は特に、刺激や呼吸器系の問題を経験する危険があります。")</f>
        <v>一般の人や敏感な人は特に、刺激や呼吸器系の問題を経験する危険があります。</v>
      </c>
      <c r="AI135" s="7" t="str">
        <f>IFERROR(__xludf.DUMMYFUNCTION("GoogleTranslate(C135, ""en"", ""kn"")"),"ಸಾಮಾನ್ಯ ಜನರು ಮತ್ತು ವಿಶೇಷವಾಗಿ ಸೂಕ್ಷ್ಮ ವ್ಯಕ್ತಿಗಳು ಕಿರಿಕಿರಿ ಮತ್ತು ಉಸಿರಾಟದ ಸಮಸ್ಯೆಗಳನ್ನು ಅನುಭವಿಸುವ ಅಪಾಯವನ್ನು ಹೊಂದಿರುತ್ತಾರೆ.")</f>
        <v>ಸಾಮಾನ್ಯ ಜನರು ಮತ್ತು ವಿಶೇಷವಾಗಿ ಸೂಕ್ಷ್ಮ ವ್ಯಕ್ತಿಗಳು ಕಿರಿಕಿರಿ ಮತ್ತು ಉಸಿರಾಟದ ಸಮಸ್ಯೆಗಳನ್ನು ಅನುಭವಿಸುವ ಅಪಾಯವನ್ನು ಹೊಂದಿರುತ್ತಾರೆ.</v>
      </c>
      <c r="AJ135" s="7" t="str">
        <f>IFERROR(__xludf.DUMMYFUNCTION("GoogleTranslate(C135, ""en"", ""km"")"),"សាធារណជនទូទៅ និងបុគ្គលដែលងាយរងគ្រោះ ជាពិសេសគឺប្រឈមនឹងហានិភ័យនៃការរលាក និងបញ្ហាផ្លូវដង្ហើម។")</f>
        <v>សាធារណជនទូទៅ និងបុគ្គលដែលងាយរងគ្រោះ ជាពិសេសគឺប្រឈមនឹងហានិភ័យនៃការរលាក និងបញ្ហាផ្លូវដង្ហើម។</v>
      </c>
      <c r="AK135" s="7" t="str">
        <f>IFERROR(__xludf.DUMMYFUNCTION("GoogleTranslate(C135, ""en"", ""ko"")"),"특히 일반 대중과 민감한 개인은 자극과 호흡기 문제를 경험할 위험이 있습니다.")</f>
        <v>특히 일반 대중과 민감한 개인은 자극과 호흡기 문제를 경험할 위험이 있습니다.</v>
      </c>
      <c r="AL135" s="7" t="str">
        <f>IFERROR(__xludf.DUMMYFUNCTION("GoogleTranslate(C135, ""en"", ""lo"")"),"ໂດຍສະເພາະປະຊາຊົນທົ່ວໄປ ແລະບຸກຄົນທີ່ມີຄວາມອ່ອນໄຫວແມ່ນມີຄວາມສ່ຽງທີ່ຈະມີອາການລະຄາຍເຄືອງ ແລະບັນຫາລະບົບຫາຍໃຈ.")</f>
        <v>ໂດຍສະເພາະປະຊາຊົນທົ່ວໄປ ແລະບຸກຄົນທີ່ມີຄວາມອ່ອນໄຫວແມ່ນມີຄວາມສ່ຽງທີ່ຈະມີອາການລະຄາຍເຄືອງ ແລະບັນຫາລະບົບຫາຍໃຈ.</v>
      </c>
      <c r="AM135" s="7" t="str">
        <f>IFERROR(__xludf.DUMMYFUNCTION("GoogleTranslate(C135, ""en"", ""lv"")"),"Jo īpaši plašai sabiedrībai un jutīgām personām ir risks saskarties ar kairinājumu un elpošanas problēmām.")</f>
        <v>Jo īpaši plašai sabiedrībai un jutīgām personām ir risks saskarties ar kairinājumu un elpošanas problēmām.</v>
      </c>
      <c r="AN135" s="7" t="str">
        <f>IFERROR(__xludf.DUMMYFUNCTION("GoogleTranslate(C135, ""en"", ""lt"")"),"Visuomenei ir jautriems asmenims gresia dirginimas ir kvėpavimo sutrikimai.")</f>
        <v>Visuomenei ir jautriems asmenims gresia dirginimas ir kvėpavimo sutrikimai.</v>
      </c>
      <c r="AO135" s="7" t="str">
        <f>IFERROR(__xludf.DUMMYFUNCTION("GoogleTranslate(C135, ""en"", ""mk"")"),"Општата јавност и особено чувствителните поединци се изложени на ризик да доживеат иритација и респираторни проблеми.")</f>
        <v>Општата јавност и особено чувствителните поединци се изложени на ризик да доживеат иритација и респираторни проблеми.</v>
      </c>
      <c r="AP135" s="7" t="str">
        <f>IFERROR(__xludf.DUMMYFUNCTION("GoogleTranslate(C135, ""en"", ""ms"")"),"Orang awam dan individu sensitif khususnya berisiko mengalami kerengsaan dan masalah pernafasan.")</f>
        <v>Orang awam dan individu sensitif khususnya berisiko mengalami kerengsaan dan masalah pernafasan.</v>
      </c>
      <c r="AQ135" s="7" t="str">
        <f>IFERROR(__xludf.DUMMYFUNCTION("GoogleTranslate(C135, ""en"", ""ml"")"),"പൊതുജനങ്ങൾക്കും പ്രത്യേകിച്ച് സെൻസിറ്റീവ് വ്യക്തികൾക്കും പ്രകോപിപ്പിക്കലും ശ്വസന പ്രശ്നങ്ങളും ഉണ്ടാകാനുള്ള സാധ്യതയുണ്ട്.")</f>
        <v>പൊതുജനങ്ങൾക്കും പ്രത്യേകിച്ച് സെൻസിറ്റീവ് വ്യക്തികൾക്കും പ്രകോപിപ്പിക്കലും ശ്വസന പ്രശ്നങ്ങളും ഉണ്ടാകാനുള്ള സാധ്യതയുണ്ട്.</v>
      </c>
      <c r="AR135" s="7" t="str">
        <f>IFERROR(__xludf.DUMMYFUNCTION("GoogleTranslate(C135, ""en"", ""mr"")"),"सामान्य लोक आणि विशेषतः संवेदनशील व्यक्तींना चिडचिड आणि श्वासोच्छवासाच्या समस्या अनुभवण्याचा धोका असतो.")</f>
        <v>सामान्य लोक आणि विशेषतः संवेदनशील व्यक्तींना चिडचिड आणि श्वासोच्छवासाच्या समस्या अनुभवण्याचा धोका असतो.</v>
      </c>
      <c r="AS135" s="7" t="str">
        <f>IFERROR(__xludf.DUMMYFUNCTION("GoogleTranslate(C135, ""en"", ""mn"")"),"Олон нийт, ялангуяа мэдрэмтгий хүмүүс цочрол, амьсгалын замын асуудалд өртөх эрсдэлтэй байдаг.")</f>
        <v>Олон нийт, ялангуяа мэдрэмтгий хүмүүс цочрол, амьсгалын замын асуудалд өртөх эрсдэлтэй байдаг.</v>
      </c>
      <c r="AT135" s="7" t="str">
        <f>IFERROR(__xludf.DUMMYFUNCTION("GoogleTranslate(C135, ""en"", ""ne"")"),"सामान्य जनता र विशेष गरी संवेदनशील व्यक्तिहरू जलन र श्वासप्रश्वास समस्या अनुभव गर्ने जोखिममा छन्।")</f>
        <v>सामान्य जनता र विशेष गरी संवेदनशील व्यक्तिहरू जलन र श्वासप्रश्वास समस्या अनुभव गर्ने जोखिममा छन्।</v>
      </c>
      <c r="AU135" s="7" t="str">
        <f>IFERROR(__xludf.DUMMYFUNCTION("GoogleTranslate(C135, ""en"", ""nb"")"),"Allmennheten og spesielt sensitive individer er i faresonen for å oppleve irritasjon og luftveisproblemer.")</f>
        <v>Allmennheten og spesielt sensitive individer er i faresonen for å oppleve irritasjon og luftveisproblemer.</v>
      </c>
      <c r="AV135" s="7" t="str">
        <f>IFERROR(__xludf.DUMMYFUNCTION("GoogleTranslate(C135, ""en"", ""fa"")"),"عموم مردم و افراد حساس به ویژه در معرض خطر تحریک و مشکلات تنفسی هستند.")</f>
        <v>عموم مردم و افراد حساس به ویژه در معرض خطر تحریک و مشکلات تنفسی هستند.</v>
      </c>
      <c r="AW135" s="7" t="str">
        <f>IFERROR(__xludf.DUMMYFUNCTION("GoogleTranslate(C135, ""en"", ""pl"")"),"W szczególności ogół społeczeństwa i osoby wrażliwe są narażone na ryzyko podrażnienia i problemów z oddychaniem.")</f>
        <v>W szczególności ogół społeczeństwa i osoby wrażliwe są narażone na ryzyko podrażnienia i problemów z oddychaniem.</v>
      </c>
      <c r="AX135" s="7" t="str">
        <f>IFERROR(__xludf.DUMMYFUNCTION("GoogleTranslate(C135, ""en"", ""pt"")"),"O público em geral e os indivíduos sensíveis em particular correm o risco de sofrer irritações e problemas respiratórios.")</f>
        <v>O público em geral e os indivíduos sensíveis em particular correm o risco de sofrer irritações e problemas respiratórios.</v>
      </c>
      <c r="AY135" s="7" t="str">
        <f>IFERROR(__xludf.DUMMYFUNCTION("GoogleTranslate(C135, ""en"", ""ro"")"),"Publicul larg și persoanele sensibile în special sunt expuse riscului de a experimenta iritații și probleme respiratorii.")</f>
        <v>Publicul larg și persoanele sensibile în special sunt expuse riscului de a experimenta iritații și probleme respiratorii.</v>
      </c>
      <c r="AZ135" s="7" t="str">
        <f>IFERROR(__xludf.DUMMYFUNCTION("GoogleTranslate(C135, ""en"", ""ru"")"),"Широкая общественность и особенно чувствительные люди подвержены риску раздражения и проблем с дыханием.")</f>
        <v>Широкая общественность и особенно чувствительные люди подвержены риску раздражения и проблем с дыханием.</v>
      </c>
      <c r="BA135" s="7" t="str">
        <f>IFERROR(__xludf.DUMMYFUNCTION("GoogleTranslate(C135, ""en"", ""sr"")"),"Шира јавност и осетљиви појединци посебно су изложени ризику од иритације и респираторних проблема.")</f>
        <v>Шира јавност и осетљиви појединци посебно су изложени ризику од иритације и респираторних проблема.</v>
      </c>
      <c r="BB135" s="7" t="str">
        <f>IFERROR(__xludf.DUMMYFUNCTION("GoogleTranslate(C135, ""en"", ""si"")"),"සාමාන්‍ය ජනතාව සහ විශේෂයෙන් සංවේදී පුද්ගලයින් කෝපයක් සහ ශ්වසන ගැටළු අත්විඳීමේ අවදානමක් ඇත.")</f>
        <v>සාමාන්‍ය ජනතාව සහ විශේෂයෙන් සංවේදී පුද්ගලයින් කෝපයක් සහ ශ්වසන ගැටළු අත්විඳීමේ අවදානමක් ඇත.</v>
      </c>
      <c r="BC135" s="7" t="str">
        <f>IFERROR(__xludf.DUMMYFUNCTION("GoogleTranslate(C135, ""en"", ""sk"")"),"Široká verejnosť a najmä citliví jedinci sú vystavení riziku podráždenia a respiračných problémov.")</f>
        <v>Široká verejnosť a najmä citliví jedinci sú vystavení riziku podráždenia a respiračných problémov.</v>
      </c>
      <c r="BD135" s="7" t="str">
        <f>IFERROR(__xludf.DUMMYFUNCTION("GoogleTranslate(C135, ""en"", ""sl"")"),"Splošna javnost in občutljivi posamezniki so še posebej izpostavljeni tveganju draženja in težav z dihanjem.")</f>
        <v>Splošna javnost in občutljivi posamezniki so še posebej izpostavljeni tveganju draženja in težav z dihanjem.</v>
      </c>
      <c r="BE135" s="7" t="str">
        <f>IFERROR(__xludf.DUMMYFUNCTION("GoogleTranslate(C135, ""en"", ""es"")"),"El público en general y las personas sensibles en particular corren el riesgo de sufrir irritaciones y problemas respiratorios.")</f>
        <v>El público en general y las personas sensibles en particular corren el riesgo de sufrir irritaciones y problemas respiratorios.</v>
      </c>
      <c r="BF135" s="7" t="str">
        <f>IFERROR(__xludf.DUMMYFUNCTION("GoogleTranslate(C135, ""en"", ""sw"")"),"Watu binafsi kwa ujumla na nyeti hasa wako katika hatari ya kupata muwasho na matatizo ya kupumua.")</f>
        <v>Watu binafsi kwa ujumla na nyeti hasa wako katika hatari ya kupata muwasho na matatizo ya kupumua.</v>
      </c>
      <c r="BG135" s="7" t="str">
        <f>IFERROR(__xludf.DUMMYFUNCTION("GoogleTranslate(C135, ""en"", ""sv"")"),"Allmänheten och särskilt känsliga individer riskerar att uppleva irritation och andningsproblem.")</f>
        <v>Allmänheten och särskilt känsliga individer riskerar att uppleva irritation och andningsproblem.</v>
      </c>
      <c r="BH135" s="7" t="str">
        <f>IFERROR(__xludf.DUMMYFUNCTION("GoogleTranslate(C135, ""en"", ""te"")"),"సాధారణ ప్రజలు మరియు ముఖ్యంగా సున్నితమైన వ్యక్తులు చికాకు మరియు శ్వాసకోశ సమస్యలను ఎదుర్కొనే ప్రమాదం ఉంది.")</f>
        <v>సాధారణ ప్రజలు మరియు ముఖ్యంగా సున్నితమైన వ్యక్తులు చికాకు మరియు శ్వాసకోశ సమస్యలను ఎదుర్కొనే ప్రమాదం ఉంది.</v>
      </c>
      <c r="BI135" s="7" t="str">
        <f>IFERROR(__xludf.DUMMYFUNCTION("GoogleTranslate(C135, ""en"", ""th"")"),"ประชาชนทั่วไปและบุคคลที่มีความละเอียดอ่อนโดยเฉพาะมีความเสี่ยงที่จะเกิดการระคายเคืองและปัญหาระบบทางเดินหายใจ")</f>
        <v>ประชาชนทั่วไปและบุคคลที่มีความละเอียดอ่อนโดยเฉพาะมีความเสี่ยงที่จะเกิดการระคายเคืองและปัญหาระบบทางเดินหายใจ</v>
      </c>
      <c r="BJ135" s="7" t="str">
        <f>IFERROR(__xludf.DUMMYFUNCTION("GoogleTranslate(C135, ""en"", ""tr"")"),"Genel halk ve özellikle hassas kişiler tahriş ve solunum sorunları yaşama riski altındadır.")</f>
        <v>Genel halk ve özellikle hassas kişiler tahriş ve solunum sorunları yaşama riski altındadır.</v>
      </c>
      <c r="BK135" s="7" t="str">
        <f>IFERROR(__xludf.DUMMYFUNCTION("GoogleTranslate(C135, ""en"", ""uk"")"),"Широке населення та чутливі люди, зокрема, ризикують отримати подразнення та проблеми з диханням.")</f>
        <v>Широке населення та чутливі люди, зокрема, ризикують отримати подразнення та проблеми з диханням.</v>
      </c>
      <c r="BL135" s="7" t="str">
        <f>IFERROR(__xludf.DUMMYFUNCTION("GoogleTranslate(C135, ""en"", ""zu"")"),"Abantu abajwayelekile kanye nabantu abazwelayo ikakhulukazi basengozini yokuthola ukucasuka kanye nezinkinga zokuphefumula.")</f>
        <v>Abantu abajwayelekile kanye nabantu abazwelayo ikakhulukazi basengozini yokuthola ukucasuka kanye nezinkinga zokuphefumula.</v>
      </c>
    </row>
    <row r="136">
      <c r="A136" s="5" t="str">
        <f t="shared" si="1"/>
        <v>Increased_likelihood_of_adverse_effects_and_aggravation_to_the_heart_and_lungs_among_general_public.</v>
      </c>
      <c r="B136" s="6" t="s">
        <v>192</v>
      </c>
      <c r="C136" s="5" t="str">
        <f t="shared" si="2"/>
        <v>Increased likelihood of adverse effects and aggravation to the heart and lungs among general public.</v>
      </c>
      <c r="D136" s="7" t="str">
        <f>IFERROR(__xludf.DUMMYFUNCTION("GoogleTranslate(C136, ""en"", ""es"")"),"Mayor probabilidad de efectos adversos y agravamiento del corazón y los pulmones entre el público en general.")</f>
        <v>Mayor probabilidad de efectos adversos y agravamiento del corazón y los pulmones entre el público en general.</v>
      </c>
      <c r="E136" s="7" t="str">
        <f>IFERROR(__xludf.DUMMYFUNCTION("GoogleTranslate(C136, ""en"", ""ar"")"),"زيادة احتمال حدوث آثار ضارة وتفاقم للقلب والرئتين بين عامة الناس.")</f>
        <v>زيادة احتمال حدوث آثار ضارة وتفاقم للقلب والرئتين بين عامة الناس.</v>
      </c>
      <c r="F136" s="7" t="str">
        <f>IFERROR(__xludf.DUMMYFUNCTION("GoogleTranslate(C136, ""en"", ""hy"")"),"Հասարակության շրջանում սրտի և թոքերի վրա անբարենպաստ հետևանքների և սրացման հավանականության մեծացում:")</f>
        <v>Հասարակության շրջանում սրտի և թոքերի վրա անբարենպաստ հետևանքների և սրացման հավանականության մեծացում:</v>
      </c>
      <c r="G136" s="7" t="str">
        <f>IFERROR(__xludf.DUMMYFUNCTION("GoogleTranslate(C136, ""en"", ""vi"")"),"Tăng khả năng xảy ra tác dụng phụ và tình trạng trầm trọng hơn đối với tim và phổi trong cộng đồng.")</f>
        <v>Tăng khả năng xảy ra tác dụng phụ và tình trạng trầm trọng hơn đối với tim và phổi trong cộng đồng.</v>
      </c>
      <c r="H136" s="7" t="str">
        <f>IFERROR(__xludf.DUMMYFUNCTION("GoogleTranslate(C136, ""en"", ""az"")"),"Ümumi ictimaiyyət arasında ürək və ağciyərlərə mənfi təsirlərin və ağırlaşmaların artması ehtimalı.")</f>
        <v>Ümumi ictimaiyyət arasında ürək və ağciyərlərə mənfi təsirlərin və ağırlaşmaların artması ehtimalı.</v>
      </c>
      <c r="I136" s="7" t="str">
        <f>IFERROR(__xludf.DUMMYFUNCTION("GoogleTranslate(C136, ""en"", ""eu"")"),"Ondorio kaltegarriak eta bihotza eta birikak areagotzea publiko orokorraren artean.")</f>
        <v>Ondorio kaltegarriak eta bihotza eta birikak areagotzea publiko orokorraren artean.</v>
      </c>
      <c r="J136" s="7" t="str">
        <f>IFERROR(__xludf.DUMMYFUNCTION("GoogleTranslate(C136, ""en"", ""be"")"),"Падвышаная верагоднасць пабочных эфектаў і пагаршэння стану сэрца і лёгкіх сярод насельніцтва.")</f>
        <v>Падвышаная верагоднасць пабочных эфектаў і пагаршэння стану сэрца і лёгкіх сярод насельніцтва.</v>
      </c>
      <c r="K136" s="7" t="str">
        <f>IFERROR(__xludf.DUMMYFUNCTION("GoogleTranslate(C136, ""en"", ""bn"")"),"সাধারণ মানুষের মধ্যে হৃৎপিণ্ড ও ফুসফুসে প্রতিকূল প্রভাব এবং উত্তেজনা বৃদ্ধির সম্ভাবনা।")</f>
        <v>সাধারণ মানুষের মধ্যে হৃৎপিণ্ড ও ফুসফুসে প্রতিকূল প্রভাব এবং উত্তেজনা বৃদ্ধির সম্ভাবনা।</v>
      </c>
      <c r="L136" s="7" t="str">
        <f>IFERROR(__xludf.DUMMYFUNCTION("GoogleTranslate(C136, ""en"", ""bg"")"),"Повишена вероятност от неблагоприятни ефекти и влошаване на сърцето и белите дробове сред широката общественост.")</f>
        <v>Повишена вероятност от неблагоприятни ефекти и влошаване на сърцето и белите дробове сред широката общественост.</v>
      </c>
      <c r="M136" s="7" t="str">
        <f>IFERROR(__xludf.DUMMYFUNCTION("GoogleTranslate(C136, ""en"", ""my"")"),"အများသူငှာ နှလုံးနှင့် အဆုတ်ကို ပိုဆိုးစေသော ဆိုးကျိုးများ ဖြစ်နိုင်ခြေ တိုးလာပါသည်။")</f>
        <v>အများသူငှာ နှလုံးနှင့် အဆုတ်ကို ပိုဆိုးစေသော ဆိုးကျိုးများ ဖြစ်နိုင်ခြေ တိုးလာပါသည်။</v>
      </c>
      <c r="N136" s="7" t="str">
        <f>IFERROR(__xludf.DUMMYFUNCTION("GoogleTranslate(C136, ""en"", ""ca"")"),"Augment de la probabilitat d'efectes adversos i agreujament del cor i els pulmons entre el públic en general.")</f>
        <v>Augment de la probabilitat d'efectes adversos i agreujament del cor i els pulmons entre el públic en general.</v>
      </c>
      <c r="O136" s="7" t="str">
        <f>IFERROR(__xludf.DUMMYFUNCTION("GoogleTranslate(C136, ""en"", ""zh-cn"")"),"对公众的心脏和肺部造成不良影响和恶化的可能性增加。")</f>
        <v>对公众的心脏和肺部造成不良影响和恶化的可能性增加。</v>
      </c>
      <c r="P136" s="7" t="str">
        <f>IFERROR(__xludf.DUMMYFUNCTION("GoogleTranslate(C136, ""en"", ""zh-TW"")"),"對公眾的心臟和肺部造成不良影響和惡化的可能性增加。")</f>
        <v>對公眾的心臟和肺部造成不良影響和惡化的可能性增加。</v>
      </c>
      <c r="Q136" s="7" t="str">
        <f>IFERROR(__xludf.DUMMYFUNCTION("GoogleTranslate(C136, ""en"", ""hr"")"),"Povećana vjerojatnost štetnih učinaka i pogoršanja srca i pluća u široj javnosti.")</f>
        <v>Povećana vjerojatnost štetnih učinaka i pogoršanja srca i pluća u široj javnosti.</v>
      </c>
      <c r="R136" s="7" t="str">
        <f>IFERROR(__xludf.DUMMYFUNCTION("GoogleTranslate(C136, ""en"", ""cs"")"),"Zvýšená pravděpodobnost nežádoucích účinků a zhoršení srdce a plic u široké veřejnosti.")</f>
        <v>Zvýšená pravděpodobnost nežádoucích účinků a zhoršení srdce a plic u široké veřejnosti.</v>
      </c>
      <c r="S136" s="7" t="str">
        <f>IFERROR(__xludf.DUMMYFUNCTION("GoogleTranslate(C136, ""en"", ""da"")"),"Øget sandsynlighed for bivirkninger og forværring af hjerte og lunger blandt offentligheden.")</f>
        <v>Øget sandsynlighed for bivirkninger og forværring af hjerte og lunger blandt offentligheden.</v>
      </c>
      <c r="T136" s="7" t="str">
        <f>IFERROR(__xludf.DUMMYFUNCTION("GoogleTranslate(C136, ""en"", ""nl"")"),"Verhoogde kans op bijwerkingen en verergering van het hart en de longen bij het grote publiek.")</f>
        <v>Verhoogde kans op bijwerkingen en verergering van het hart en de longen bij het grote publiek.</v>
      </c>
      <c r="U136" s="7" t="str">
        <f>IFERROR(__xludf.DUMMYFUNCTION("GoogleTranslate(C136, ""en"", ""et"")"),"Suurenenud ebasoodsate mõjude ja süvenemise tõenäosus südamele ja kopsudele elanikkonna hulgas.")</f>
        <v>Suurenenud ebasoodsate mõjude ja süvenemise tõenäosus südamele ja kopsudele elanikkonna hulgas.</v>
      </c>
      <c r="V136" s="5" t="str">
        <f t="shared" si="3"/>
        <v>Increased likelihood of adverse effects and aggravation to the heart and lungs among general public.</v>
      </c>
      <c r="W136" s="7" t="str">
        <f>IFERROR(__xludf.DUMMYFUNCTION("GoogleTranslate(C136, ""en"", ""fi"")"),"Suurempi haitallisten vaikutusten ja sydämen ja keuhkojen pahenemisen todennäköisyys suuren yleisön keskuudessa.")</f>
        <v>Suurempi haitallisten vaikutusten ja sydämen ja keuhkojen pahenemisen todennäköisyys suuren yleisön keskuudessa.</v>
      </c>
      <c r="X136" s="7" t="str">
        <f>IFERROR(__xludf.DUMMYFUNCTION("GoogleTranslate(C136, ""en"", ""fr"")"),"Probabilité accrue d'effets indésirables et d'aggravation du cœur et des poumons parmi le grand public.")</f>
        <v>Probabilité accrue d'effets indésirables et d'aggravation du cœur et des poumons parmi le grand public.</v>
      </c>
      <c r="Y136" s="7" t="str">
        <f>IFERROR(__xludf.DUMMYFUNCTION("GoogleTranslate(C136, ""en"", ""de"")"),"Erhöhte Wahrscheinlichkeit von Nebenwirkungen und Verschlimmerungen für Herz und Lunge in der Öffentlichkeit.")</f>
        <v>Erhöhte Wahrscheinlichkeit von Nebenwirkungen und Verschlimmerungen für Herz und Lunge in der Öffentlichkeit.</v>
      </c>
      <c r="Z136" s="7" t="str">
        <f>IFERROR(__xludf.DUMMYFUNCTION("GoogleTranslate(C136, ""en"", ""el"")"),"Αυξημένη πιθανότητα ανεπιθύμητων ενεργειών και επιδείνωσης στην καρδιά και τους πνεύμονες στο ευρύ κοινό.")</f>
        <v>Αυξημένη πιθανότητα ανεπιθύμητων ενεργειών και επιδείνωσης στην καρδιά και τους πνεύμονες στο ευρύ κοινό.</v>
      </c>
      <c r="AA136" s="7" t="str">
        <f>IFERROR(__xludf.DUMMYFUNCTION("GoogleTranslate(C136, ""en"", ""iw"")"),"עלייה בסבירות להשפעות שליליות והחמרה ללב ולריאות בקרב הציבור הרחב.")</f>
        <v>עלייה בסבירות להשפעות שליליות והחמרה ללב ולריאות בקרב הציבור הרחב.</v>
      </c>
      <c r="AB136" s="7" t="str">
        <f>IFERROR(__xludf.DUMMYFUNCTION("GoogleTranslate(C136, ""en"", ""hi"")"),"आम जनता के बीच हृदय और फेफड़ों पर प्रतिकूल प्रभाव और परेशानी की संभावना बढ़ गई है।")</f>
        <v>आम जनता के बीच हृदय और फेफड़ों पर प्रतिकूल प्रभाव और परेशानी की संभावना बढ़ गई है।</v>
      </c>
      <c r="AC136" s="7" t="str">
        <f>IFERROR(__xludf.DUMMYFUNCTION("GoogleTranslate(C136, ""en"", ""hu"")"),"Megnövekedett a szívre és a tüdőre gyakorolt ​​káros hatások és súlyosbodás valószínűsége a lakosság körében.")</f>
        <v>Megnövekedett a szívre és a tüdőre gyakorolt ​​káros hatások és súlyosbodás valószínűsége a lakosság körében.</v>
      </c>
      <c r="AD136" s="7" t="str">
        <f>IFERROR(__xludf.DUMMYFUNCTION("GoogleTranslate(C136, ""en"", ""is"")"),"Auknar líkur á skaðlegum áhrifum og versnun á hjarta og lungum meðal almennings.")</f>
        <v>Auknar líkur á skaðlegum áhrifum og versnun á hjarta og lungum meðal almennings.</v>
      </c>
      <c r="AE136" s="7" t="str">
        <f>IFERROR(__xludf.DUMMYFUNCTION("GoogleTranslate(C136, ""en"", ""id"")"),"Peningkatan kemungkinan efek buruk dan kejengkelan pada jantung dan paru-paru di kalangan masyarakat umum.")</f>
        <v>Peningkatan kemungkinan efek buruk dan kejengkelan pada jantung dan paru-paru di kalangan masyarakat umum.</v>
      </c>
      <c r="AF136" s="7" t="str">
        <f>IFERROR(__xludf.DUMMYFUNCTION("GoogleTranslate(C136, ""en"", ""in"")"),"Peningkatan kemungkinan efek buruk dan kejengkelan pada jantung dan paru-paru di kalangan masyarakat umum.")</f>
        <v>Peningkatan kemungkinan efek buruk dan kejengkelan pada jantung dan paru-paru di kalangan masyarakat umum.</v>
      </c>
      <c r="AG136" s="7" t="str">
        <f>IFERROR(__xludf.DUMMYFUNCTION("GoogleTranslate(C136, ""en"", ""it"")"),"Aumento della probabilità di effetti avversi e aggravamento del cuore e dei polmoni tra il pubblico in generale.")</f>
        <v>Aumento della probabilità di effetti avversi e aggravamento del cuore e dei polmoni tra il pubblico in generale.</v>
      </c>
      <c r="AH136" s="7" t="str">
        <f>IFERROR(__xludf.DUMMYFUNCTION("GoogleTranslate(C136, ""en"", ""ja"")"),"一般の人々において心臓や肺に悪影響や悪化を引き起こす可能性が高くなります。")</f>
        <v>一般の人々において心臓や肺に悪影響や悪化を引き起こす可能性が高くなります。</v>
      </c>
      <c r="AI136" s="7" t="str">
        <f>IFERROR(__xludf.DUMMYFUNCTION("GoogleTranslate(C136, ""en"", ""kn"")"),"ಸಾಮಾನ್ಯ ಜನರಲ್ಲಿ ಹೃದಯ ಮತ್ತು ಶ್ವಾಸಕೋಶಗಳಿಗೆ ಪ್ರತಿಕೂಲ ಪರಿಣಾಮಗಳು ಮತ್ತು ಉಲ್ಬಣಗೊಳ್ಳುವ ಸಾಧ್ಯತೆ ಹೆಚ್ಚಿದೆ.")</f>
        <v>ಸಾಮಾನ್ಯ ಜನರಲ್ಲಿ ಹೃದಯ ಮತ್ತು ಶ್ವಾಸಕೋಶಗಳಿಗೆ ಪ್ರತಿಕೂಲ ಪರಿಣಾಮಗಳು ಮತ್ತು ಉಲ್ಬಣಗೊಳ್ಳುವ ಸಾಧ್ಯತೆ ಹೆಚ್ಚಿದೆ.</v>
      </c>
      <c r="AJ136" s="7" t="str">
        <f>IFERROR(__xludf.DUMMYFUNCTION("GoogleTranslate(C136, ""en"", ""km"")"),"ការកើនឡើងលទ្ធភាពនៃផលប៉ះពាល់អវិជ្ជមាន និងធ្វើឱ្យកាន់តែធ្ងន់ធ្ងរដល់បេះដូង និងសួតក្នុងចំណោមមនុស្សទូទៅ។")</f>
        <v>ការកើនឡើងលទ្ធភាពនៃផលប៉ះពាល់អវិជ្ជមាន និងធ្វើឱ្យកាន់តែធ្ងន់ធ្ងរដល់បេះដូង និងសួតក្នុងចំណោមមនុស្សទូទៅ។</v>
      </c>
      <c r="AK136" s="7" t="str">
        <f>IFERROR(__xludf.DUMMYFUNCTION("GoogleTranslate(C136, ""en"", ""ko"")"),"일반 대중에게 심장과 폐에 대한 부작용 및 악화 가능성이 증가합니다.")</f>
        <v>일반 대중에게 심장과 폐에 대한 부작용 및 악화 가능성이 증가합니다.</v>
      </c>
      <c r="AL136" s="7" t="str">
        <f>IFERROR(__xludf.DUMMYFUNCTION("GoogleTranslate(C136, ""en"", ""lo"")"),"ຄວາມເປັນໄປໄດ້ເພີ່ມຂຶ້ນຂອງຜົນກະທົບທາງລົບແລະຮ້າຍແຮງຂຶ້ນຕໍ່ຫົວໃຈແລະປອດໃນບັນດາປະຊາຊົນທົ່ວໄປ.")</f>
        <v>ຄວາມເປັນໄປໄດ້ເພີ່ມຂຶ້ນຂອງຜົນກະທົບທາງລົບແລະຮ້າຍແຮງຂຶ້ນຕໍ່ຫົວໃຈແລະປອດໃນບັນດາປະຊາຊົນທົ່ວໄປ.</v>
      </c>
      <c r="AM136" s="7" t="str">
        <f>IFERROR(__xludf.DUMMYFUNCTION("GoogleTranslate(C136, ""en"", ""lv"")"),"Palielināta negatīvas ietekmes un sirds un plaušu pasliktināšanās iespējamība plašai sabiedrībai.")</f>
        <v>Palielināta negatīvas ietekmes un sirds un plaušu pasliktināšanās iespējamība plašai sabiedrībai.</v>
      </c>
      <c r="AN136" s="7" t="str">
        <f>IFERROR(__xludf.DUMMYFUNCTION("GoogleTranslate(C136, ""en"", ""lt"")"),"Didesnė neigiamo poveikio ir pasunkėjimo širdžiai bei plaučiams tikimybė plačiajai visuomenei.")</f>
        <v>Didesnė neigiamo poveikio ir pasunkėjimo širdžiai bei plaučiams tikimybė plačiajai visuomenei.</v>
      </c>
      <c r="AO136" s="7" t="str">
        <f>IFERROR(__xludf.DUMMYFUNCTION("GoogleTranslate(C136, ""en"", ""mk"")"),"Зголемена веројатност за негативни ефекти и влошување на срцето и белите дробови кај пошироката јавност.")</f>
        <v>Зголемена веројатност за негативни ефекти и влошување на срцето и белите дробови кај пошироката јавност.</v>
      </c>
      <c r="AP136" s="7" t="str">
        <f>IFERROR(__xludf.DUMMYFUNCTION("GoogleTranslate(C136, ""en"", ""ms"")"),"Peningkatan kemungkinan kesan buruk dan keterukan kepada jantung dan paru-paru di kalangan orang awam.")</f>
        <v>Peningkatan kemungkinan kesan buruk dan keterukan kepada jantung dan paru-paru di kalangan orang awam.</v>
      </c>
      <c r="AQ136" s="7" t="str">
        <f>IFERROR(__xludf.DUMMYFUNCTION("GoogleTranslate(C136, ""en"", ""ml"")"),"പൊതുജനങ്ങൾക്കിടയിൽ ഹൃദയത്തിനും ശ്വാസകോശത്തിനും ദോഷഫലങ്ങളും വഷളാകാനുള്ള സാധ്യതയും വർദ്ധിക്കുന്നു.")</f>
        <v>പൊതുജനങ്ങൾക്കിടയിൽ ഹൃദയത്തിനും ശ്വാസകോശത്തിനും ദോഷഫലങ്ങളും വഷളാകാനുള്ള സാധ്യതയും വർദ്ധിക്കുന്നു.</v>
      </c>
      <c r="AR136" s="7" t="str">
        <f>IFERROR(__xludf.DUMMYFUNCTION("GoogleTranslate(C136, ""en"", ""mr"")"),"सामान्य लोकांमध्ये हृदय आणि फुफ्फुसांवर प्रतिकूल परिणाम आणि त्रास होण्याची शक्यता वाढते.")</f>
        <v>सामान्य लोकांमध्ये हृदय आणि फुफ्फुसांवर प्रतिकूल परिणाम आणि त्रास होण्याची शक्यता वाढते.</v>
      </c>
      <c r="AS136" s="7" t="str">
        <f>IFERROR(__xludf.DUMMYFUNCTION("GoogleTranslate(C136, ""en"", ""mn"")"),"Олон нийтийн дунд зүрх, уушгинд сөрөг нөлөө үзүүлэх, хүндрүүлэх магадлал нэмэгддэг.")</f>
        <v>Олон нийтийн дунд зүрх, уушгинд сөрөг нөлөө үзүүлэх, хүндрүүлэх магадлал нэмэгддэг.</v>
      </c>
      <c r="AT136" s="7" t="str">
        <f>IFERROR(__xludf.DUMMYFUNCTION("GoogleTranslate(C136, ""en"", ""ne"")"),"सामान्य जनतामा मुटु र फोक्सोमा प्रतिकूल प्रभाव र उत्तेजित हुने सम्भावना बढ्छ।")</f>
        <v>सामान्य जनतामा मुटु र फोक्सोमा प्रतिकूल प्रभाव र उत्तेजित हुने सम्भावना बढ्छ।</v>
      </c>
      <c r="AU136" s="7" t="str">
        <f>IFERROR(__xludf.DUMMYFUNCTION("GoogleTranslate(C136, ""en"", ""nb"")"),"Økt sannsynlighet for uønskede effekter og forverring av hjerte og lunger blant allmennheten.")</f>
        <v>Økt sannsynlighet for uønskede effekter og forverring av hjerte og lunger blant allmennheten.</v>
      </c>
      <c r="AV136" s="7" t="str">
        <f>IFERROR(__xludf.DUMMYFUNCTION("GoogleTranslate(C136, ""en"", ""fa"")"),"افزایش احتمال عوارض جانبی و تشدید قلب و ریه در بین عموم مردم.")</f>
        <v>افزایش احتمال عوارض جانبی و تشدید قلب و ریه در بین عموم مردم.</v>
      </c>
      <c r="AW136" s="7" t="str">
        <f>IFERROR(__xludf.DUMMYFUNCTION("GoogleTranslate(C136, ""en"", ""pl"")"),"Zwiększone prawdopodobieństwo wystąpienia działań niepożądanych i pogorszenia stanu serca i płuc u ogółu społeczeństwa.")</f>
        <v>Zwiększone prawdopodobieństwo wystąpienia działań niepożądanych i pogorszenia stanu serca i płuc u ogółu społeczeństwa.</v>
      </c>
      <c r="AX136" s="7" t="str">
        <f>IFERROR(__xludf.DUMMYFUNCTION("GoogleTranslate(C136, ""en"", ""pt"")"),"Aumento da probabilidade de efeitos adversos e agravamento do coração e dos pulmões entre o público em geral.")</f>
        <v>Aumento da probabilidade de efeitos adversos e agravamento do coração e dos pulmões entre o público em geral.</v>
      </c>
      <c r="AY136" s="7" t="str">
        <f>IFERROR(__xludf.DUMMYFUNCTION("GoogleTranslate(C136, ""en"", ""ro"")"),"Probabilitate crescută de efecte adverse și agravare a inimii și plămânilor în rândul publicului larg.")</f>
        <v>Probabilitate crescută de efecte adverse și agravare a inimii și plămânilor în rândul publicului larg.</v>
      </c>
      <c r="AZ136" s="7" t="str">
        <f>IFERROR(__xludf.DUMMYFUNCTION("GoogleTranslate(C136, ""en"", ""ru"")"),"Повышенная вероятность побочных эффектов и ухудшения состояния сердца и легких среди населения.")</f>
        <v>Повышенная вероятность побочных эффектов и ухудшения состояния сердца и легких среди населения.</v>
      </c>
      <c r="BA136" s="7" t="str">
        <f>IFERROR(__xludf.DUMMYFUNCTION("GoogleTranslate(C136, ""en"", ""sr"")"),"Повећана вероватноћа нежељених ефеката и погоршања за срце и плућа у општој јавности.")</f>
        <v>Повећана вероватноћа нежељених ефеката и погоршања за срце и плућа у општој јавности.</v>
      </c>
      <c r="BB136" s="7" t="str">
        <f>IFERROR(__xludf.DUMMYFUNCTION("GoogleTranslate(C136, ""en"", ""si"")"),"සාමාන්‍ය ජනතාව අතර හෘදයට සහ පෙණහලුවලට අහිතකර බලපෑම් සහ උග්‍ර වීමේ සම්භාවිතාව වැඩි වීම.")</f>
        <v>සාමාන්‍ය ජනතාව අතර හෘදයට සහ පෙණහලුවලට අහිතකර බලපෑම් සහ උග්‍ර වීමේ සම්භාවිතාව වැඩි වීම.</v>
      </c>
      <c r="BC136" s="7" t="str">
        <f>IFERROR(__xludf.DUMMYFUNCTION("GoogleTranslate(C136, ""en"", ""sk"")"),"Zvýšená pravdepodobnosť nežiaducich účinkov a zhoršenia srdca a pľúc medzi širokou verejnosťou.")</f>
        <v>Zvýšená pravdepodobnosť nežiaducich účinkov a zhoršenia srdca a pľúc medzi širokou verejnosťou.</v>
      </c>
      <c r="BD136" s="7" t="str">
        <f>IFERROR(__xludf.DUMMYFUNCTION("GoogleTranslate(C136, ""en"", ""sl"")"),"Povečana verjetnost neželenih učinkov in poslabšanja srca in pljuč pri splošni javnosti.")</f>
        <v>Povečana verjetnost neželenih učinkov in poslabšanja srca in pljuč pri splošni javnosti.</v>
      </c>
      <c r="BE136" s="7" t="str">
        <f>IFERROR(__xludf.DUMMYFUNCTION("GoogleTranslate(C136, ""en"", ""es"")"),"Mayor probabilidad de efectos adversos y agravamiento del corazón y los pulmones entre el público en general.")</f>
        <v>Mayor probabilidad de efectos adversos y agravamiento del corazón y los pulmones entre el público en general.</v>
      </c>
      <c r="BF136" s="7" t="str">
        <f>IFERROR(__xludf.DUMMYFUNCTION("GoogleTranslate(C136, ""en"", ""sw"")"),"Kuongezeka kwa uwezekano wa athari mbaya na kuongezeka kwa moyo na mapafu kati ya umma kwa ujumla.")</f>
        <v>Kuongezeka kwa uwezekano wa athari mbaya na kuongezeka kwa moyo na mapafu kati ya umma kwa ujumla.</v>
      </c>
      <c r="BG136" s="7" t="str">
        <f>IFERROR(__xludf.DUMMYFUNCTION("GoogleTranslate(C136, ""en"", ""sv"")"),"Ökad sannolikhet för negativa effekter och förvärring av hjärtat och lungorna bland allmänheten.")</f>
        <v>Ökad sannolikhet för negativa effekter och förvärring av hjärtat och lungorna bland allmänheten.</v>
      </c>
      <c r="BH136" s="7" t="str">
        <f>IFERROR(__xludf.DUMMYFUNCTION("GoogleTranslate(C136, ""en"", ""te"")"),"సాధారణ ప్రజలలో గుండె మరియు ఊపిరితిత్తులకు ప్రతికూల ప్రభావాలు మరియు తీవ్రతరం అయ్యే సంభావ్యత పెరిగింది.")</f>
        <v>సాధారణ ప్రజలలో గుండె మరియు ఊపిరితిత్తులకు ప్రతికూల ప్రభావాలు మరియు తీవ్రతరం అయ్యే సంభావ్యత పెరిగింది.</v>
      </c>
      <c r="BI136" s="7" t="str">
        <f>IFERROR(__xludf.DUMMYFUNCTION("GoogleTranslate(C136, ""en"", ""th"")"),"เพิ่มโอกาสเกิดผลข้างเคียงและทำให้รุนแรงขึ้นต่อหัวใจและปอดในประชาชนทั่วไป")</f>
        <v>เพิ่มโอกาสเกิดผลข้างเคียงและทำให้รุนแรงขึ้นต่อหัวใจและปอดในประชาชนทั่วไป</v>
      </c>
      <c r="BJ136" s="7" t="str">
        <f>IFERROR(__xludf.DUMMYFUNCTION("GoogleTranslate(C136, ""en"", ""tr"")"),"Halk arasında kalp ve akciğerlerde yan etki ve kötüleşme olasılığının artması.")</f>
        <v>Halk arasında kalp ve akciğerlerde yan etki ve kötüleşme olasılığının artması.</v>
      </c>
      <c r="BK136" s="7" t="str">
        <f>IFERROR(__xludf.DUMMYFUNCTION("GoogleTranslate(C136, ""en"", ""uk"")"),"Підвищена ймовірність побічних ефектів і погіршення стану серця і легенів серед населення.")</f>
        <v>Підвищена ймовірність побічних ефектів і погіршення стану серця і легенів серед населення.</v>
      </c>
      <c r="BL136" s="7" t="str">
        <f>IFERROR(__xludf.DUMMYFUNCTION("GoogleTranslate(C136, ""en"", ""zu"")"),"Amathuba akhulayo okuba nemiphumela emibi kanye nokwanda kwenhliziyo namaphaphu phakathi komphakathi jikelele.")</f>
        <v>Amathuba akhulayo okuba nemiphumela emibi kanye nokwanda kwenhliziyo namaphaphu phakathi komphakathi jikelele.</v>
      </c>
    </row>
    <row r="137">
      <c r="A137" s="5" t="str">
        <f t="shared" si="1"/>
        <v>General_public_will_be_noticwably_affected._Sensitive_groups_should_restrict_outdoor_activities.</v>
      </c>
      <c r="B137" s="6" t="s">
        <v>193</v>
      </c>
      <c r="C137" s="5" t="str">
        <f t="shared" si="2"/>
        <v>General public will be noticwably affected. Sensitive groups should restrict outdoor activities.</v>
      </c>
      <c r="D137" s="7" t="str">
        <f>IFERROR(__xludf.DUMMYFUNCTION("GoogleTranslate(C137, ""en"", ""es"")"),"El público en general se verá notablemente afectado. Los grupos sensibles deben restringir las actividades al aire libre.")</f>
        <v>El público en general se verá notablemente afectado. Los grupos sensibles deben restringir las actividades al aire libre.</v>
      </c>
      <c r="E137" s="7" t="str">
        <f>IFERROR(__xludf.DUMMYFUNCTION("GoogleTranslate(C137, ""en"", ""ar"")"),"سوف يتأثر عامة الناس بشكل ملحوظ. يجب على المجموعات الحساسة تقييد الأنشطة الخارجية.")</f>
        <v>سوف يتأثر عامة الناس بشكل ملحوظ. يجب على المجموعات الحساسة تقييد الأنشطة الخارجية.</v>
      </c>
      <c r="F137" s="7" t="str">
        <f>IFERROR(__xludf.DUMMYFUNCTION("GoogleTranslate(C137, ""en"", ""hy"")"),"Լայն հասարակությունը նկատելիորեն կազդի. Զգայուն խմբերը պետք է սահմանափակեն բացօթյա գործունեությունը:")</f>
        <v>Լայն հասարակությունը նկատելիորեն կազդի. Զգայուն խմբերը պետք է սահմանափակեն բացօթյա գործունեությունը:</v>
      </c>
      <c r="G137" s="7" t="str">
        <f>IFERROR(__xludf.DUMMYFUNCTION("GoogleTranslate(C137, ""en"", ""vi"")"),"Công chúng sẽ bị ảnh hưởng rõ rệt. Nhóm nhạy cảm nên hạn chế các hoạt động ngoài trời.")</f>
        <v>Công chúng sẽ bị ảnh hưởng rõ rệt. Nhóm nhạy cảm nên hạn chế các hoạt động ngoài trời.</v>
      </c>
      <c r="H137" s="7" t="str">
        <f>IFERROR(__xludf.DUMMYFUNCTION("GoogleTranslate(C137, ""en"", ""az"")"),"Ümumi ictimaiyyət nəzərəçarpacaq dərəcədə təsirlənəcək. Həssas qruplar açıq hava fəaliyyətini məhdudlaşdırmalıdır.")</f>
        <v>Ümumi ictimaiyyət nəzərəçarpacaq dərəcədə təsirlənəcək. Həssas qruplar açıq hava fəaliyyətini məhdudlaşdırmalıdır.</v>
      </c>
      <c r="I137" s="7" t="str">
        <f>IFERROR(__xludf.DUMMYFUNCTION("GoogleTranslate(C137, ""en"", ""eu"")"),"Publiko orokorrak nabarmen eragingo du. Talde sentikorrek kanpoko jarduerak mugatu behar dituzte.")</f>
        <v>Publiko orokorrak nabarmen eragingo du. Talde sentikorrek kanpoko jarduerak mugatu behar dituzte.</v>
      </c>
      <c r="J137" s="7" t="str">
        <f>IFERROR(__xludf.DUMMYFUNCTION("GoogleTranslate(C137, ""en"", ""be"")"),"Шырокая грамадскасць будзе прыкметна закранута. Адчувальныя групы павінны абмежаваць прагулкі на свежым паветры.")</f>
        <v>Шырокая грамадскасць будзе прыкметна закранута. Адчувальныя групы павінны абмежаваць прагулкі на свежым паветры.</v>
      </c>
      <c r="K137" s="7" t="str">
        <f>IFERROR(__xludf.DUMMYFUNCTION("GoogleTranslate(C137, ""en"", ""bn"")"),"সাধারণ মানুষ লক্ষণীয়ভাবে ক্ষতিগ্রস্ত হবে। সংবেদনশীল গোষ্ঠীগুলিকে বহিরঙ্গন কার্যকলাপ সীমাবদ্ধ করা উচিত।")</f>
        <v>সাধারণ মানুষ লক্ষণীয়ভাবে ক্ষতিগ্রস্ত হবে। সংবেদনশীল গোষ্ঠীগুলিকে বহিরঙ্গন কার্যকলাপ সীমাবদ্ধ করা উচিত।</v>
      </c>
      <c r="L137" s="7" t="str">
        <f>IFERROR(__xludf.DUMMYFUNCTION("GoogleTranslate(C137, ""en"", ""bg"")"),"Широката общественост ще бъде осезаемо засегната. Чувствителните групи трябва да ограничат дейностите на открито.")</f>
        <v>Широката общественост ще бъде осезаемо засегната. Чувствителните групи трябва да ограничат дейностите на открито.</v>
      </c>
      <c r="M137" s="7" t="str">
        <f>IFERROR(__xludf.DUMMYFUNCTION("GoogleTranslate(C137, ""en"", ""my"")"),"အများသူငှာ သိသိသာသာ ထိခိုက်လာမယ်။ သိမ်မွေ့သောအုပ်စုများသည် ပြင်ပလှုပ်ရှားမှုများကို ကန့်သတ်သင့်သည်။")</f>
        <v>အများသူငှာ သိသိသာသာ ထိခိုက်လာမယ်။ သိမ်မွေ့သောအုပ်စုများသည် ပြင်ပလှုပ်ရှားမှုများကို ကန့်သတ်သင့်သည်။</v>
      </c>
      <c r="N137" s="7" t="str">
        <f>IFERROR(__xludf.DUMMYFUNCTION("GoogleTranslate(C137, ""en"", ""ca"")"),"El públic en general es veurà afectat notablement. Els grups sensibles haurien de restringir les activitats a l'aire lliure.")</f>
        <v>El públic en general es veurà afectat notablement. Els grups sensibles haurien de restringir les activitats a l'aire lliure.</v>
      </c>
      <c r="O137" s="7" t="str">
        <f>IFERROR(__xludf.DUMMYFUNCTION("GoogleTranslate(C137, ""en"", ""zh-cn"")"),"普通公众将受到明显影响。敏感人群应限制户外活动。")</f>
        <v>普通公众将受到明显影响。敏感人群应限制户外活动。</v>
      </c>
      <c r="P137" s="7" t="str">
        <f>IFERROR(__xludf.DUMMYFUNCTION("GoogleTranslate(C137, ""en"", ""zh-TW"")"),"一般公眾將受到明顯影響。敏感人群應限制戶外活動。")</f>
        <v>一般公眾將受到明顯影響。敏感人群應限制戶外活動。</v>
      </c>
      <c r="Q137" s="7" t="str">
        <f>IFERROR(__xludf.DUMMYFUNCTION("GoogleTranslate(C137, ""en"", ""hr"")"),"Opća javnost bit će znatno pogođena. Osjetljive skupine trebaju ograničiti aktivnosti na otvorenom.")</f>
        <v>Opća javnost bit će znatno pogođena. Osjetljive skupine trebaju ograničiti aktivnosti na otvorenom.</v>
      </c>
      <c r="R137" s="7" t="str">
        <f>IFERROR(__xludf.DUMMYFUNCTION("GoogleTranslate(C137, ""en"", ""cs"")"),"Široká veřejnost bude znatelně ovlivněna. Citlivé skupiny by měly omezit venkovní aktivity.")</f>
        <v>Široká veřejnost bude znatelně ovlivněna. Citlivé skupiny by měly omezit venkovní aktivity.</v>
      </c>
      <c r="S137" s="7" t="str">
        <f>IFERROR(__xludf.DUMMYFUNCTION("GoogleTranslate(C137, ""en"", ""da"")"),"Offentligheden vil blive mærkbart berørt. Følsomme grupper bør begrænse udendørs aktiviteter.")</f>
        <v>Offentligheden vil blive mærkbart berørt. Følsomme grupper bør begrænse udendørs aktiviteter.</v>
      </c>
      <c r="T137" s="7" t="str">
        <f>IFERROR(__xludf.DUMMYFUNCTION("GoogleTranslate(C137, ""en"", ""nl"")"),"Het grote publiek zal merkbaar getroffen worden. Gevoelige groepen moeten buitenactiviteiten beperken.")</f>
        <v>Het grote publiek zal merkbaar getroffen worden. Gevoelige groepen moeten buitenactiviteiten beperken.</v>
      </c>
      <c r="U137" s="7" t="str">
        <f>IFERROR(__xludf.DUMMYFUNCTION("GoogleTranslate(C137, ""en"", ""et"")"),"See mõjutab märgatavalt üldsust. Tundlikud rühmad peaksid piirama välitegevust.")</f>
        <v>See mõjutab märgatavalt üldsust. Tundlikud rühmad peaksid piirama välitegevust.</v>
      </c>
      <c r="V137" s="5" t="str">
        <f t="shared" si="3"/>
        <v>General public will be noticwably affected. Sensitive groups should restrict outdoor activities.</v>
      </c>
      <c r="W137" s="7" t="str">
        <f>IFERROR(__xludf.DUMMYFUNCTION("GoogleTranslate(C137, ""en"", ""fi"")"),"Vaikutus suureen yleisöön on huomattava. Herkkien ryhmien tulee rajoittaa ulkoilua.")</f>
        <v>Vaikutus suureen yleisöön on huomattava. Herkkien ryhmien tulee rajoittaa ulkoilua.</v>
      </c>
      <c r="X137" s="7" t="str">
        <f>IFERROR(__xludf.DUMMYFUNCTION("GoogleTranslate(C137, ""en"", ""fr"")"),"Le grand public sera sensiblement affecté. Les groupes sensibles devraient restreindre les activités de plein air.")</f>
        <v>Le grand public sera sensiblement affecté. Les groupes sensibles devraient restreindre les activités de plein air.</v>
      </c>
      <c r="Y137" s="7" t="str">
        <f>IFERROR(__xludf.DUMMYFUNCTION("GoogleTranslate(C137, ""en"", ""de"")"),"Die breite Öffentlichkeit wird spürbar betroffen sein. Sensible Gruppen sollten Outdoor-Aktivitäten einschränken.")</f>
        <v>Die breite Öffentlichkeit wird spürbar betroffen sein. Sensible Gruppen sollten Outdoor-Aktivitäten einschränken.</v>
      </c>
      <c r="Z137" s="7" t="str">
        <f>IFERROR(__xludf.DUMMYFUNCTION("GoogleTranslate(C137, ""en"", ""el"")"),"Το ευρύ κοινό θα επηρεαστεί αισθητά. Οι ευαίσθητες ομάδες θα πρέπει να περιορίζουν τις υπαίθριες δραστηριότητες.")</f>
        <v>Το ευρύ κοινό θα επηρεαστεί αισθητά. Οι ευαίσθητες ομάδες θα πρέπει να περιορίζουν τις υπαίθριες δραστηριότητες.</v>
      </c>
      <c r="AA137" s="7" t="str">
        <f>IFERROR(__xludf.DUMMYFUNCTION("GoogleTranslate(C137, ""en"", ""iw"")"),"הציבור הרחב יושפע באופן ניכר. קבוצות רגישות צריכות להגביל פעילויות בחוץ.")</f>
        <v>הציבור הרחב יושפע באופן ניכר. קבוצות רגישות צריכות להגביל פעילויות בחוץ.</v>
      </c>
      <c r="AB137" s="7" t="str">
        <f>IFERROR(__xludf.DUMMYFUNCTION("GoogleTranslate(C137, ""en"", ""hi"")"),"आम जनता काफ़ी प्रभावित होगी. संवेदनशील समूहों को बाहरी गतिविधियों को प्रतिबंधित करना चाहिए।")</f>
        <v>आम जनता काफ़ी प्रभावित होगी. संवेदनशील समूहों को बाहरी गतिविधियों को प्रतिबंधित करना चाहिए।</v>
      </c>
      <c r="AC137" s="7" t="str">
        <f>IFERROR(__xludf.DUMMYFUNCTION("GoogleTranslate(C137, ""en"", ""hu"")"),"A lakosságot ez érezhetően érinti. Az érzékeny csoportoknak korlátozniuk kell a szabadtéri tevékenységeket.")</f>
        <v>A lakosságot ez érezhetően érinti. Az érzékeny csoportoknak korlátozniuk kell a szabadtéri tevékenységeket.</v>
      </c>
      <c r="AD137" s="7" t="str">
        <f>IFERROR(__xludf.DUMMYFUNCTION("GoogleTranslate(C137, ""en"", ""is"")"),"Almenningur mun verða fyrir áberandi áhrifum. Viðkvæmir hópar ættu að takmarka útivist.")</f>
        <v>Almenningur mun verða fyrir áberandi áhrifum. Viðkvæmir hópar ættu að takmarka útivist.</v>
      </c>
      <c r="AE137" s="7" t="str">
        <f>IFERROR(__xludf.DUMMYFUNCTION("GoogleTranslate(C137, ""en"", ""id"")"),"Masyarakat umum akan sangat terkena dampaknya. Kelompok sensitif sebaiknya membatasi aktivitas di luar ruangan.")</f>
        <v>Masyarakat umum akan sangat terkena dampaknya. Kelompok sensitif sebaiknya membatasi aktivitas di luar ruangan.</v>
      </c>
      <c r="AF137" s="7" t="str">
        <f>IFERROR(__xludf.DUMMYFUNCTION("GoogleTranslate(C137, ""en"", ""in"")"),"Masyarakat umum akan sangat terkena dampaknya. Kelompok sensitif sebaiknya membatasi aktivitas di luar ruangan.")</f>
        <v>Masyarakat umum akan sangat terkena dampaknya. Kelompok sensitif sebaiknya membatasi aktivitas di luar ruangan.</v>
      </c>
      <c r="AG137" s="7" t="str">
        <f>IFERROR(__xludf.DUMMYFUNCTION("GoogleTranslate(C137, ""en"", ""it"")"),"Il pubblico in generale sarà notevolmente colpito. I gruppi sensibili dovrebbero limitare le attività all’aperto.")</f>
        <v>Il pubblico in generale sarà notevolmente colpito. I gruppi sensibili dovrebbero limitare le attività all’aperto.</v>
      </c>
      <c r="AH137" s="7" t="str">
        <f>IFERROR(__xludf.DUMMYFUNCTION("GoogleTranslate(C137, ""en"", ""ja"")"),"一般人は顕著な影響を受けるだろう。敏感なグループは屋外活動を制限する必要があります。")</f>
        <v>一般人は顕著な影響を受けるだろう。敏感なグループは屋外活動を制限する必要があります。</v>
      </c>
      <c r="AI137" s="7" t="str">
        <f>IFERROR(__xludf.DUMMYFUNCTION("GoogleTranslate(C137, ""en"", ""kn"")"),"ಸಾಮಾನ್ಯ ಜನರು ಗಮನಾರ್ಹವಾಗಿ ಪರಿಣಾಮ ಬೀರುತ್ತಾರೆ. ಸೂಕ್ಷ್ಮ ಗುಂಪುಗಳು ಹೊರಾಂಗಣ ಚಟುವಟಿಕೆಗಳನ್ನು ನಿರ್ಬಂಧಿಸಬೇಕು.")</f>
        <v>ಸಾಮಾನ್ಯ ಜನರು ಗಮನಾರ್ಹವಾಗಿ ಪರಿಣಾಮ ಬೀರುತ್ತಾರೆ. ಸೂಕ್ಷ್ಮ ಗುಂಪುಗಳು ಹೊರಾಂಗಣ ಚಟುವಟಿಕೆಗಳನ್ನು ನಿರ್ಬಂಧಿಸಬೇಕು.</v>
      </c>
      <c r="AJ137" s="7" t="str">
        <f>IFERROR(__xludf.DUMMYFUNCTION("GoogleTranslate(C137, ""en"", ""km"")"),"សាធារណជនទូទៅនឹងរងផលប៉ះពាល់គួរឱ្យកត់សម្គាល់។ ក្រុមដែលរសើបគួរដាក់កម្រិតលើសកម្មភាពខាងក្រៅ។")</f>
        <v>សាធារណជនទូទៅនឹងរងផលប៉ះពាល់គួរឱ្យកត់សម្គាល់។ ក្រុមដែលរសើបគួរដាក់កម្រិតលើសកម្មភាពខាងក្រៅ។</v>
      </c>
      <c r="AK137" s="7" t="str">
        <f>IFERROR(__xludf.DUMMYFUNCTION("GoogleTranslate(C137, ""en"", ""ko"")"),"일반 대중은 눈에 띄게 영향을 받을 것입니다. 민감한 그룹은 야외 활동을 제한해야 합니다.")</f>
        <v>일반 대중은 눈에 띄게 영향을 받을 것입니다. 민감한 그룹은 야외 활동을 제한해야 합니다.</v>
      </c>
      <c r="AL137" s="7" t="str">
        <f>IFERROR(__xludf.DUMMYFUNCTION("GoogleTranslate(C137, ""en"", ""lo"")"),"ປະຊາຊົນທົ່ວໄປຈະໄດ້ຮັບຜົນກະທົບຢ່າງຈະແຈ້ງ. ກຸ່ມທີ່ອ່ອນໄຫວຄວນຈໍາກັດກິດຈະກໍາກາງແຈ້ງ.")</f>
        <v>ປະຊາຊົນທົ່ວໄປຈະໄດ້ຮັບຜົນກະທົບຢ່າງຈະແຈ້ງ. ກຸ່ມທີ່ອ່ອນໄຫວຄວນຈໍາກັດກິດຈະກໍາກາງແຈ້ງ.</v>
      </c>
      <c r="AM137" s="7" t="str">
        <f>IFERROR(__xludf.DUMMYFUNCTION("GoogleTranslate(C137, ""en"", ""lv"")"),"Manāmi tiks ietekmēta plaša sabiedrība. Sensitīvām grupām jāierobežo aktivitātes brīvā dabā.")</f>
        <v>Manāmi tiks ietekmēta plaša sabiedrība. Sensitīvām grupām jāierobežo aktivitātes brīvā dabā.</v>
      </c>
      <c r="AN137" s="7" t="str">
        <f>IFERROR(__xludf.DUMMYFUNCTION("GoogleTranslate(C137, ""en"", ""lt"")"),"Tai bus pastebimai paveikta plačiajai visuomenei. Jautrios grupės turėtų apriboti veiklą lauke.")</f>
        <v>Tai bus pastebimai paveikta plačiajai visuomenei. Jautrios grupės turėtų apriboti veiklą lauke.</v>
      </c>
      <c r="AO137" s="7" t="str">
        <f>IFERROR(__xludf.DUMMYFUNCTION("GoogleTranslate(C137, ""en"", ""mk"")"),"Општата јавност ќе биде видливо погодена. Чувствителните групи треба да ги ограничат активностите на отворено.")</f>
        <v>Општата јавност ќе биде видливо погодена. Чувствителните групи треба да ги ограничат активностите на отворено.</v>
      </c>
      <c r="AP137" s="7" t="str">
        <f>IFERROR(__xludf.DUMMYFUNCTION("GoogleTranslate(C137, ""en"", ""ms"")"),"Orang awam akan terjejas dengan ketara. Kumpulan sensitif harus menyekat aktiviti luar.")</f>
        <v>Orang awam akan terjejas dengan ketara. Kumpulan sensitif harus menyekat aktiviti luar.</v>
      </c>
      <c r="AQ137" s="7" t="str">
        <f>IFERROR(__xludf.DUMMYFUNCTION("GoogleTranslate(C137, ""en"", ""ml"")"),"പൊതുജനങ്ങളെ കാര്യമായി ബാധിക്കും. സെൻസിറ്റീവ് ഗ്രൂപ്പുകൾ ഔട്ട്ഡോർ പ്രവർത്തനങ്ങൾ നിയന്ത്രിക്കണം.")</f>
        <v>പൊതുജനങ്ങളെ കാര്യമായി ബാധിക്കും. സെൻസിറ്റീവ് ഗ്രൂപ്പുകൾ ഔട്ട്ഡോർ പ്രവർത്തനങ്ങൾ നിയന്ത്രിക്കണം.</v>
      </c>
      <c r="AR137" s="7" t="str">
        <f>IFERROR(__xludf.DUMMYFUNCTION("GoogleTranslate(C137, ""en"", ""mr"")"),"याचा फटका सर्वसामान्यांना बसणार आहे. संवेदनशील गटांनी बाह्य क्रियाकलाप प्रतिबंधित केले पाहिजेत.")</f>
        <v>याचा फटका सर्वसामान्यांना बसणार आहे. संवेदनशील गटांनी बाह्य क्रियाकलाप प्रतिबंधित केले पाहिजेत.</v>
      </c>
      <c r="AS137" s="7" t="str">
        <f>IFERROR(__xludf.DUMMYFUNCTION("GoogleTranslate(C137, ""en"", ""mn"")"),"Олон нийт мэдэгдэхүйц нөлөөлнө. Эмзэг бүлгүүд гадаа үйл ажиллагааг хязгаарлах ёстой.")</f>
        <v>Олон нийт мэдэгдэхүйц нөлөөлнө. Эмзэг бүлгүүд гадаа үйл ажиллагааг хязгаарлах ёстой.</v>
      </c>
      <c r="AT137" s="7" t="str">
        <f>IFERROR(__xludf.DUMMYFUNCTION("GoogleTranslate(C137, ""en"", ""ne"")"),"सर्वसाधारण प्रभावित हुनेछन् । संवेदनशील समूहहरूले बाहिरी गतिविधिहरू प्रतिबन्धित गर्नुपर्छ।")</f>
        <v>सर्वसाधारण प्रभावित हुनेछन् । संवेदनशील समूहहरूले बाहिरी गतिविधिहरू प्रतिबन्धित गर्नुपर्छ।</v>
      </c>
      <c r="AU137" s="7" t="str">
        <f>IFERROR(__xludf.DUMMYFUNCTION("GoogleTranslate(C137, ""en"", ""nb"")"),"Allmennheten vil bli merkbart berørt. Sensitive grupper bør begrense utendørsaktiviteter.")</f>
        <v>Allmennheten vil bli merkbart berørt. Sensitive grupper bør begrense utendørsaktiviteter.</v>
      </c>
      <c r="AV137" s="7" t="str">
        <f>IFERROR(__xludf.DUMMYFUNCTION("GoogleTranslate(C137, ""en"", ""fa"")"),"عموم مردم به طور محسوسی تحت تاثیر قرار خواهند گرفت. گروه های حساس باید فعالیت های خارج از منزل را محدود کنند.")</f>
        <v>عموم مردم به طور محسوسی تحت تاثیر قرار خواهند گرفت. گروه های حساس باید فعالیت های خارج از منزل را محدود کنند.</v>
      </c>
      <c r="AW137" s="7" t="str">
        <f>IFERROR(__xludf.DUMMYFUNCTION("GoogleTranslate(C137, ""en"", ""pl"")"),"Opinia publiczna będzie zauważalnie dotknięta. Grupy wrażliwe powinny ograniczyć aktywność na świeżym powietrzu.")</f>
        <v>Opinia publiczna będzie zauważalnie dotknięta. Grupy wrażliwe powinny ograniczyć aktywność na świeżym powietrzu.</v>
      </c>
      <c r="AX137" s="7" t="str">
        <f>IFERROR(__xludf.DUMMYFUNCTION("GoogleTranslate(C137, ""en"", ""pt"")"),"O público em geral será visivelmente afetado. Grupos sensíveis devem restringir atividades ao ar livre.")</f>
        <v>O público em geral será visivelmente afetado. Grupos sensíveis devem restringir atividades ao ar livre.</v>
      </c>
      <c r="AY137" s="7" t="str">
        <f>IFERROR(__xludf.DUMMYFUNCTION("GoogleTranslate(C137, ""en"", ""ro"")"),"Publicul larg va fi afectat vizibil. Grupurile sensibile ar trebui să restricționeze activitățile în aer liber.")</f>
        <v>Publicul larg va fi afectat vizibil. Grupurile sensibile ar trebui să restricționeze activitățile în aer liber.</v>
      </c>
      <c r="AZ137" s="7" t="str">
        <f>IFERROR(__xludf.DUMMYFUNCTION("GoogleTranslate(C137, ""en"", ""ru"")"),"Широкая общественность будет заметно затронута. Чувствительным группам следует ограничить деятельность на свежем воздухе.")</f>
        <v>Широкая общественность будет заметно затронута. Чувствительным группам следует ограничить деятельность на свежем воздухе.</v>
      </c>
      <c r="BA137" s="7" t="str">
        <f>IFERROR(__xludf.DUMMYFUNCTION("GoogleTranslate(C137, ""en"", ""sr"")"),"Општа јавност ће бити приметно погођена. Осетљиве групе треба да ограниче активности на отвореном.")</f>
        <v>Општа јавност ће бити приметно погођена. Осетљиве групе треба да ограниче активности на отвореном.</v>
      </c>
      <c r="BB137" s="7" t="str">
        <f>IFERROR(__xludf.DUMMYFUNCTION("GoogleTranslate(C137, ""en"", ""si"")"),"සාමාන්‍ය ජනතාව සැලකිය යුතු ලෙස බලපානු ඇත. සංවේදී කණ්ඩායම් එළිමහන් ක්‍රියාකාරකම් සීමා කළ යුතුය.")</f>
        <v>සාමාන්‍ය ජනතාව සැලකිය යුතු ලෙස බලපානු ඇත. සංවේදී කණ්ඩායම් එළිමහන් ක්‍රියාකාරකම් සීමා කළ යුතුය.</v>
      </c>
      <c r="BC137" s="7" t="str">
        <f>IFERROR(__xludf.DUMMYFUNCTION("GoogleTranslate(C137, ""en"", ""sk"")"),"Široká verejnosť bude citeľne ovplyvnená. Citlivé skupiny by mali obmedziť vonkajšie aktivity.")</f>
        <v>Široká verejnosť bude citeľne ovplyvnená. Citlivé skupiny by mali obmedziť vonkajšie aktivity.</v>
      </c>
      <c r="BD137" s="7" t="str">
        <f>IFERROR(__xludf.DUMMYFUNCTION("GoogleTranslate(C137, ""en"", ""sl"")"),"Splošna javnost bo opazno prizadeta. Občutljive skupine naj omejijo dejavnosti na prostem.")</f>
        <v>Splošna javnost bo opazno prizadeta. Občutljive skupine naj omejijo dejavnosti na prostem.</v>
      </c>
      <c r="BE137" s="7" t="str">
        <f>IFERROR(__xludf.DUMMYFUNCTION("GoogleTranslate(C137, ""en"", ""es"")"),"El público en general se verá notablemente afectado. Los grupos sensibles deben restringir las actividades al aire libre.")</f>
        <v>El público en general se verá notablemente afectado. Los grupos sensibles deben restringir las actividades al aire libre.</v>
      </c>
      <c r="BF137" s="7" t="str">
        <f>IFERROR(__xludf.DUMMYFUNCTION("GoogleTranslate(C137, ""en"", ""sw"")"),"Umma kwa ujumla utaathiriwa dhahiri. Vikundi nyeti vinapaswa kuzuia shughuli za nje.")</f>
        <v>Umma kwa ujumla utaathiriwa dhahiri. Vikundi nyeti vinapaswa kuzuia shughuli za nje.</v>
      </c>
      <c r="BG137" s="7" t="str">
        <f>IFERROR(__xludf.DUMMYFUNCTION("GoogleTranslate(C137, ""en"", ""sv"")"),"Allmänheten kommer att påverkas märkbart. Känsliga grupper bör begränsa utomhusaktiviteter.")</f>
        <v>Allmänheten kommer att påverkas märkbart. Känsliga grupper bör begränsa utomhusaktiviteter.</v>
      </c>
      <c r="BH137" s="7" t="str">
        <f>IFERROR(__xludf.DUMMYFUNCTION("GoogleTranslate(C137, ""en"", ""te"")"),"సాధారణ ప్రజలు గమనించదగ్గ విధంగా ప్రభావితమవుతారు. సున్నితమైన సమూహాలు బహిరంగ కార్యకలాపాలను పరిమితం చేయాలి.")</f>
        <v>సాధారణ ప్రజలు గమనించదగ్గ విధంగా ప్రభావితమవుతారు. సున్నితమైన సమూహాలు బహిరంగ కార్యకలాపాలను పరిమితం చేయాలి.</v>
      </c>
      <c r="BI137" s="7" t="str">
        <f>IFERROR(__xludf.DUMMYFUNCTION("GoogleTranslate(C137, ""en"", ""th"")"),"ประชาชนทั่วไปจะได้รับผลกระทบอย่างเห็นได้ชัด กลุ่มที่มีความอ่อนไหวควรจำกัดกิจกรรมกลางแจ้ง")</f>
        <v>ประชาชนทั่วไปจะได้รับผลกระทบอย่างเห็นได้ชัด กลุ่มที่มีความอ่อนไหวควรจำกัดกิจกรรมกลางแจ้ง</v>
      </c>
      <c r="BJ137" s="7" t="str">
        <f>IFERROR(__xludf.DUMMYFUNCTION("GoogleTranslate(C137, ""en"", ""tr"")"),"Genel halk gözle görülür şekilde etkilenecektir. Hassas gruplar açık hava aktivitelerini kısıtlamalıdır.")</f>
        <v>Genel halk gözle görülür şekilde etkilenecektir. Hassas gruplar açık hava aktivitelerini kısıtlamalıdır.</v>
      </c>
      <c r="BK137" s="7" t="str">
        <f>IFERROR(__xludf.DUMMYFUNCTION("GoogleTranslate(C137, ""en"", ""uk"")"),"Відчутно постраждає широка громадськість. Чутливі групи повинні обмежити діяльність на свіжому повітрі.")</f>
        <v>Відчутно постраждає широка громадськість. Чутливі групи повинні обмежити діяльність на свіжому повітрі.</v>
      </c>
      <c r="BL137" s="7" t="str">
        <f>IFERROR(__xludf.DUMMYFUNCTION("GoogleTranslate(C137, ""en"", ""zu"")"),"Umphakathi jikelele uzothinteka ngokuphawulekayo. Amaqembu azwelayo kufanele akhawulele imisebenzi yangaphandle.")</f>
        <v>Umphakathi jikelele uzothinteka ngokuphawulekayo. Amaqembu azwelayo kufanele akhawulele imisebenzi yangaphandle.</v>
      </c>
    </row>
    <row r="138">
      <c r="A138" s="5" t="str">
        <f t="shared" si="1"/>
        <v>General_public_at_high_risk_of_experiencing_strong_irritations_and_adverse_healthy_effects._Should_avoid_outdoor_activities.</v>
      </c>
      <c r="B138" s="6" t="s">
        <v>194</v>
      </c>
      <c r="C138" s="5" t="str">
        <f t="shared" si="2"/>
        <v>General public at high risk of experiencing strong irritations and adverse healthy effects. Should avoid outdoor activities.</v>
      </c>
      <c r="D138" s="7" t="str">
        <f>IFERROR(__xludf.DUMMYFUNCTION("GoogleTranslate(C138, ""en"", ""es"")"),"Público en general con alto riesgo de sufrir fuertes irritaciones y efectos adversos para la salud. Debe evitar las actividades al aire libre.")</f>
        <v>Público en general con alto riesgo de sufrir fuertes irritaciones y efectos adversos para la salud. Debe evitar las actividades al aire libre.</v>
      </c>
      <c r="E138" s="7" t="str">
        <f>IFERROR(__xludf.DUMMYFUNCTION("GoogleTranslate(C138, ""en"", ""ar"")"),"عامة الناس معرضون بشكل كبير لخطر التعرض لتهيجات قوية وتأثيرات صحية ضارة. ينبغي تجنب الأنشطة في الهواء الطلق.")</f>
        <v>عامة الناس معرضون بشكل كبير لخطر التعرض لتهيجات قوية وتأثيرات صحية ضارة. ينبغي تجنب الأنشطة في الهواء الطلق.</v>
      </c>
      <c r="F138" s="7" t="str">
        <f>IFERROR(__xludf.DUMMYFUNCTION("GoogleTranslate(C138, ""en"", ""hy"")"),"Հասարակությունը ուժեղ գրգռվածության և առողջարար անբարենպաստ հետևանքների զգալու բարձր ռիսկի տակ է: Պետք է խուսափել բացօթյա գործունեությունից:")</f>
        <v>Հասարակությունը ուժեղ գրգռվածության և առողջարար անբարենպաստ հետևանքների զգալու բարձր ռիսկի տակ է: Պետք է խուսափել բացօթյա գործունեությունից:</v>
      </c>
      <c r="G138" s="7" t="str">
        <f>IFERROR(__xludf.DUMMYFUNCTION("GoogleTranslate(C138, ""en"", ""vi"")"),"Công chúng có nguy cơ cao bị kích ứng mạnh và ảnh hưởng xấu đến sức khỏe. Nên tránh các hoạt động ngoài trời.")</f>
        <v>Công chúng có nguy cơ cao bị kích ứng mạnh và ảnh hưởng xấu đến sức khỏe. Nên tránh các hoạt động ngoài trời.</v>
      </c>
      <c r="H138" s="7" t="str">
        <f>IFERROR(__xludf.DUMMYFUNCTION("GoogleTranslate(C138, ""en"", ""az"")"),"Güclü qıcıqlanma və mənfi sağlam təsirlərə məruz qalma riski yüksək olan ümumi ictimaiyyət. Açıq fəaliyyətlərdən qaçınmaq lazımdır.")</f>
        <v>Güclü qıcıqlanma və mənfi sağlam təsirlərə məruz qalma riski yüksək olan ümumi ictimaiyyət. Açıq fəaliyyətlərdən qaçınmaq lazımdır.</v>
      </c>
      <c r="I138" s="7" t="str">
        <f>IFERROR(__xludf.DUMMYFUNCTION("GoogleTranslate(C138, ""en"", ""eu"")"),"Publiko orokorrak narritadura gogorrak eta osasun-ondorio kaltegarriak izateko arrisku handia du. Kanpoko jarduerak saihestu behar dira.")</f>
        <v>Publiko orokorrak narritadura gogorrak eta osasun-ondorio kaltegarriak izateko arrisku handia du. Kanpoko jarduerak saihestu behar dira.</v>
      </c>
      <c r="J138" s="7" t="str">
        <f>IFERROR(__xludf.DUMMYFUNCTION("GoogleTranslate(C138, ""en"", ""be"")"),"Шырокая грамадскасць падвяргаецца высокай рызыцы моцнага раздражнення і негатыўных наступстваў для здароўя. Варта пазбягаць актыўнага адпачынку.")</f>
        <v>Шырокая грамадскасць падвяргаецца высокай рызыцы моцнага раздражнення і негатыўных наступстваў для здароўя. Варта пазбягаць актыўнага адпачынку.</v>
      </c>
      <c r="K138" s="7" t="str">
        <f>IFERROR(__xludf.DUMMYFUNCTION("GoogleTranslate(C138, ""en"", ""bn"")"),"সাধারণ জনগণ শক্তিশালী জ্বালা এবং প্রতিকূল স্বাস্থ্যকর প্রভাবের সম্মুখীন হওয়ার উচ্চ ঝুঁকিতে রয়েছে। বহিরঙ্গন কার্যকলাপ এড়াতে হবে।")</f>
        <v>সাধারণ জনগণ শক্তিশালী জ্বালা এবং প্রতিকূল স্বাস্থ্যকর প্রভাবের সম্মুখীন হওয়ার উচ্চ ঝুঁকিতে রয়েছে। বহিরঙ্গন কার্যকলাপ এড়াতে হবে।</v>
      </c>
      <c r="L138" s="7" t="str">
        <f>IFERROR(__xludf.DUMMYFUNCTION("GoogleTranslate(C138, ""en"", ""bg"")"),"Обществеността е изложена на висок риск от силно раздразнение и неблагоприятни последици за здравето. Трябва да се избягват дейности на открито.")</f>
        <v>Обществеността е изложена на висок риск от силно раздразнение и неблагоприятни последици за здравето. Трябва да се избягват дейности на открито.</v>
      </c>
      <c r="M138" s="7" t="str">
        <f>IFERROR(__xludf.DUMMYFUNCTION("GoogleTranslate(C138, ""en"", ""my"")"),"အများသူငှာ ပြင်းထန်သော ယားယံမှုများနှင့် ဆိုးရွားသော ကျန်းမာရေးဆိုးကျိုးများ ကြုံတွေ့နိုင်ခြေ မြင့်မားသည်။ ပြင်ပလှုပ်ရှားမှုများကို ရှောင်ကြဉ်သင့်သည်။")</f>
        <v>အများသူငှာ ပြင်းထန်သော ယားယံမှုများနှင့် ဆိုးရွားသော ကျန်းမာရေးဆိုးကျိုးများ ကြုံတွေ့နိုင်ခြေ မြင့်မားသည်။ ပြင်ပလှုပ်ရှားမှုများကို ရှောင်ကြဉ်သင့်သည်။</v>
      </c>
      <c r="N138" s="7" t="str">
        <f>IFERROR(__xludf.DUMMYFUNCTION("GoogleTranslate(C138, ""en"", ""ca"")"),"Públic en general amb alt risc de patir fortes irritacions i efectes adversos per a la salut. Cal evitar activitats a l'aire lliure.")</f>
        <v>Públic en general amb alt risc de patir fortes irritacions i efectes adversos per a la salut. Cal evitar activitats a l'aire lliure.</v>
      </c>
      <c r="O138" s="7" t="str">
        <f>IFERROR(__xludf.DUMMYFUNCTION("GoogleTranslate(C138, ""en"", ""zh-cn"")"),"普通公众面临强烈刺激和不良健康影响的高风险。应避免户外活动。")</f>
        <v>普通公众面临强烈刺激和不良健康影响的高风险。应避免户外活动。</v>
      </c>
      <c r="P138" s="7" t="str">
        <f>IFERROR(__xludf.DUMMYFUNCTION("GoogleTranslate(C138, ""en"", ""zh-TW"")"),"一般大眾面臨強烈刺激和不良健康影響的高風險。應避免戶外活動。")</f>
        <v>一般大眾面臨強烈刺激和不良健康影響的高風險。應避免戶外活動。</v>
      </c>
      <c r="Q138" s="7" t="str">
        <f>IFERROR(__xludf.DUMMYFUNCTION("GoogleTranslate(C138, ""en"", ""hr"")"),"Opća javnost u visokom riziku od jakih iritacija i štetnih učinaka na zdravlje. Treba izbjegavati aktivnosti na otvorenom.")</f>
        <v>Opća javnost u visokom riziku od jakih iritacija i štetnih učinaka na zdravlje. Treba izbjegavati aktivnosti na otvorenom.</v>
      </c>
      <c r="R138" s="7" t="str">
        <f>IFERROR(__xludf.DUMMYFUNCTION("GoogleTranslate(C138, ""en"", ""cs"")"),"Široká veřejnost s vysokým rizikem silného podráždění a nepříznivých zdravotních účinků. Měli byste se vyhnout venkovním aktivitám.")</f>
        <v>Široká veřejnost s vysokým rizikem silného podráždění a nepříznivých zdravotních účinků. Měli byste se vyhnout venkovním aktivitám.</v>
      </c>
      <c r="S138" s="7" t="str">
        <f>IFERROR(__xludf.DUMMYFUNCTION("GoogleTranslate(C138, ""en"", ""da"")"),"Almen offentlighed med høj risiko for at opleve stærke irritationer og negative sunde virkninger. Bør undgå udendørs aktiviteter.")</f>
        <v>Almen offentlighed med høj risiko for at opleve stærke irritationer og negative sunde virkninger. Bør undgå udendørs aktiviteter.</v>
      </c>
      <c r="T138" s="7" t="str">
        <f>IFERROR(__xludf.DUMMYFUNCTION("GoogleTranslate(C138, ""en"", ""nl"")"),"Het grote publiek loopt een hoog risico op sterke irritaties en nadelige gezondheidseffecten. Moet buitenactiviteiten vermijden.")</f>
        <v>Het grote publiek loopt een hoog risico op sterke irritaties en nadelige gezondheidseffecten. Moet buitenactiviteiten vermijden.</v>
      </c>
      <c r="U138" s="7" t="str">
        <f>IFERROR(__xludf.DUMMYFUNCTION("GoogleTranslate(C138, ""en"", ""et"")"),"Üldsus, kellel on suur oht tugeva ärrituse ja tervisele kahjulike mõjude tekkeks. Välistegevust tuleks vältida.")</f>
        <v>Üldsus, kellel on suur oht tugeva ärrituse ja tervisele kahjulike mõjude tekkeks. Välistegevust tuleks vältida.</v>
      </c>
      <c r="V138" s="5" t="str">
        <f t="shared" si="3"/>
        <v>General public at high risk of experiencing strong irritations and adverse healthy effects. Should avoid outdoor activities.</v>
      </c>
      <c r="W138" s="7" t="str">
        <f>IFERROR(__xludf.DUMMYFUNCTION("GoogleTranslate(C138, ""en"", ""fi"")"),"Suuri yleisö, jolla on suuri riski kokea voimakasta ärsytystä ja haitallisia terveydellisiä vaikutuksia. Ulkoilua kannattaa välttää.")</f>
        <v>Suuri yleisö, jolla on suuri riski kokea voimakasta ärsytystä ja haitallisia terveydellisiä vaikutuksia. Ulkoilua kannattaa välttää.</v>
      </c>
      <c r="X138" s="7" t="str">
        <f>IFERROR(__xludf.DUMMYFUNCTION("GoogleTranslate(C138, ""en"", ""fr"")"),"Le grand public est exposé à un risque élevé de fortes irritations et d'effets néfastes sur la santé. Devrait éviter les activités de plein air.")</f>
        <v>Le grand public est exposé à un risque élevé de fortes irritations et d'effets néfastes sur la santé. Devrait éviter les activités de plein air.</v>
      </c>
      <c r="Y138" s="7" t="str">
        <f>IFERROR(__xludf.DUMMYFUNCTION("GoogleTranslate(C138, ""en"", ""de"")"),"Für die breite Öffentlichkeit besteht ein hohes Risiko starker Reizungen und gesundheitsschädlicher Auswirkungen. Aktivitäten im Freien sollten vermieden werden.")</f>
        <v>Für die breite Öffentlichkeit besteht ein hohes Risiko starker Reizungen und gesundheitsschädlicher Auswirkungen. Aktivitäten im Freien sollten vermieden werden.</v>
      </c>
      <c r="Z138" s="7" t="str">
        <f>IFERROR(__xludf.DUMMYFUNCTION("GoogleTranslate(C138, ""en"", ""el"")"),"Το ευρύ κοινό διατρέχει υψηλό κίνδυνο να εμφανίσει ισχυρούς ερεθισμούς και δυσμενείς επιπτώσεις στην υγεία. Πρέπει να αποφεύγετε τις υπαίθριες δραστηριότητες.")</f>
        <v>Το ευρύ κοινό διατρέχει υψηλό κίνδυνο να εμφανίσει ισχυρούς ερεθισμούς και δυσμενείς επιπτώσεις στην υγεία. Πρέπει να αποφεύγετε τις υπαίθριες δραστηριότητες.</v>
      </c>
      <c r="AA138" s="7" t="str">
        <f>IFERROR(__xludf.DUMMYFUNCTION("GoogleTranslate(C138, ""en"", ""iw"")"),"ציבור כללי בסיכון גבוה לחוות גירויים חזקים והשפעות בריאות שליליות. יש להימנע מפעילויות חוצות.")</f>
        <v>ציבור כללי בסיכון גבוה לחוות גירויים חזקים והשפעות בריאות שליליות. יש להימנע מפעילויות חוצות.</v>
      </c>
      <c r="AB138" s="7" t="str">
        <f>IFERROR(__xludf.DUMMYFUNCTION("GoogleTranslate(C138, ""en"", ""hi"")"),"आम जनता को गंभीर जलन और प्रतिकूल स्वास्थ्य प्रभावों का अनुभव होने का उच्च जोखिम है। बाहरी गतिविधियों से बचना चाहिए।")</f>
        <v>आम जनता को गंभीर जलन और प्रतिकूल स्वास्थ्य प्रभावों का अनुभव होने का उच्च जोखिम है। बाहरी गतिविधियों से बचना चाहिए।</v>
      </c>
      <c r="AC138" s="7" t="str">
        <f>IFERROR(__xludf.DUMMYFUNCTION("GoogleTranslate(C138, ""en"", ""hu"")"),"A lakosság körében nagy a kockázata annak, hogy erős irritációt és káros egészségügyi hatásokat tapasztalhatnak. Kerülni kell a szabadtéri tevékenységeket.")</f>
        <v>A lakosság körében nagy a kockázata annak, hogy erős irritációt és káros egészségügyi hatásokat tapasztalhatnak. Kerülni kell a szabadtéri tevékenységeket.</v>
      </c>
      <c r="AD138" s="7" t="str">
        <f>IFERROR(__xludf.DUMMYFUNCTION("GoogleTranslate(C138, ""en"", ""is"")"),"Almenningur í mikilli hættu á að upplifa mikla ertingu og skaðleg heilsufarsleg áhrif. Ætti að forðast útivist.")</f>
        <v>Almenningur í mikilli hættu á að upplifa mikla ertingu og skaðleg heilsufarsleg áhrif. Ætti að forðast útivist.</v>
      </c>
      <c r="AE138" s="7" t="str">
        <f>IFERROR(__xludf.DUMMYFUNCTION("GoogleTranslate(C138, ""en"", ""id"")"),"Masyarakat umum berisiko tinggi mengalami iritasi parah dan dampak buruk bagi kesehatan. Sebaiknya hindari aktivitas di luar ruangan.")</f>
        <v>Masyarakat umum berisiko tinggi mengalami iritasi parah dan dampak buruk bagi kesehatan. Sebaiknya hindari aktivitas di luar ruangan.</v>
      </c>
      <c r="AF138" s="7" t="str">
        <f>IFERROR(__xludf.DUMMYFUNCTION("GoogleTranslate(C138, ""en"", ""in"")"),"Masyarakat umum berisiko tinggi mengalami iritasi parah dan dampak buruk bagi kesehatan. Sebaiknya hindari aktivitas di luar ruangan.")</f>
        <v>Masyarakat umum berisiko tinggi mengalami iritasi parah dan dampak buruk bagi kesehatan. Sebaiknya hindari aktivitas di luar ruangan.</v>
      </c>
      <c r="AG138" s="7" t="str">
        <f>IFERROR(__xludf.DUMMYFUNCTION("GoogleTranslate(C138, ""en"", ""it"")"),"Il pubblico in generale è ad alto rischio di subire forti irritazioni ed effetti negativi sulla salute. Dovrebbe evitare attività all'aperto.")</f>
        <v>Il pubblico in generale è ad alto rischio di subire forti irritazioni ed effetti negativi sulla salute. Dovrebbe evitare attività all'aperto.</v>
      </c>
      <c r="AH138" s="7" t="str">
        <f>IFERROR(__xludf.DUMMYFUNCTION("GoogleTranslate(C138, ""en"", ""ja"")"),"強い刺激や健康への悪影響を経験するリスクが高い一般の人々。屋外での活動は避けるべきです。")</f>
        <v>強い刺激や健康への悪影響を経験するリスクが高い一般の人々。屋外での活動は避けるべきです。</v>
      </c>
      <c r="AI138" s="7" t="str">
        <f>IFERROR(__xludf.DUMMYFUNCTION("GoogleTranslate(C138, ""en"", ""kn"")"),"ಬಲವಾದ ಕಿರಿಕಿರಿಗಳು ಮತ್ತು ಪ್ರತಿಕೂಲ ಆರೋಗ್ಯಕರ ಪರಿಣಾಮಗಳನ್ನು ಅನುಭವಿಸುವ ಹೆಚ್ಚಿನ ಅಪಾಯದಲ್ಲಿರುವ ಸಾಮಾನ್ಯ ಜನರು. ಹೊರಾಂಗಣ ಚಟುವಟಿಕೆಗಳನ್ನು ತಪ್ಪಿಸಬೇಕು.")</f>
        <v>ಬಲವಾದ ಕಿರಿಕಿರಿಗಳು ಮತ್ತು ಪ್ರತಿಕೂಲ ಆರೋಗ್ಯಕರ ಪರಿಣಾಮಗಳನ್ನು ಅನುಭವಿಸುವ ಹೆಚ್ಚಿನ ಅಪಾಯದಲ್ಲಿರುವ ಸಾಮಾನ್ಯ ಜನರು. ಹೊರಾಂಗಣ ಚಟುವಟಿಕೆಗಳನ್ನು ತಪ್ಪಿಸಬೇಕು.</v>
      </c>
      <c r="AJ138" s="7" t="str">
        <f>IFERROR(__xludf.DUMMYFUNCTION("GoogleTranslate(C138, ""en"", ""km"")"),"សាធារណជន​ទូទៅ​មាន​ហានិភ័យ​ខ្ពស់​នៃ​ការ​មាន​ការ​រលាក​ខ្លាំង និង​ផល​ប៉ះពាល់​ដល់​សុខភាព។ គួរចៀសវាងសកម្មភាពក្រៅ។")</f>
        <v>សាធារណជន​ទូទៅ​មាន​ហានិភ័យ​ខ្ពស់​នៃ​ការ​មាន​ការ​រលាក​ខ្លាំង និង​ផល​ប៉ះពាល់​ដល់​សុខភាព។ គួរចៀសវាងសកម្មភាពក្រៅ។</v>
      </c>
      <c r="AK138" s="7" t="str">
        <f>IFERROR(__xludf.DUMMYFUNCTION("GoogleTranslate(C138, ""en"", ""ko"")"),"강한 자극과 건강에 해로운 영향을 경험할 위험이 높은 일반 대중. 야외 활동을 피해야 합니다.")</f>
        <v>강한 자극과 건강에 해로운 영향을 경험할 위험이 높은 일반 대중. 야외 활동을 피해야 합니다.</v>
      </c>
      <c r="AL138" s="7" t="str">
        <f>IFERROR(__xludf.DUMMYFUNCTION("GoogleTranslate(C138, ""en"", ""lo"")"),"ປະຊາຊົນທົ່ວໄປມີຄວາມສ່ຽງສູງທີ່ຈະປະສົບກັບອາການຄັນຄາຍທີ່ເຂັ້ມແຂງແລະຜົນກະທົບທາງລົບຕໍ່ສຸຂະພາບ. ຄວນ​ຫຼີກ​ລ່ຽງ​ກິດ​ຈະ​ກຳ​ນອກ.")</f>
        <v>ປະຊາຊົນທົ່ວໄປມີຄວາມສ່ຽງສູງທີ່ຈະປະສົບກັບອາການຄັນຄາຍທີ່ເຂັ້ມແຂງແລະຜົນກະທົບທາງລົບຕໍ່ສຸຂະພາບ. ຄວນ​ຫຼີກ​ລ່ຽງ​ກິດ​ຈະ​ກຳ​ນອກ.</v>
      </c>
      <c r="AM138" s="7" t="str">
        <f>IFERROR(__xludf.DUMMYFUNCTION("GoogleTranslate(C138, ""en"", ""lv"")"),"Plaša sabiedrība, kurai ir liels risks izjust spēcīgu kairinājumu un nelabvēlīgu ietekmi uz veselību. Jāizvairās no āra aktivitātēm.")</f>
        <v>Plaša sabiedrība, kurai ir liels risks izjust spēcīgu kairinājumu un nelabvēlīgu ietekmi uz veselību. Jāizvairās no āra aktivitātēm.</v>
      </c>
      <c r="AN138" s="7" t="str">
        <f>IFERROR(__xludf.DUMMYFUNCTION("GoogleTranslate(C138, ""en"", ""lt"")"),"Plačiajai visuomenei kyla didelė rizika patirti stiprų sudirginimą ir neigiamą poveikį sveikatai. Reikėtų vengti veiklos lauke.")</f>
        <v>Plačiajai visuomenei kyla didelė rizika patirti stiprų sudirginimą ir neigiamą poveikį sveikatai. Reikėtų vengti veiklos lauke.</v>
      </c>
      <c r="AO138" s="7" t="str">
        <f>IFERROR(__xludf.DUMMYFUNCTION("GoogleTranslate(C138, ""en"", ""mk"")"),"Општата јавност е изложена на висок ризик да доживее силни иритации и негативни здрави ефекти. Треба да избегнувате активности на отворено.")</f>
        <v>Општата јавност е изложена на висок ризик да доживее силни иритации и негативни здрави ефекти. Треба да избегнувате активности на отворено.</v>
      </c>
      <c r="AP138" s="7" t="str">
        <f>IFERROR(__xludf.DUMMYFUNCTION("GoogleTranslate(C138, ""en"", ""ms"")"),"Orang awam berisiko tinggi mengalami kerengsaan yang kuat dan kesan buruk kepada kesihatan. Harus mengelakkan aktiviti luar.")</f>
        <v>Orang awam berisiko tinggi mengalami kerengsaan yang kuat dan kesan buruk kepada kesihatan. Harus mengelakkan aktiviti luar.</v>
      </c>
      <c r="AQ138" s="7" t="str">
        <f>IFERROR(__xludf.DUMMYFUNCTION("GoogleTranslate(C138, ""en"", ""ml"")"),"ശക്തമായ പ്രകോപനങ്ങളും ആരോഗ്യകരമായ പ്രതികൂല ഫലങ്ങളും അനുഭവിക്കുന്നതിനുള്ള ഉയർന്ന അപകടസാധ്യതയുള്ള പൊതുജനങ്ങൾ. ഔട്ട്ഡോർ പ്രവർത്തനങ്ങൾ ഒഴിവാക്കണം.")</f>
        <v>ശക്തമായ പ്രകോപനങ്ങളും ആരോഗ്യകരമായ പ്രതികൂല ഫലങ്ങളും അനുഭവിക്കുന്നതിനുള്ള ഉയർന്ന അപകടസാധ്യതയുള്ള പൊതുജനങ്ങൾ. ഔട്ട്ഡോർ പ്രവർത്തനങ്ങൾ ഒഴിവാക്കണം.</v>
      </c>
      <c r="AR138" s="7" t="str">
        <f>IFERROR(__xludf.DUMMYFUNCTION("GoogleTranslate(C138, ""en"", ""mr"")"),"सामान्य लोकांना तीव्र चिडचिड आणि प्रतिकूल आरोग्यदायी परिणामांचा उच्च धोका असतो. बाह्य क्रियाकलाप टाळावेत.")</f>
        <v>सामान्य लोकांना तीव्र चिडचिड आणि प्रतिकूल आरोग्यदायी परिणामांचा उच्च धोका असतो. बाह्य क्रियाकलाप टाळावेत.</v>
      </c>
      <c r="AS138" s="7" t="str">
        <f>IFERROR(__xludf.DUMMYFUNCTION("GoogleTranslate(C138, ""en"", ""mn"")"),"Хүчтэй цочрол, эрүүл мэндэд сөрөг нөлөө үзүүлэх эрсдэл өндөртэй олон нийт. Гадна үйл ажиллагаанаас зайлсхийх хэрэгтэй.")</f>
        <v>Хүчтэй цочрол, эрүүл мэндэд сөрөг нөлөө үзүүлэх эрсдэл өндөртэй олон нийт. Гадна үйл ажиллагаанаас зайлсхийх хэрэгтэй.</v>
      </c>
      <c r="AT138" s="7" t="str">
        <f>IFERROR(__xludf.DUMMYFUNCTION("GoogleTranslate(C138, ""en"", ""ne"")"),"बलियो जलन र प्रतिकूल स्वास्थ्य प्रभावहरू अनुभव गर्ने उच्च जोखिममा सामान्य जनता। बाहिरी गतिविधिबाट टाढा रहनुपर्छ।")</f>
        <v>बलियो जलन र प्रतिकूल स्वास्थ्य प्रभावहरू अनुभव गर्ने उच्च जोखिममा सामान्य जनता। बाहिरी गतिविधिबाट टाढा रहनुपर्छ।</v>
      </c>
      <c r="AU138" s="7" t="str">
        <f>IFERROR(__xludf.DUMMYFUNCTION("GoogleTranslate(C138, ""en"", ""nb"")"),"Allmennheten har høy risiko for å oppleve sterke irritasjoner og helseskadelige effekter. Bør unngå utendørsaktiviteter.")</f>
        <v>Allmennheten har høy risiko for å oppleve sterke irritasjoner og helseskadelige effekter. Bør unngå utendørsaktiviteter.</v>
      </c>
      <c r="AV138" s="7" t="str">
        <f>IFERROR(__xludf.DUMMYFUNCTION("GoogleTranslate(C138, ""en"", ""fa"")"),"عموم مردم در معرض خطر بالای تجربه تحریکات قوی و اثرات نامطلوب سلامتی هستند. باید از فعالیت در فضای باز خودداری کرد.")</f>
        <v>عموم مردم در معرض خطر بالای تجربه تحریکات قوی و اثرات نامطلوب سلامتی هستند. باید از فعالیت در فضای باز خودداری کرد.</v>
      </c>
      <c r="AW138" s="7" t="str">
        <f>IFERROR(__xludf.DUMMYFUNCTION("GoogleTranslate(C138, ""en"", ""pl"")"),"Ogół społeczeństwa o wysokim ryzyku wystąpienia silnych podrażnień i niekorzystnych skutków zdrowotnych. Należy unikać zajęć na świeżym powietrzu.")</f>
        <v>Ogół społeczeństwa o wysokim ryzyku wystąpienia silnych podrażnień i niekorzystnych skutków zdrowotnych. Należy unikać zajęć na świeżym powietrzu.</v>
      </c>
      <c r="AX138" s="7" t="str">
        <f>IFERROR(__xludf.DUMMYFUNCTION("GoogleTranslate(C138, ""en"", ""pt"")"),"Público em geral com alto risco de sofrer fortes irritações e efeitos adversos à saúde. Deve evitar atividades ao ar livre.")</f>
        <v>Público em geral com alto risco de sofrer fortes irritações e efeitos adversos à saúde. Deve evitar atividades ao ar livre.</v>
      </c>
      <c r="AY138" s="7" t="str">
        <f>IFERROR(__xludf.DUMMYFUNCTION("GoogleTranslate(C138, ""en"", ""ro"")"),"Publicul larg cu risc crescut de a experimenta iritații puternice și efecte adverse sănătoase. Ar trebui să evite activitățile în aer liber.")</f>
        <v>Publicul larg cu risc crescut de a experimenta iritații puternice și efecte adverse sănătoase. Ar trebui să evite activitățile în aer liber.</v>
      </c>
      <c r="AZ138" s="7" t="str">
        <f>IFERROR(__xludf.DUMMYFUNCTION("GoogleTranslate(C138, ""en"", ""ru"")"),"Широкая общественность подвергается высокому риску сильных раздражений и неблагоприятных последствий для здоровья. Следует избегать активного отдыха.")</f>
        <v>Широкая общественность подвергается высокому риску сильных раздражений и неблагоприятных последствий для здоровья. Следует избегать активного отдыха.</v>
      </c>
      <c r="BA138" s="7" t="str">
        <f>IFERROR(__xludf.DUMMYFUNCTION("GoogleTranslate(C138, ""en"", ""sr"")"),"Шира јавност под високим ризиком од јаких иритација и штетних здравствених ефеката. Треба избегавати активности на отвореном.")</f>
        <v>Шира јавност под високим ризиком од јаких иритација и штетних здравствених ефеката. Треба избегавати активности на отвореном.</v>
      </c>
      <c r="BB138" s="7" t="str">
        <f>IFERROR(__xludf.DUMMYFUNCTION("GoogleTranslate(C138, ""en"", ""si"")"),"දැඩි කෝපයක් සහ අහිතකර සෞඛ්‍ය සම්පන්න බලපෑම් අත්විඳීමේ ඉහළ අවදානමක් ඇති සාමාන්‍ය ජනතාව. එළිමහන් ක්‍රියාකාරකම් වලින් වැළකී සිටිය යුතුය.")</f>
        <v>දැඩි කෝපයක් සහ අහිතකර සෞඛ්‍ය සම්පන්න බලපෑම් අත්විඳීමේ ඉහළ අවදානමක් ඇති සාමාන්‍ය ජනතාව. එළිමහන් ක්‍රියාකාරකම් වලින් වැළකී සිටිය යුතුය.</v>
      </c>
      <c r="BC138" s="7" t="str">
        <f>IFERROR(__xludf.DUMMYFUNCTION("GoogleTranslate(C138, ""en"", ""sk"")"),"Široká verejnosť s vysokým rizikom silného podráždenia a nepriaznivých zdravotných účinkov. Mali by ste sa vyhnúť vonkajším aktivitám.")</f>
        <v>Široká verejnosť s vysokým rizikom silného podráždenia a nepriaznivých zdravotných účinkov. Mali by ste sa vyhnúť vonkajším aktivitám.</v>
      </c>
      <c r="BD138" s="7" t="str">
        <f>IFERROR(__xludf.DUMMYFUNCTION("GoogleTranslate(C138, ""en"", ""sl"")"),"Splošna javnost je izpostavljena visokemu tveganju močnega draženja in škodljivih učinkov na zdravje. Izogibati se je treba dejavnostim na prostem.")</f>
        <v>Splošna javnost je izpostavljena visokemu tveganju močnega draženja in škodljivih učinkov na zdravje. Izogibati se je treba dejavnostim na prostem.</v>
      </c>
      <c r="BE138" s="7" t="str">
        <f>IFERROR(__xludf.DUMMYFUNCTION("GoogleTranslate(C138, ""en"", ""es"")"),"Público en general con alto riesgo de sufrir fuertes irritaciones y efectos adversos para la salud. Debe evitar las actividades al aire libre.")</f>
        <v>Público en general con alto riesgo de sufrir fuertes irritaciones y efectos adversos para la salud. Debe evitar las actividades al aire libre.</v>
      </c>
      <c r="BF138" s="7" t="str">
        <f>IFERROR(__xludf.DUMMYFUNCTION("GoogleTranslate(C138, ""en"", ""sw"")"),"Umma kwa ujumla katika hatari kubwa ya kupata muwasho mkali na athari mbaya kiafya. Inapaswa kuepuka shughuli za nje.")</f>
        <v>Umma kwa ujumla katika hatari kubwa ya kupata muwasho mkali na athari mbaya kiafya. Inapaswa kuepuka shughuli za nje.</v>
      </c>
      <c r="BG138" s="7" t="str">
        <f>IFERROR(__xludf.DUMMYFUNCTION("GoogleTranslate(C138, ""en"", ""sv"")"),"Allmänheten löper stor risk att uppleva starka irritationer och negativa hälsoeffekter. Bör undvika utomhusaktiviteter.")</f>
        <v>Allmänheten löper stor risk att uppleva starka irritationer och negativa hälsoeffekter. Bör undvika utomhusaktiviteter.</v>
      </c>
      <c r="BH138" s="7" t="str">
        <f>IFERROR(__xludf.DUMMYFUNCTION("GoogleTranslate(C138, ""en"", ""te"")"),"బలమైన చికాకులు మరియు ప్రతికూల ఆరోగ్యకరమైన ప్రభావాలను అనుభవించే అధిక ప్రమాదం ఉన్న సాధారణ ప్రజలు. బహిరంగ కార్యకలాపాలకు దూరంగా ఉండాలి.")</f>
        <v>బలమైన చికాకులు మరియు ప్రతికూల ఆరోగ్యకరమైన ప్రభావాలను అనుభవించే అధిక ప్రమాదం ఉన్న సాధారణ ప్రజలు. బహిరంగ కార్యకలాపాలకు దూరంగా ఉండాలి.</v>
      </c>
      <c r="BI138" s="7" t="str">
        <f>IFERROR(__xludf.DUMMYFUNCTION("GoogleTranslate(C138, ""en"", ""th"")"),"ประชาชนทั่วไปที่มีความเสี่ยงสูงที่จะเกิดการระคายเคืองอย่างรุนแรงและผลเสียต่อสุขภาพ ควรหลีกเลี่ยงกิจกรรมกลางแจ้ง")</f>
        <v>ประชาชนทั่วไปที่มีความเสี่ยงสูงที่จะเกิดการระคายเคืองอย่างรุนแรงและผลเสียต่อสุขภาพ ควรหลีกเลี่ยงกิจกรรมกลางแจ้ง</v>
      </c>
      <c r="BJ138" s="7" t="str">
        <f>IFERROR(__xludf.DUMMYFUNCTION("GoogleTranslate(C138, ""en"", ""tr"")"),"Genel halk, güçlü tahrişler ve olumsuz sağlık etkileri yaşama riskiyle karşı karşıyadır. Açık hava aktivitelerinden kaçınılmalıdır.")</f>
        <v>Genel halk, güçlü tahrişler ve olumsuz sağlık etkileri yaşama riskiyle karşı karşıyadır. Açık hava aktivitelerinden kaçınılmalıdır.</v>
      </c>
      <c r="BK138" s="7" t="str">
        <f>IFERROR(__xludf.DUMMYFUNCTION("GoogleTranslate(C138, ""en"", ""uk"")"),"Громадськість із високим ризиком відчути сильне подразнення та негативні наслідки для здоров’я. Слід уникати активного відпочинку на природі.")</f>
        <v>Громадськість із високим ризиком відчути сильне подразнення та негативні наслідки для здоров’я. Слід уникати активного відпочинку на природі.</v>
      </c>
      <c r="BL138" s="7" t="str">
        <f>IFERROR(__xludf.DUMMYFUNCTION("GoogleTranslate(C138, ""en"", ""zu"")"),"Umphakathi jikelele osengozini enkulu yokuthola ukucasuka okunamandla kanye nemiphumela emibi enempilo. Kufanele igweme imisebenzi yangaphandle.")</f>
        <v>Umphakathi jikelele osengozini enkulu yokuthola ukucasuka okunamandla kanye nemiphumela emibi enempilo. Kufanele igweme imisebenzi yangaphandle.</v>
      </c>
    </row>
    <row r="139">
      <c r="A139" s="5" t="str">
        <f t="shared" si="1"/>
        <v>Healthy_Information</v>
      </c>
      <c r="B139" s="6" t="s">
        <v>195</v>
      </c>
      <c r="C139" s="5" t="str">
        <f t="shared" si="2"/>
        <v>Healthy Information</v>
      </c>
      <c r="D139" s="7" t="str">
        <f>IFERROR(__xludf.DUMMYFUNCTION("GoogleTranslate(C139, ""en"", ""es"")"),"Información Saludable")</f>
        <v>Información Saludable</v>
      </c>
      <c r="E139" s="7" t="str">
        <f>IFERROR(__xludf.DUMMYFUNCTION("GoogleTranslate(C139, ""en"", ""ar"")"),"معلومات صحية")</f>
        <v>معلومات صحية</v>
      </c>
      <c r="F139" s="7" t="str">
        <f>IFERROR(__xludf.DUMMYFUNCTION("GoogleTranslate(C139, ""en"", ""hy"")"),"Առողջ տեղեկատվություն")</f>
        <v>Առողջ տեղեկատվություն</v>
      </c>
      <c r="G139" s="7" t="str">
        <f>IFERROR(__xludf.DUMMYFUNCTION("GoogleTranslate(C139, ""en"", ""vi"")"),"Thông tin sức khỏe")</f>
        <v>Thông tin sức khỏe</v>
      </c>
      <c r="H139" s="7" t="str">
        <f>IFERROR(__xludf.DUMMYFUNCTION("GoogleTranslate(C139, ""en"", ""az"")"),"Sağlam məlumat")</f>
        <v>Sağlam məlumat</v>
      </c>
      <c r="I139" s="7" t="str">
        <f>IFERROR(__xludf.DUMMYFUNCTION("GoogleTranslate(C139, ""en"", ""eu"")"),"Informazio osasungarria")</f>
        <v>Informazio osasungarria</v>
      </c>
      <c r="J139" s="7" t="str">
        <f>IFERROR(__xludf.DUMMYFUNCTION("GoogleTranslate(C139, ""en"", ""be"")"),"Здаровая інфармацыя")</f>
        <v>Здаровая інфармацыя</v>
      </c>
      <c r="K139" s="7" t="str">
        <f>IFERROR(__xludf.DUMMYFUNCTION("GoogleTranslate(C139, ""en"", ""bn"")"),"স্বাস্থ্যকর তথ্য")</f>
        <v>স্বাস্থ্যকর তথ্য</v>
      </c>
      <c r="L139" s="7" t="str">
        <f>IFERROR(__xludf.DUMMYFUNCTION("GoogleTranslate(C139, ""en"", ""bg"")"),"Здравословна информация")</f>
        <v>Здравословна информация</v>
      </c>
      <c r="M139" s="7" t="str">
        <f>IFERROR(__xludf.DUMMYFUNCTION("GoogleTranslate(C139, ""en"", ""my"")"),"ကျန်းမာရေးဆိုင်ရာ အချက်အလက်")</f>
        <v>ကျန်းမာရေးဆိုင်ရာ အချက်အလက်</v>
      </c>
      <c r="N139" s="7" t="str">
        <f>IFERROR(__xludf.DUMMYFUNCTION("GoogleTranslate(C139, ""en"", ""ca"")"),"Informació saludable")</f>
        <v>Informació saludable</v>
      </c>
      <c r="O139" s="7" t="str">
        <f>IFERROR(__xludf.DUMMYFUNCTION("GoogleTranslate(C139, ""en"", ""zh-cn"")"),"健康资讯")</f>
        <v>健康资讯</v>
      </c>
      <c r="P139" s="7" t="str">
        <f>IFERROR(__xludf.DUMMYFUNCTION("GoogleTranslate(C139, ""en"", ""zh-TW"")"),"健康資訊")</f>
        <v>健康資訊</v>
      </c>
      <c r="Q139" s="7" t="str">
        <f>IFERROR(__xludf.DUMMYFUNCTION("GoogleTranslate(C139, ""en"", ""hr"")"),"Zdrave informacije")</f>
        <v>Zdrave informacije</v>
      </c>
      <c r="R139" s="7" t="str">
        <f>IFERROR(__xludf.DUMMYFUNCTION("GoogleTranslate(C139, ""en"", ""cs"")"),"Zdravé informace")</f>
        <v>Zdravé informace</v>
      </c>
      <c r="S139" s="7" t="str">
        <f>IFERROR(__xludf.DUMMYFUNCTION("GoogleTranslate(C139, ""en"", ""da"")"),"Sund information")</f>
        <v>Sund information</v>
      </c>
      <c r="T139" s="7" t="str">
        <f>IFERROR(__xludf.DUMMYFUNCTION("GoogleTranslate(C139, ""en"", ""nl"")"),"Gezonde informatie")</f>
        <v>Gezonde informatie</v>
      </c>
      <c r="U139" s="7" t="str">
        <f>IFERROR(__xludf.DUMMYFUNCTION("GoogleTranslate(C139, ""en"", ""et"")"),"Tervislik teave")</f>
        <v>Tervislik teave</v>
      </c>
      <c r="V139" s="5" t="str">
        <f t="shared" si="3"/>
        <v>Healthy Information</v>
      </c>
      <c r="W139" s="7" t="str">
        <f>IFERROR(__xludf.DUMMYFUNCTION("GoogleTranslate(C139, ""en"", ""fi"")"),"Terveellistä tietoa")</f>
        <v>Terveellistä tietoa</v>
      </c>
      <c r="X139" s="7" t="str">
        <f>IFERROR(__xludf.DUMMYFUNCTION("GoogleTranslate(C139, ""en"", ""fr"")"),"Informations saines")</f>
        <v>Informations saines</v>
      </c>
      <c r="Y139" s="7" t="str">
        <f>IFERROR(__xludf.DUMMYFUNCTION("GoogleTranslate(C139, ""en"", ""de"")"),"Gesunde Informationen")</f>
        <v>Gesunde Informationen</v>
      </c>
      <c r="Z139" s="7" t="str">
        <f>IFERROR(__xludf.DUMMYFUNCTION("GoogleTranslate(C139, ""en"", ""el"")"),"Υγιεινή ενημέρωση")</f>
        <v>Υγιεινή ενημέρωση</v>
      </c>
      <c r="AA139" s="7" t="str">
        <f>IFERROR(__xludf.DUMMYFUNCTION("GoogleTranslate(C139, ""en"", ""iw"")"),"מידע בריא")</f>
        <v>מידע בריא</v>
      </c>
      <c r="AB139" s="7" t="str">
        <f>IFERROR(__xludf.DUMMYFUNCTION("GoogleTranslate(C139, ""en"", ""hi"")"),"स्वस्थ जानकारी")</f>
        <v>स्वस्थ जानकारी</v>
      </c>
      <c r="AC139" s="7" t="str">
        <f>IFERROR(__xludf.DUMMYFUNCTION("GoogleTranslate(C139, ""en"", ""hu"")"),"Egészséges információk")</f>
        <v>Egészséges információk</v>
      </c>
      <c r="AD139" s="7" t="str">
        <f>IFERROR(__xludf.DUMMYFUNCTION("GoogleTranslate(C139, ""en"", ""is"")"),"Heilbrigðar upplýsingar")</f>
        <v>Heilbrigðar upplýsingar</v>
      </c>
      <c r="AE139" s="7" t="str">
        <f>IFERROR(__xludf.DUMMYFUNCTION("GoogleTranslate(C139, ""en"", ""id"")"),"Informasi Sehat")</f>
        <v>Informasi Sehat</v>
      </c>
      <c r="AF139" s="7" t="str">
        <f>IFERROR(__xludf.DUMMYFUNCTION("GoogleTranslate(C139, ""en"", ""in"")"),"Informasi Sehat")</f>
        <v>Informasi Sehat</v>
      </c>
      <c r="AG139" s="7" t="str">
        <f>IFERROR(__xludf.DUMMYFUNCTION("GoogleTranslate(C139, ""en"", ""it"")"),"Informazioni salutari")</f>
        <v>Informazioni salutari</v>
      </c>
      <c r="AH139" s="7" t="str">
        <f>IFERROR(__xludf.DUMMYFUNCTION("GoogleTranslate(C139, ""en"", ""ja"")"),"健康情報")</f>
        <v>健康情報</v>
      </c>
      <c r="AI139" s="7" t="str">
        <f>IFERROR(__xludf.DUMMYFUNCTION("GoogleTranslate(C139, ""en"", ""kn"")"),"ಆರೋಗ್ಯಕರ ಮಾಹಿತಿ")</f>
        <v>ಆರೋಗ್ಯಕರ ಮಾಹಿತಿ</v>
      </c>
      <c r="AJ139" s="7" t="str">
        <f>IFERROR(__xludf.DUMMYFUNCTION("GoogleTranslate(C139, ""en"", ""km"")"),"ព័ត៌មានសុខភាព")</f>
        <v>ព័ត៌មានសុខភាព</v>
      </c>
      <c r="AK139" s="7" t="str">
        <f>IFERROR(__xludf.DUMMYFUNCTION("GoogleTranslate(C139, ""en"", ""ko"")"),"건강한 정보")</f>
        <v>건강한 정보</v>
      </c>
      <c r="AL139" s="7" t="str">
        <f>IFERROR(__xludf.DUMMYFUNCTION("GoogleTranslate(C139, ""en"", ""lo"")"),"ຂໍ້ມູນສຸຂະພາບ")</f>
        <v>ຂໍ້ມູນສຸຂະພາບ</v>
      </c>
      <c r="AM139" s="7" t="str">
        <f>IFERROR(__xludf.DUMMYFUNCTION("GoogleTranslate(C139, ""en"", ""lv"")"),"Veselīga informācija")</f>
        <v>Veselīga informācija</v>
      </c>
      <c r="AN139" s="7" t="str">
        <f>IFERROR(__xludf.DUMMYFUNCTION("GoogleTranslate(C139, ""en"", ""lt"")"),"Sveika informacija")</f>
        <v>Sveika informacija</v>
      </c>
      <c r="AO139" s="7" t="str">
        <f>IFERROR(__xludf.DUMMYFUNCTION("GoogleTranslate(C139, ""en"", ""mk"")"),"Здрави информации")</f>
        <v>Здрави информации</v>
      </c>
      <c r="AP139" s="7" t="str">
        <f>IFERROR(__xludf.DUMMYFUNCTION("GoogleTranslate(C139, ""en"", ""ms"")"),"Maklumat Sihat")</f>
        <v>Maklumat Sihat</v>
      </c>
      <c r="AQ139" s="7" t="str">
        <f>IFERROR(__xludf.DUMMYFUNCTION("GoogleTranslate(C139, ""en"", ""ml"")"),"ആരോഗ്യകരമായ വിവരങ്ങൾ")</f>
        <v>ആരോഗ്യകരമായ വിവരങ്ങൾ</v>
      </c>
      <c r="AR139" s="7" t="str">
        <f>IFERROR(__xludf.DUMMYFUNCTION("GoogleTranslate(C139, ""en"", ""mr"")"),"आरोग्यदायी माहिती")</f>
        <v>आरोग्यदायी माहिती</v>
      </c>
      <c r="AS139" s="7" t="str">
        <f>IFERROR(__xludf.DUMMYFUNCTION("GoogleTranslate(C139, ""en"", ""mn"")"),"Эрүүл мэдээлэл")</f>
        <v>Эрүүл мэдээлэл</v>
      </c>
      <c r="AT139" s="7" t="str">
        <f>IFERROR(__xludf.DUMMYFUNCTION("GoogleTranslate(C139, ""en"", ""ne"")"),"स्वस्थ जानकारी")</f>
        <v>स्वस्थ जानकारी</v>
      </c>
      <c r="AU139" s="7" t="str">
        <f>IFERROR(__xludf.DUMMYFUNCTION("GoogleTranslate(C139, ""en"", ""nb"")"),"Sunn informasjon")</f>
        <v>Sunn informasjon</v>
      </c>
      <c r="AV139" s="7" t="str">
        <f>IFERROR(__xludf.DUMMYFUNCTION("GoogleTranslate(C139, ""en"", ""fa"")"),"اطلاعات سالم")</f>
        <v>اطلاعات سالم</v>
      </c>
      <c r="AW139" s="7" t="str">
        <f>IFERROR(__xludf.DUMMYFUNCTION("GoogleTranslate(C139, ""en"", ""pl"")"),"Zdrowe informacje")</f>
        <v>Zdrowe informacje</v>
      </c>
      <c r="AX139" s="7" t="str">
        <f>IFERROR(__xludf.DUMMYFUNCTION("GoogleTranslate(C139, ""en"", ""pt"")"),"Informação Saudável")</f>
        <v>Informação Saudável</v>
      </c>
      <c r="AY139" s="7" t="str">
        <f>IFERROR(__xludf.DUMMYFUNCTION("GoogleTranslate(C139, ""en"", ""ro"")"),"Informații sănătoase")</f>
        <v>Informații sănătoase</v>
      </c>
      <c r="AZ139" s="7" t="str">
        <f>IFERROR(__xludf.DUMMYFUNCTION("GoogleTranslate(C139, ""en"", ""ru"")"),"Здоровая информация")</f>
        <v>Здоровая информация</v>
      </c>
      <c r="BA139" s="7" t="str">
        <f>IFERROR(__xludf.DUMMYFUNCTION("GoogleTranslate(C139, ""en"", ""sr"")"),"Здраве информације")</f>
        <v>Здраве информације</v>
      </c>
      <c r="BB139" s="7" t="str">
        <f>IFERROR(__xludf.DUMMYFUNCTION("GoogleTranslate(C139, ""en"", ""si"")"),"සෞඛ්ය සම්පන්න තොරතුරු")</f>
        <v>සෞඛ්ය සම්පන්න තොරතුරු</v>
      </c>
      <c r="BC139" s="7" t="str">
        <f>IFERROR(__xludf.DUMMYFUNCTION("GoogleTranslate(C139, ""en"", ""sk"")"),"Zdravé informácie")</f>
        <v>Zdravé informácie</v>
      </c>
      <c r="BD139" s="7" t="str">
        <f>IFERROR(__xludf.DUMMYFUNCTION("GoogleTranslate(C139, ""en"", ""sl"")"),"Zdrave informacije")</f>
        <v>Zdrave informacije</v>
      </c>
      <c r="BE139" s="7" t="str">
        <f>IFERROR(__xludf.DUMMYFUNCTION("GoogleTranslate(C139, ""en"", ""es"")"),"Información Saludable")</f>
        <v>Información Saludable</v>
      </c>
      <c r="BF139" s="7" t="str">
        <f>IFERROR(__xludf.DUMMYFUNCTION("GoogleTranslate(C139, ""en"", ""sw"")"),"Habari za Afya")</f>
        <v>Habari za Afya</v>
      </c>
      <c r="BG139" s="7" t="str">
        <f>IFERROR(__xludf.DUMMYFUNCTION("GoogleTranslate(C139, ""en"", ""sv"")"),"Hälsosam information")</f>
        <v>Hälsosam information</v>
      </c>
      <c r="BH139" s="7" t="str">
        <f>IFERROR(__xludf.DUMMYFUNCTION("GoogleTranslate(C139, ""en"", ""te"")"),"ఆరోగ్యకరమైన సమాచారం")</f>
        <v>ఆరోగ్యకరమైన సమాచారం</v>
      </c>
      <c r="BI139" s="7" t="str">
        <f>IFERROR(__xludf.DUMMYFUNCTION("GoogleTranslate(C139, ""en"", ""th"")"),"ข้อมูลสุขภาพ")</f>
        <v>ข้อมูลสุขภาพ</v>
      </c>
      <c r="BJ139" s="7" t="str">
        <f>IFERROR(__xludf.DUMMYFUNCTION("GoogleTranslate(C139, ""en"", ""tr"")"),"Sağlıklı Bilgi")</f>
        <v>Sağlıklı Bilgi</v>
      </c>
      <c r="BK139" s="7" t="str">
        <f>IFERROR(__xludf.DUMMYFUNCTION("GoogleTranslate(C139, ""en"", ""uk"")"),"Здорова інформація")</f>
        <v>Здорова інформація</v>
      </c>
      <c r="BL139" s="7" t="str">
        <f>IFERROR(__xludf.DUMMYFUNCTION("GoogleTranslate(C139, ""en"", ""zu"")"),"Ulwazi Olunempilo")</f>
        <v>Ulwazi Olunempilo</v>
      </c>
    </row>
    <row r="140">
      <c r="A140" s="5" t="str">
        <f t="shared" si="1"/>
        <v>Air_quality_is_acceptable._However,_there_may_be_a_risk_for_some_people,_particularly_those_who_are_unusually_sensitive_to_air_pollution.</v>
      </c>
      <c r="B140" s="6" t="s">
        <v>196</v>
      </c>
      <c r="C140" s="5" t="str">
        <f t="shared" si="2"/>
        <v>Air quality is acceptable. However, there may be a risk for some people, particularly those who are unusually sensitive to air pollution.</v>
      </c>
      <c r="D140" s="7" t="str">
        <f>IFERROR(__xludf.DUMMYFUNCTION("GoogleTranslate(C140,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E140" s="7" t="str">
        <f>IFERROR(__xludf.DUMMYFUNCTION("GoogleTranslate(C140, ""en"", ""ar"")"),"جودة الهواء مقبولة. ومع ذلك، قد يكون هناك خطر بالنسبة لبعض الأشخاص، وخاصة أولئك الذين لديهم حساسية غير عادية لتلوث الهواء.")</f>
        <v>جودة الهواء مقبولة. ومع ذلك، قد يكون هناك خطر بالنسبة لبعض الأشخاص، وخاصة أولئك الذين لديهم حساسية غير عادية لتلوث الهواء.</v>
      </c>
      <c r="F140" s="7" t="str">
        <f>IFERROR(__xludf.DUMMYFUNCTION("GoogleTranslate(C140, ""en"", ""hy"")"),"Օդի որակը ընդունելի է։ Այնուամենայնիվ, որոշ մարդկանց համար կարող է վտանգ լինել, հատկապես նրանց համար, ովքեր անսովոր զգայուն են օդի աղտոտվածության նկատմամբ:")</f>
        <v>Օդի որակը ընդունելի է։ Այնուամենայնիվ, որոշ մարդկանց համար կարող է վտանգ լինել, հատկապես նրանց համար, ովքեր անսովոր զգայուն են օդի աղտոտվածության նկատմամբ:</v>
      </c>
      <c r="G140" s="7" t="str">
        <f>IFERROR(__xludf.DUMMYFUNCTION("GoogleTranslate(C140, ""en"", ""vi"")"),"Chất lượng không khí ở mức chấp nhận được. Tuy nhiên, có thể có rủi ro đối với một số người, đặc biệt là những người nhạy cảm bất thường với ô nhiễm không khí.")</f>
        <v>Chất lượng không khí ở mức chấp nhận được. Tuy nhiên, có thể có rủi ro đối với một số người, đặc biệt là những người nhạy cảm bất thường với ô nhiễm không khí.</v>
      </c>
      <c r="H140" s="7" t="str">
        <f>IFERROR(__xludf.DUMMYFUNCTION("GoogleTranslate(C140, ""en"", ""az"")"),"Hava keyfiyyəti məqbuldur. Bununla belə, bəzi insanlar, xüsusən də havanın çirklənməsinə qeyri-adi dərəcədə həssas olanlar üçün risk ola bilər.")</f>
        <v>Hava keyfiyyəti məqbuldur. Bununla belə, bəzi insanlar, xüsusən də havanın çirklənməsinə qeyri-adi dərəcədə həssas olanlar üçün risk ola bilər.</v>
      </c>
      <c r="I140" s="7" t="str">
        <f>IFERROR(__xludf.DUMMYFUNCTION("GoogleTranslate(C140, ""en"", ""eu"")"),"Airearen kalitatea onargarria da. Hala ere, arriskua egon daiteke pertsona batzuentzat, batez ere airearen kutsadurarekin ohiz sentikorrak direnentzat.")</f>
        <v>Airearen kalitatea onargarria da. Hala ere, arriskua egon daiteke pertsona batzuentzat, batez ere airearen kutsadurarekin ohiz sentikorrak direnentzat.</v>
      </c>
      <c r="J140" s="7" t="str">
        <f>IFERROR(__xludf.DUMMYFUNCTION("GoogleTranslate(C140, ""en"", ""be"")"),"Якасць паветра прымальная. Аднак для некаторых людзей, асабліва для тых, хто надзвычай адчувальны да забруджвання паветра, можа быць рызыка.")</f>
        <v>Якасць паветра прымальная. Аднак для некаторых людзей, асабліва для тых, хто надзвычай адчувальны да забруджвання паветра, можа быць рызыка.</v>
      </c>
      <c r="K140" s="7" t="str">
        <f>IFERROR(__xludf.DUMMYFUNCTION("GoogleTranslate(C140, ""en"", ""bn"")"),"বায়ুর মান গ্রহণযোগ্য। যাইহোক, কিছু লোকের জন্য ঝুঁকি থাকতে পারে, বিশেষ করে যারা বায়ু দূষণের প্রতি অস্বাভাবিকভাবে সংবেদনশীল।")</f>
        <v>বায়ুর মান গ্রহণযোগ্য। যাইহোক, কিছু লোকের জন্য ঝুঁকি থাকতে পারে, বিশেষ করে যারা বায়ু দূষণের প্রতি অস্বাভাবিকভাবে সংবেদনশীল।</v>
      </c>
      <c r="L140" s="7" t="str">
        <f>IFERROR(__xludf.DUMMYFUNCTION("GoogleTranslate(C140, ""en"", ""bg"")"),"Качеството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f>
        <v>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v>
      </c>
      <c r="M140" s="7" t="str">
        <f>IFERROR(__xludf.DUMMYFUNCTION("GoogleTranslate(C140, ""en"", ""my"")"),"လေထုအရည်အသွေးသည် လက်ခံနိုင်ဖွယ်ရှိသည်။ သို့ရာတွင်၊ အထူးသဖြင့် လေထုညစ်ညမ်းမှုကို ထူးထူးခြားခြား အာရုံမခံနိုင်သော လူအချို့အတွက် အန္တရာယ်ရှိနိုင်သည်။")</f>
        <v>လေထုအရည်အသွေးသည် လက်ခံနိုင်ဖွယ်ရှိသည်။ သို့ရာတွင်၊ အထူးသဖြင့် လေထုညစ်ညမ်းမှုကို ထူးထူးခြားခြား အာရုံမခံနိုင်သော လူအချို့အတွက် အန္တရာယ်ရှိနိုင်သည်။</v>
      </c>
      <c r="N140" s="7" t="str">
        <f>IFERROR(__xludf.DUMMYFUNCTION("GoogleTranslate(C140, ""en"", ""ca"")"),"La qualitat de l'aire és acceptable. Tanmateix, hi pot haver un risc per a algunes persones, especialment aquelles que són inusualment sensibles a la contaminació de l'aire.")</f>
        <v>La qualitat de l'aire és acceptable. Tanmateix, hi pot haver un risc per a algunes persones, especialment aquelles que són inusualment sensibles a la contaminació de l'aire.</v>
      </c>
      <c r="O140" s="7" t="str">
        <f>IFERROR(__xludf.DUMMYFUNCTION("GoogleTranslate(C140, ""en"", ""zh-cn"")"),"空气质量可以接受。然而，对于某些人来说，尤其是对空气污染异常敏感的人来说，可能存在风险。")</f>
        <v>空气质量可以接受。然而，对于某些人来说，尤其是对空气污染异常敏感的人来说，可能存在风险。</v>
      </c>
      <c r="P140" s="7" t="str">
        <f>IFERROR(__xludf.DUMMYFUNCTION("GoogleTranslate(C140, ""en"", ""zh-TW"")"),"空氣品質可以接受。然而，對於某些人來說，尤其是對空氣污染異常敏感的人來說，可能會有風險。")</f>
        <v>空氣品質可以接受。然而，對於某些人來說，尤其是對空氣污染異常敏感的人來說，可能會有風險。</v>
      </c>
      <c r="Q140" s="7" t="str">
        <f>IFERROR(__xludf.DUMMYFUNCTION("GoogleTranslate(C140, ""en"", ""hr"")"),"Kvaliteta zraka je prihvatljiva. Međutim, može postojati rizik za neke ljude, osobito one koji su neobično osjetljivi na onečišćenje zraka.")</f>
        <v>Kvaliteta zraka je prihvatljiva. Međutim, može postojati rizik za neke ljude, osobito one koji su neobično osjetljivi na onečišćenje zraka.</v>
      </c>
      <c r="R140" s="7" t="str">
        <f>IFERROR(__xludf.DUMMYFUNCTION("GoogleTranslate(C140, ""en"", ""cs"")"),"Kvalita vzduchu je přijatelná. Pro některé lidi však může existovat riziko, zejména pro ty, kteří jsou neobvykle citliví na znečištění ovzduší.")</f>
        <v>Kvalita vzduchu je přijatelná. Pro některé lidi však může existovat riziko, zejména pro ty, kteří jsou neobvykle citliví na znečištění ovzduší.</v>
      </c>
      <c r="S140" s="7" t="str">
        <f>IFERROR(__xludf.DUMMYFUNCTION("GoogleTranslate(C140, ""en"", ""da"")"),"Luftkvaliteten er acceptabel. Der kan dog være en risiko for nogle mennesker, især dem, der er usædvanligt følsomme over for luftforurening.")</f>
        <v>Luftkvaliteten er acceptabel. Der kan dog være en risiko for nogle mennesker, især dem, der er usædvanligt følsomme over for luftforurening.</v>
      </c>
      <c r="T140" s="7" t="str">
        <f>IFERROR(__xludf.DUMMYFUNCTION("GoogleTranslate(C140, ""en"", ""nl"")"),"De luchtkwaliteit is acceptabel. Voor sommige mensen kan er echter een risico bestaan, vooral voor degenen die buitengewoon gevoelig zijn voor luchtverontreiniging.")</f>
        <v>De luchtkwaliteit is acceptabel. Voor sommige mensen kan er echter een risico bestaan, vooral voor degenen die buitengewoon gevoelig zijn voor luchtverontreiniging.</v>
      </c>
      <c r="U140" s="7" t="str">
        <f>IFERROR(__xludf.DUMMYFUNCTION("GoogleTranslate(C140, ""en"", ""et"")"),"Õhukvaliteet on vastuvõetav. Siiski võib see ohustada mõningaid inimesi, eriti neid, kes on õhusaaste suhtes ebatavaliselt tundlikud.")</f>
        <v>Õhukvaliteet on vastuvõetav. Siiski võib see ohustada mõningaid inimesi, eriti neid, kes on õhusaaste suhtes ebatavaliselt tundlikud.</v>
      </c>
      <c r="V140" s="5" t="str">
        <f t="shared" si="3"/>
        <v>Air quality is acceptable. However, there may be a risk for some people, particularly those who are unusually sensitive to air pollution.</v>
      </c>
      <c r="W140" s="7" t="str">
        <f>IFERROR(__xludf.DUMMYFUNCTION("GoogleTranslate(C140, ""en"", ""fi"")"),"Ilmanlaatu on hyväksyttävä. Joillekin ihmisille, erityisesti niille, jotka ovat epätavallisen herkkiä ilmansaasteille, saattaa kuitenkin olla riski.")</f>
        <v>Ilmanlaatu on hyväksyttävä. Joillekin ihmisille, erityisesti niille, jotka ovat epätavallisen herkkiä ilmansaasteille, saattaa kuitenkin olla riski.</v>
      </c>
      <c r="X140" s="7" t="str">
        <f>IFERROR(__xludf.DUMMYFUNCTION("GoogleTranslate(C140, ""en"", ""fr"")"),"La qualité de l'air est acceptable. Cependant, il peut exister un risque pour certaines personnes, en particulier celles qui sont particulièrement sensibles à la pollution atmosphérique.")</f>
        <v>La qualité de l'air est acceptable. Cependant, il peut exister un risque pour certaines personnes, en particulier celles qui sont particulièrement sensibles à la pollution atmosphérique.</v>
      </c>
      <c r="Y140" s="7" t="str">
        <f>IFERROR(__xludf.DUMMYFUNCTION("GoogleTranslate(C140, ""en"", ""de"")"),"Die Luftqualität ist akzeptabel. Für einige Menschen kann jedoch ein Risiko bestehen, insbesondere für diejenigen, die ungewöhnlich empfindlich auf Luftverschmutzung reagieren.")</f>
        <v>Die Luftqualität ist akzeptabel. Für einige Menschen kann jedoch ein Risiko bestehen, insbesondere für diejenigen, die ungewöhnlich empfindlich auf Luftverschmutzung reagieren.</v>
      </c>
      <c r="Z140" s="7" t="str">
        <f>IFERROR(__xludf.DUMMYFUNCTION("GoogleTranslate(C140, ""en"", ""el"")"),"Η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f>
        <v>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v>
      </c>
      <c r="AA140" s="7" t="str">
        <f>IFERROR(__xludf.DUMMYFUNCTION("GoogleTranslate(C140, ""en"", ""iw"")"),"איכות האוויר מקובלת. עם זאת, עשוי להיות סיכון עבור אנשים מסוימים, במיוחד אלה הרגישים בצורה יוצאת דופן לזיהום אוויר.")</f>
        <v>איכות האוויר מקובלת. עם זאת, עשוי להיות סיכון עבור אנשים מסוימים, במיוחד אלה הרגישים בצורה יוצאת דופן לזיהום אוויר.</v>
      </c>
      <c r="AB140" s="7" t="str">
        <f>IFERROR(__xludf.DUMMYFUNCTION("GoogleTranslate(C140, ""en"", ""hi"")"),"वायु गुणवत्ता स्वीकार्य है. हालाँकि, कुछ लोगों के लिए जोखिम हो सकता है, विशेषकर उन लोगों के लिए जो वायु प्रदूषण के प्रति असामान्य रूप से संवेदनशील हैं।")</f>
        <v>वायु गुणवत्ता स्वीकार्य है. हालाँकि, कुछ लोगों के लिए जोखिम हो सकता है, विशेषकर उन लोगों के लिए जो वायु प्रदूषण के प्रति असामान्य रूप से संवेदनशील हैं।</v>
      </c>
      <c r="AC140" s="7" t="str">
        <f>IFERROR(__xludf.DUMMYFUNCTION("GoogleTranslate(C140, ""en"", ""hu"")"),"A levegő minősége elfogadható. Néhány ember számára azonban fennállhat a kockázat, különösen azok számára, akik szokatlanul érzékenyek a levegőszennyezésre.")</f>
        <v>A levegő minősége elfogadható. Néhány ember számára azonban fennállhat a kockázat, különösen azok számára, akik szokatlanul érzékenyek a levegőszennyezésre.</v>
      </c>
      <c r="AD140" s="7" t="str">
        <f>IFERROR(__xludf.DUMMYFUNCTION("GoogleTranslate(C140, ""en"", ""is"")"),"Loftgæði eru ásættanleg. Hins vegar getur verið hætta fyrir sumt fólk, sérstaklega þá sem eru óvenju viðkvæmir fyrir loftmengun.")</f>
        <v>Loftgæði eru ásættanleg. Hins vegar getur verið hætta fyrir sumt fólk, sérstaklega þá sem eru óvenju viðkvæmir fyrir loftmengun.</v>
      </c>
      <c r="AE140" s="7" t="str">
        <f>IFERROR(__xludf.DUMMYFUNCTION("GoogleTranslate(C140, ""en"", ""id"")"),"Kualitas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F140" s="7" t="str">
        <f>IFERROR(__xludf.DUMMYFUNCTION("GoogleTranslate(C140, ""en"", ""in"")"),"Kualitas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G140" s="7" t="str">
        <f>IFERROR(__xludf.DUMMYFUNCTION("GoogleTranslate(C140, ""en"", ""it"")"),"La qualità dell'aria è accettabile. Tuttavia, potrebbe esserci un rischio per alcune persone, in particolare per coloro che sono insolitamente sensibili all’inquinamento atmosferico.")</f>
        <v>La qualità dell'aria è accettabile. Tuttavia, potrebbe esserci un rischio per alcune persone, in particolare per coloro che sono insolitamente sensibili all’inquinamento atmosferico.</v>
      </c>
      <c r="AH140" s="7" t="str">
        <f>IFERROR(__xludf.DUMMYFUNCTION("GoogleTranslate(C140, ""en"", ""ja"")"),"空気の質は許容範囲内です。ただし、一部の人、特に大気汚染に異常に敏感な人にとってはリスクが存在する可能性があります。")</f>
        <v>空気の質は許容範囲内です。ただし、一部の人、特に大気汚染に異常に敏感な人にとってはリスクが存在する可能性があります。</v>
      </c>
      <c r="AI140" s="7" t="str">
        <f>IFERROR(__xludf.DUMMYFUNCTION("GoogleTranslate(C140, ""en"", ""kn"")"),"ಗಾಳಿಯ ಗುಣಮಟ್ಟ ಸ್ವೀಕಾರಾರ್ಹವಾಗಿದೆ. ಆದಾಗ್ಯೂ, ಕೆಲವು ಜನರಿಗೆ, ವಿಶೇಷವಾಗಿ ವಾಯುಮಾಲಿನ್ಯಕ್ಕೆ ಅಸಾಮಾನ್ಯವಾಗಿ ಸಂವೇದನಾಶೀಲರಾಗಿರುವವರಿಗೆ ಅಪಾಯವಿರಬಹುದು.")</f>
        <v>ಗಾಳಿಯ ಗುಣಮಟ್ಟ ಸ್ವೀಕಾರಾರ್ಹವಾಗಿದೆ. ಆದಾಗ್ಯೂ, ಕೆಲವು ಜನರಿಗೆ, ವಿಶೇಷವಾಗಿ ವಾಯುಮಾಲಿನ್ಯಕ್ಕೆ ಅಸಾಮಾನ್ಯವಾಗಿ ಸಂವೇದನಾಶೀಲರಾಗಿರುವವರಿಗೆ ಅಪಾಯವಿರಬಹುದು.</v>
      </c>
      <c r="AJ140" s="7" t="str">
        <f>IFERROR(__xludf.DUMMYFUNCTION("GoogleTranslate(C140, ""en"", ""km"")"),"គុណភាពខ្យល់អាចទទួលយកបាន។ ទោះយ៉ាងណាក៏ដោយ វាអាចមានហានិភ័យសម្រាប់មនុស្សមួយចំនួន ជាពិសេសអ្នកដែលងាយនឹងបំពុលខ្យល់។")</f>
        <v>គុណភាពខ្យល់អាចទទួលយកបាន។ ទោះយ៉ាងណាក៏ដោយ វាអាចមានហានិភ័យសម្រាប់មនុស្សមួយចំនួន ជាពិសេសអ្នកដែលងាយនឹងបំពុលខ្យល់។</v>
      </c>
      <c r="AK140" s="7" t="str">
        <f>IFERROR(__xludf.DUMMYFUNCTION("GoogleTranslate(C140, ""en"", ""ko"")"),"공기질은 괜찮습니다. 그러나 일부 사람들, 특히 대기 오염에 특별히 민감한 사람들에게는 위험이 있을 수 있습니다.")</f>
        <v>공기질은 괜찮습니다. 그러나 일부 사람들, 특히 대기 오염에 특별히 민감한 사람들에게는 위험이 있을 수 있습니다.</v>
      </c>
      <c r="AL140" s="7" t="str">
        <f>IFERROR(__xludf.DUMMYFUNCTION("GoogleTranslate(C140, ""en"", ""lo"")"),"ຄຸນນະພາບອາກາດເປັນທີ່ຍອມຮັບ.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f>
        <v>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v>
      </c>
      <c r="AM140" s="7" t="str">
        <f>IFERROR(__xludf.DUMMYFUNCTION("GoogleTranslate(C140, ""en"", ""lv"")"),"Gaisa kvalitāte ir pieņemama. Tomēr dažiem cilvēkiem var būt risks, jo īpaši tiem, kuri ir neparasti jutīgi pret gaisa piesārņojumu.")</f>
        <v>Gaisa kvalitāte ir pieņemama. Tomēr dažiem cilvēkiem var būt risks, jo īpaši tiem, kuri ir neparasti jutīgi pret gaisa piesārņojumu.</v>
      </c>
      <c r="AN140" s="7" t="str">
        <f>IFERROR(__xludf.DUMMYFUNCTION("GoogleTranslate(C140, ""en"", ""lt"")"),"Oro kokybė yra priimtina. Tačiau kai kuriems žmonėms, ypač neįprastai jautriems oro taršai, gali kilti pavojus.")</f>
        <v>Oro kokybė yra priimtina. Tačiau kai kuriems žmonėms, ypač neįprastai jautriems oro taršai, gali kilti pavojus.</v>
      </c>
      <c r="AO140" s="7" t="str">
        <f>IFERROR(__xludf.DUMMYFUNCTION("GoogleTranslate(C140, ""en"", ""mk"")"),"Квалитетот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f>
        <v>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v>
      </c>
      <c r="AP140" s="7" t="str">
        <f>IFERROR(__xludf.DUMMYFUNCTION("GoogleTranslate(C140, ""en"", ""ms"")"),"Kualiti udara boleh diterima. Walau bagaimanapun, mungkin terdapat risiko bagi sesetengah orang, terutamanya mereka yang luar biasa sensitif terhadap pencemaran udara.")</f>
        <v>Kualiti udara boleh diterima. Walau bagaimanapun, mungkin terdapat risiko bagi sesetengah orang, terutamanya mereka yang luar biasa sensitif terhadap pencemaran udara.</v>
      </c>
      <c r="AQ140" s="7" t="str">
        <f>IFERROR(__xludf.DUMMYFUNCTION("GoogleTranslate(C140, ""en"", ""ml"")"),"വായുവിൻ്റെ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f>
        <v>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v>
      </c>
      <c r="AR140" s="7" t="str">
        <f>IFERROR(__xludf.DUMMYFUNCTION("GoogleTranslate(C140, ""en"", ""mr"")"),"हवेची गुणवत्ता स्वीकार्य आहे. तथापि, काही लोकांसाठी धोका असू शकतो, विशेषत: जे वायू प्रदूषणासाठी असामान्यपणे संवेदनशील असतात.")</f>
        <v>हवेची गुणवत्ता स्वीकार्य आहे. तथापि, काही लोकांसाठी धोका असू शकतो, विशेषत: जे वायू प्रदूषणासाठी असामान्यपणे संवेदनशील असतात.</v>
      </c>
      <c r="AS140" s="7" t="str">
        <f>IFERROR(__xludf.DUMMYFUNCTION("GoogleTranslate(C140, ""en"", ""mn"")"),"Агаарын чанарыг хүлээн зөвшөөрөх боломжтой. Гэсэн хэдий ч зарим хүмүүст, ялангуяа агаарын бохирдолд хэт мэдрэмтгий хүмүүст эрсдэлтэй байж болно.")</f>
        <v>Агаарын чанарыг хүлээн зөвшөөрөх боломжтой. Гэсэн хэдий ч зарим хүмүүст, ялангуяа агаарын бохирдолд хэт мэдрэмтгий хүмүүст эрсдэлтэй байж болно.</v>
      </c>
      <c r="AT140" s="7" t="str">
        <f>IFERROR(__xludf.DUMMYFUNCTION("GoogleTranslate(C140, ""en"", ""ne"")"),"हावा गुणस्तर स्वीकार्य छ। यद्यपि, केही व्यक्तिहरूका लागि जोखिम हुन सक्छ, विशेष गरी जो वायु प्रदूषणप्रति असामान्य रूपमा संवेदनशील हुन्छन्।")</f>
        <v>हावा गुणस्तर स्वीकार्य छ। यद्यपि, केही व्यक्तिहरूका लागि जोखिम हुन सक्छ, विशेष गरी जो वायु प्रदूषणप्रति असामान्य रूपमा संवेदनशील हुन्छन्।</v>
      </c>
      <c r="AU140" s="7" t="str">
        <f>IFERROR(__xludf.DUMMYFUNCTION("GoogleTranslate(C140, ""en"", ""nb"")"),"Luftkvaliteten er akseptabel. Imidlertid kan det være en risiko for noen mennesker, spesielt de som er uvanlig følsomme for luftforurensning.")</f>
        <v>Luftkvaliteten er akseptabel. Imidlertid kan det være en risiko for noen mennesker, spesielt de som er uvanlig følsomme for luftforurensning.</v>
      </c>
      <c r="AV140" s="7" t="str">
        <f>IFERROR(__xludf.DUMMYFUNCTION("GoogleTranslate(C140, ""en"", ""fa"")"),"کیفیت هوا قابل قبول است. با این حال، ممکن است خطری برای برخی از افراد، به ویژه آنهایی که به طور غیرعادی نسبت به آلودگی هوا حساس هستند، وجود داشته باشد.")</f>
        <v>کیفیت هوا قابل قبول است. با این حال، ممکن است خطری برای برخی از افراد، به ویژه آنهایی که به طور غیرعادی نسبت به آلودگی هوا حساس هستند، وجود داشته باشد.</v>
      </c>
      <c r="AW140" s="7" t="str">
        <f>IFERROR(__xludf.DUMMYFUNCTION("GoogleTranslate(C140, ""en"", ""pl"")"),"Jakość powietrza jest akceptowalna. Jednakże może istnieć ryzyko dla niektórych osób, szczególnie tych, które są niezwykle wrażliwe na zanieczyszczenie powietrza.")</f>
        <v>Jakość powietrza jest akceptowalna. Jednakże może istnieć ryzyko dla niektórych osób, szczególnie tych, które są niezwykle wrażliwe na zanieczyszczenie powietrza.</v>
      </c>
      <c r="AX140" s="7" t="str">
        <f>IFERROR(__xludf.DUMMYFUNCTION("GoogleTranslate(C140, ""en"", ""pt"")"),"A qualidade do ar é aceitável. No entanto, pode existir um risco para algumas pessoas, especialmente aquelas que são invulgarmente sensíveis à poluição atmosférica.")</f>
        <v>A qualidade do ar é aceitável. No entanto, pode existir um risco para algumas pessoas, especialmente aquelas que são invulgarmente sensíveis à poluição atmosférica.</v>
      </c>
      <c r="AY140" s="7" t="str">
        <f>IFERROR(__xludf.DUMMYFUNCTION("GoogleTranslate(C140, ""en"", ""ro"")"),"Calitatea aerului este acceptabilă. Cu toate acestea, poate exista un risc pentru unii oameni, în special pentru cei care sunt neobișnuit de sensibili la poluarea aerului.")</f>
        <v>Calitatea aerului este acceptabilă. Cu toate acestea, poate exista un risc pentru unii oameni, în special pentru cei care sunt neobișnuit de sensibili la poluarea aerului.</v>
      </c>
      <c r="AZ140" s="7" t="str">
        <f>IFERROR(__xludf.DUMMYFUNCTION("GoogleTranslate(C140, ""en"", ""ru"")"),"Качество воздуха приемлемое. Однако для некоторых людей, особенно для тех, кто необычайно чувствителен к загрязнению воздуха, может существовать риск.")</f>
        <v>Качество воздуха приемлемое. Однако для некоторых людей, особенно для тех, кто необычайно чувствителен к загрязнению воздуха, может существовать риск.</v>
      </c>
      <c r="BA140" s="7" t="str">
        <f>IFERROR(__xludf.DUMMYFUNCTION("GoogleTranslate(C140, ""en"", ""sr"")"),"Квалитет ваздуха је прихватљив. Међутим, може постојати ризик за неке људе, посебно оне који су необично осетљиви на загађење ваздуха.")</f>
        <v>Квалитет ваздуха је прихватљив. Међутим, може постојати ризик за неке људе, посебно оне који су необично осетљиви на загађење ваздуха.</v>
      </c>
      <c r="BB140" s="7" t="str">
        <f>IFERROR(__xludf.DUMMYFUNCTION("GoogleTranslate(C140, ""en"", ""si"")"),"වාතයේ ගුණාත්මකභාවය පිළිගත හැකි ය. කෙසේ වෙතත්, සමහර පුද්ගලයින්ට, විශේෂයෙන් වායු දූෂණයට අසාමාන්‍ය ලෙස සංවේදී වන අයට අවදානමක් තිබිය හැකිය.")</f>
        <v>වාතයේ ගුණාත්මකභාවය පිළිගත හැකි ය. කෙසේ වෙතත්, සමහර පුද්ගලයින්ට, විශේෂයෙන් වායු දූෂණයට අසාමාන්‍ය ලෙස සංවේදී වන අයට අවදානමක් තිබිය හැකිය.</v>
      </c>
      <c r="BC140" s="7" t="str">
        <f>IFERROR(__xludf.DUMMYFUNCTION("GoogleTranslate(C140, ""en"", ""sk"")"),"Kvalita vzduchu je prijateľná. Pre niektorých ľudí však môže existovať riziko, najmä pre tých, ktorí sú nezvyčajne citliví na znečistenie ovzdušia.")</f>
        <v>Kvalita vzduchu je prijateľná. Pre niektorých ľudí však môže existovať riziko, najmä pre tých, ktorí sú nezvyčajne citliví na znečistenie ovzdušia.</v>
      </c>
      <c r="BD140" s="7" t="str">
        <f>IFERROR(__xludf.DUMMYFUNCTION("GoogleTranslate(C140, ""en"", ""sl"")"),"Kakovost zraka je sprejemljiva. Vendar pa lahko obstaja tveganje za nekatere ljudi, zlasti tiste, ki so neobičajno občutljivi na onesnažen zrak.")</f>
        <v>Kakovost zraka je sprejemljiva. Vendar pa lahko obstaja tveganje za nekatere ljudi, zlasti tiste, ki so neobičajno občutljivi na onesnažen zrak.</v>
      </c>
      <c r="BE140" s="7" t="str">
        <f>IFERROR(__xludf.DUMMYFUNCTION("GoogleTranslate(C140,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BF140" s="7" t="str">
        <f>IFERROR(__xludf.DUMMYFUNCTION("GoogleTranslate(C140, ""en"", ""sw"")"),"Ubora wa hewa unakubalika. Hata hivyo, kunaweza kuwa na hatari kwa baadhi ya watu, hasa wale ambao ni nyeti isivyo kawaida kwa uchafuzi wa hewa.")</f>
        <v>Ubora wa hewa unakubalika. Hata hivyo, kunaweza kuwa na hatari kwa baadhi ya watu, hasa wale ambao ni nyeti isivyo kawaida kwa uchafuzi wa hewa.</v>
      </c>
      <c r="BG140" s="7" t="str">
        <f>IFERROR(__xludf.DUMMYFUNCTION("GoogleTranslate(C140, ""en"", ""sv"")"),"Luftkvaliteten är acceptabel. Det kan dock finnas en risk för vissa människor, särskilt de som är ovanligt känsliga för luftföroreningar.")</f>
        <v>Luftkvaliteten är acceptabel. Det kan dock finnas en risk för vissa människor, särskilt de som är ovanligt känsliga för luftföroreningar.</v>
      </c>
      <c r="BH140" s="7" t="str">
        <f>IFERROR(__xludf.DUMMYFUNCTION("GoogleTranslate(C140, ""en"", ""te"")"),"గాలి నాణ్యత ఆమోదయోగ్యమైనది. అయినప్పటికీ, కొంతమందికి, ముఖ్యంగా వాయు కాలుష్యానికి అసాధారణంగా సున్నితంగా ఉండేవారికి ప్రమాదం ఉండవచ్చు.")</f>
        <v>గాలి నాణ్యత ఆమోదయోగ్యమైనది. అయినప్పటికీ, కొంతమందికి, ముఖ్యంగా వాయు కాలుష్యానికి అసాధారణంగా సున్నితంగా ఉండేవారికి ప్రమాదం ఉండవచ్చు.</v>
      </c>
      <c r="BI140" s="7" t="str">
        <f>IFERROR(__xludf.DUMMYFUNCTION("GoogleTranslate(C140, ""en"", ""th"")"),"คุณภาพอากาศเป็นที่ยอมรับ อย่างไรก็ตาม อาจมีความเสี่ยงสำหรับบางคน โดยเฉพาะผู้ที่มีความไวต่อมลพิษทางอากาศอย่างผิดปกติ")</f>
        <v>คุณภาพอากาศเป็นที่ยอมรับ อย่างไรก็ตาม อาจมีความเสี่ยงสำหรับบางคน โดยเฉพาะผู้ที่มีความไวต่อมลพิษทางอากาศอย่างผิดปกติ</v>
      </c>
      <c r="BJ140" s="7" t="str">
        <f>IFERROR(__xludf.DUMMYFUNCTION("GoogleTranslate(C140, ""en"", ""tr"")"),"Hava kalitesi kabul edilebilir. Ancak bazı insanlar, özellikle de hava kirliliğine karşı alışılmadık derecede hassas olanlar için risk söz konusu olabilir.")</f>
        <v>Hava kalitesi kabul edilebilir. Ancak bazı insanlar, özellikle de hava kirliliğine karşı alışılmadık derecede hassas olanlar için risk söz konusu olabilir.</v>
      </c>
      <c r="BK140" s="7" t="str">
        <f>IFERROR(__xludf.DUMMYFUNCTION("GoogleTranslate(C140, ""en"", ""uk"")"),"Якість повітря прийнятна. Однак для деяких людей, особливо для тих, хто надзвичайно чутливий до забруднення повітря, може бути ризик.")</f>
        <v>Якість повітря прийнятна. Однак для деяких людей, особливо для тих, хто надзвичайно чутливий до забруднення повітря, може бути ризик.</v>
      </c>
      <c r="BL140" s="7" t="str">
        <f>IFERROR(__xludf.DUMMYFUNCTION("GoogleTranslate(C140, ""en"", ""zu"")"),"Ikhwalithi yomoya yamukelekile. Nokho, kungase kube nengozi kwabanye abantu, ikakhulukazi labo abazwela ngokungavamile ukungcoliswa komoya.")</f>
        <v>Ikhwalithi yomoya yamukelekile. Nokho, kungase kube nengozi kwabanye abantu, ikakhulukazi labo abazwela ngokungavamile ukungcoliswa komoya.</v>
      </c>
    </row>
    <row r="141">
      <c r="A141" s="5" t="str">
        <f t="shared" si="1"/>
        <v>Recommended_Precautions</v>
      </c>
      <c r="B141" s="6" t="s">
        <v>197</v>
      </c>
      <c r="C141" s="5" t="str">
        <f t="shared" si="2"/>
        <v>Recommended Precautions</v>
      </c>
      <c r="D141" s="7" t="str">
        <f>IFERROR(__xludf.DUMMYFUNCTION("GoogleTranslate(C141, ""en"", ""es"")"),"Precauciones recomendadas")</f>
        <v>Precauciones recomendadas</v>
      </c>
      <c r="E141" s="7" t="str">
        <f>IFERROR(__xludf.DUMMYFUNCTION("GoogleTranslate(C141, ""en"", ""ar"")"),"الاحتياطات الموصى بها")</f>
        <v>الاحتياطات الموصى بها</v>
      </c>
      <c r="F141" s="7" t="str">
        <f>IFERROR(__xludf.DUMMYFUNCTION("GoogleTranslate(C141, ""en"", ""hy"")"),"Առաջարկվող նախազգուշական միջոցներ")</f>
        <v>Առաջարկվող նախազգուշական միջոցներ</v>
      </c>
      <c r="G141" s="7" t="str">
        <f>IFERROR(__xludf.DUMMYFUNCTION("GoogleTranslate(C141, ""en"", ""vi"")"),"Biện pháp phòng ngừa được đề xuất")</f>
        <v>Biện pháp phòng ngừa được đề xuất</v>
      </c>
      <c r="H141" s="7" t="str">
        <f>IFERROR(__xludf.DUMMYFUNCTION("GoogleTranslate(C141, ""en"", ""az"")"),"Tövsiyə olunan ehtiyat tədbirləri")</f>
        <v>Tövsiyə olunan ehtiyat tədbirləri</v>
      </c>
      <c r="I141" s="7" t="str">
        <f>IFERROR(__xludf.DUMMYFUNCTION("GoogleTranslate(C141, ""en"", ""eu"")"),"Gomendatutako neurriak")</f>
        <v>Gomendatutako neurriak</v>
      </c>
      <c r="J141" s="7" t="str">
        <f>IFERROR(__xludf.DUMMYFUNCTION("GoogleTranslate(C141, ""en"", ""be"")"),"Рэкамендуемыя меры засцярогі")</f>
        <v>Рэкамендуемыя меры засцярогі</v>
      </c>
      <c r="K141" s="7" t="str">
        <f>IFERROR(__xludf.DUMMYFUNCTION("GoogleTranslate(C141, ""en"", ""bn"")"),"সুপারিশকৃত সতর্কতা")</f>
        <v>সুপারিশকৃত সতর্কতা</v>
      </c>
      <c r="L141" s="7" t="str">
        <f>IFERROR(__xludf.DUMMYFUNCTION("GoogleTranslate(C141, ""en"", ""bg"")"),"Препоръчителни предпазни мерки")</f>
        <v>Препоръчителни предпазни мерки</v>
      </c>
      <c r="M141" s="7" t="str">
        <f>IFERROR(__xludf.DUMMYFUNCTION("GoogleTranslate(C141, ""en"", ""my"")"),"အကြံပြုထားသော ကြိုတင်ကာကွယ်မှုများ")</f>
        <v>အကြံပြုထားသော ကြိုတင်ကာကွယ်မှုများ</v>
      </c>
      <c r="N141" s="7" t="str">
        <f>IFERROR(__xludf.DUMMYFUNCTION("GoogleTranslate(C141, ""en"", ""ca"")"),"Precaucions recomanades")</f>
        <v>Precaucions recomanades</v>
      </c>
      <c r="O141" s="7" t="str">
        <f>IFERROR(__xludf.DUMMYFUNCTION("GoogleTranslate(C141, ""en"", ""zh-cn"")"),"建议的预防措施")</f>
        <v>建议的预防措施</v>
      </c>
      <c r="P141" s="7" t="str">
        <f>IFERROR(__xludf.DUMMYFUNCTION("GoogleTranslate(C141, ""en"", ""zh-TW"")"),"建議的預防措施")</f>
        <v>建議的預防措施</v>
      </c>
      <c r="Q141" s="7" t="str">
        <f>IFERROR(__xludf.DUMMYFUNCTION("GoogleTranslate(C141, ""en"", ""hr"")"),"Preporučene mjere opreza")</f>
        <v>Preporučene mjere opreza</v>
      </c>
      <c r="R141" s="7" t="str">
        <f>IFERROR(__xludf.DUMMYFUNCTION("GoogleTranslate(C141, ""en"", ""cs"")"),"Doporučená bezpečnostní opatření")</f>
        <v>Doporučená bezpečnostní opatření</v>
      </c>
      <c r="S141" s="7" t="str">
        <f>IFERROR(__xludf.DUMMYFUNCTION("GoogleTranslate(C141, ""en"", ""da"")"),"Anbefalede forholdsregler")</f>
        <v>Anbefalede forholdsregler</v>
      </c>
      <c r="T141" s="7" t="str">
        <f>IFERROR(__xludf.DUMMYFUNCTION("GoogleTranslate(C141, ""en"", ""nl"")"),"Aanbevolen voorzorgsmaatregelen")</f>
        <v>Aanbevolen voorzorgsmaatregelen</v>
      </c>
      <c r="U141" s="7" t="str">
        <f>IFERROR(__xludf.DUMMYFUNCTION("GoogleTranslate(C141, ""en"", ""et"")"),"Soovitatavad ettevaatusabinõud")</f>
        <v>Soovitatavad ettevaatusabinõud</v>
      </c>
      <c r="V141" s="5" t="str">
        <f t="shared" si="3"/>
        <v>Recommended Precautions</v>
      </c>
      <c r="W141" s="7" t="str">
        <f>IFERROR(__xludf.DUMMYFUNCTION("GoogleTranslate(C141, ""en"", ""fi"")"),"Suositeltavat varotoimet")</f>
        <v>Suositeltavat varotoimet</v>
      </c>
      <c r="X141" s="7" t="str">
        <f>IFERROR(__xludf.DUMMYFUNCTION("GoogleTranslate(C141, ""en"", ""fr"")"),"Précautions recommandées")</f>
        <v>Précautions recommandées</v>
      </c>
      <c r="Y141" s="7" t="str">
        <f>IFERROR(__xludf.DUMMYFUNCTION("GoogleTranslate(C141, ""en"", ""de"")"),"Empfohlene Vorsichtsmaßnahmen")</f>
        <v>Empfohlene Vorsichtsmaßnahmen</v>
      </c>
      <c r="Z141" s="7" t="str">
        <f>IFERROR(__xludf.DUMMYFUNCTION("GoogleTranslate(C141, ""en"", ""el"")"),"Συνιστώμενες προφυλάξεις")</f>
        <v>Συνιστώμενες προφυλάξεις</v>
      </c>
      <c r="AA141" s="7" t="str">
        <f>IFERROR(__xludf.DUMMYFUNCTION("GoogleTranslate(C141, ""en"", ""iw"")"),"אמצעי זהירות מומלצים")</f>
        <v>אמצעי זהירות מומלצים</v>
      </c>
      <c r="AB141" s="7" t="str">
        <f>IFERROR(__xludf.DUMMYFUNCTION("GoogleTranslate(C141, ""en"", ""hi"")"),"अनुशंसित सावधानियां")</f>
        <v>अनुशंसित सावधानियां</v>
      </c>
      <c r="AC141" s="7" t="str">
        <f>IFERROR(__xludf.DUMMYFUNCTION("GoogleTranslate(C141, ""en"", ""hu"")"),"Javasolt óvintézkedések")</f>
        <v>Javasolt óvintézkedések</v>
      </c>
      <c r="AD141" s="7" t="str">
        <f>IFERROR(__xludf.DUMMYFUNCTION("GoogleTranslate(C141, ""en"", ""is"")"),"Ráðlagðar varúðarráðstafanir")</f>
        <v>Ráðlagðar varúðarráðstafanir</v>
      </c>
      <c r="AE141" s="7" t="str">
        <f>IFERROR(__xludf.DUMMYFUNCTION("GoogleTranslate(C141, ""en"", ""id"")"),"Tindakan Pencegahan yang Disarankan")</f>
        <v>Tindakan Pencegahan yang Disarankan</v>
      </c>
      <c r="AF141" s="7" t="str">
        <f>IFERROR(__xludf.DUMMYFUNCTION("GoogleTranslate(C141, ""en"", ""in"")"),"Tindakan Pencegahan yang Disarankan")</f>
        <v>Tindakan Pencegahan yang Disarankan</v>
      </c>
      <c r="AG141" s="7" t="str">
        <f>IFERROR(__xludf.DUMMYFUNCTION("GoogleTranslate(C141, ""en"", ""it"")"),"Precauzioni consigliate")</f>
        <v>Precauzioni consigliate</v>
      </c>
      <c r="AH141" s="7" t="str">
        <f>IFERROR(__xludf.DUMMYFUNCTION("GoogleTranslate(C141, ""en"", ""ja"")"),"推奨される予防措置")</f>
        <v>推奨される予防措置</v>
      </c>
      <c r="AI141" s="7" t="str">
        <f>IFERROR(__xludf.DUMMYFUNCTION("GoogleTranslate(C141, ""en"", ""kn"")"),"ಶಿಫಾರಸು ಮಾಡಲಾದ ಮುನ್ನೆಚ್ಚರಿಕೆಗಳು")</f>
        <v>ಶಿಫಾರಸು ಮಾಡಲಾದ ಮುನ್ನೆಚ್ಚರಿಕೆಗಳು</v>
      </c>
      <c r="AJ141" s="7" t="str">
        <f>IFERROR(__xludf.DUMMYFUNCTION("GoogleTranslate(C141, ""en"", ""km"")"),"ការប្រុងប្រយ័ត្នដែលបានណែនាំ")</f>
        <v>ការប្រុងប្រយ័ត្នដែលបានណែនាំ</v>
      </c>
      <c r="AK141" s="7" t="str">
        <f>IFERROR(__xludf.DUMMYFUNCTION("GoogleTranslate(C141, ""en"", ""ko"")"),"권장 예방조치")</f>
        <v>권장 예방조치</v>
      </c>
      <c r="AL141" s="7" t="str">
        <f>IFERROR(__xludf.DUMMYFUNCTION("GoogleTranslate(C141, ""en"", ""lo"")"),"ຂໍ້ຄວນລະວັງທີ່ແນະນຳ")</f>
        <v>ຂໍ້ຄວນລະວັງທີ່ແນະນຳ</v>
      </c>
      <c r="AM141" s="7" t="str">
        <f>IFERROR(__xludf.DUMMYFUNCTION("GoogleTranslate(C141, ""en"", ""lv"")"),"Ieteicamie piesardzības pasākumi")</f>
        <v>Ieteicamie piesardzības pasākumi</v>
      </c>
      <c r="AN141" s="7" t="str">
        <f>IFERROR(__xludf.DUMMYFUNCTION("GoogleTranslate(C141, ""en"", ""lt"")"),"Rekomenduojamos atsargumo priemonės")</f>
        <v>Rekomenduojamos atsargumo priemonės</v>
      </c>
      <c r="AO141" s="7" t="str">
        <f>IFERROR(__xludf.DUMMYFUNCTION("GoogleTranslate(C141, ""en"", ""mk"")"),"Препорачани мерки на претпазливост")</f>
        <v>Препорачани мерки на претпазливост</v>
      </c>
      <c r="AP141" s="7" t="str">
        <f>IFERROR(__xludf.DUMMYFUNCTION("GoogleTranslate(C141, ""en"", ""ms"")"),"Langkah berjaga-jaga yang disyorkan")</f>
        <v>Langkah berjaga-jaga yang disyorkan</v>
      </c>
      <c r="AQ141" s="7" t="str">
        <f>IFERROR(__xludf.DUMMYFUNCTION("GoogleTranslate(C141, ""en"", ""ml"")"),"ശുപാർശ ചെയ്യുന്ന മുൻകരുതലുകൾ")</f>
        <v>ശുപാർശ ചെയ്യുന്ന മുൻകരുതലുകൾ</v>
      </c>
      <c r="AR141" s="7" t="str">
        <f>IFERROR(__xludf.DUMMYFUNCTION("GoogleTranslate(C141, ""en"", ""mr"")"),"शिफारस केलेली खबरदारी")</f>
        <v>शिफारस केलेली खबरदारी</v>
      </c>
      <c r="AS141" s="7" t="str">
        <f>IFERROR(__xludf.DUMMYFUNCTION("GoogleTranslate(C141, ""en"", ""mn"")"),"Зөвлөмж болгож буй урьдчилан сэргийлэх арга хэмжээ")</f>
        <v>Зөвлөмж болгож буй урьдчилан сэргийлэх арга хэмжээ</v>
      </c>
      <c r="AT141" s="7" t="str">
        <f>IFERROR(__xludf.DUMMYFUNCTION("GoogleTranslate(C141, ""en"", ""ne"")"),"सिफारिस गरिएका सावधानीहरू")</f>
        <v>सिफारिस गरिएका सावधानीहरू</v>
      </c>
      <c r="AU141" s="7" t="str">
        <f>IFERROR(__xludf.DUMMYFUNCTION("GoogleTranslate(C141, ""en"", ""nb"")"),"Anbefalte forholdsregler")</f>
        <v>Anbefalte forholdsregler</v>
      </c>
      <c r="AV141" s="7" t="str">
        <f>IFERROR(__xludf.DUMMYFUNCTION("GoogleTranslate(C141, ""en"", ""fa"")"),"اقدامات احتیاطی توصیه شده")</f>
        <v>اقدامات احتیاطی توصیه شده</v>
      </c>
      <c r="AW141" s="7" t="str">
        <f>IFERROR(__xludf.DUMMYFUNCTION("GoogleTranslate(C141, ""en"", ""pl"")"),"Zalecane środki ostrożności")</f>
        <v>Zalecane środki ostrożności</v>
      </c>
      <c r="AX141" s="7" t="str">
        <f>IFERROR(__xludf.DUMMYFUNCTION("GoogleTranslate(C141, ""en"", ""pt"")"),"Precauções recomendadas")</f>
        <v>Precauções recomendadas</v>
      </c>
      <c r="AY141" s="7" t="str">
        <f>IFERROR(__xludf.DUMMYFUNCTION("GoogleTranslate(C141, ""en"", ""ro"")"),"Precauții recomandate")</f>
        <v>Precauții recomandate</v>
      </c>
      <c r="AZ141" s="7" t="str">
        <f>IFERROR(__xludf.DUMMYFUNCTION("GoogleTranslate(C141, ""en"", ""ru"")"),"Рекомендуемые меры предосторожности")</f>
        <v>Рекомендуемые меры предосторожности</v>
      </c>
      <c r="BA141" s="7" t="str">
        <f>IFERROR(__xludf.DUMMYFUNCTION("GoogleTranslate(C141, ""en"", ""sr"")"),"Препоручене мере предострожности")</f>
        <v>Препоручене мере предострожности</v>
      </c>
      <c r="BB141" s="7" t="str">
        <f>IFERROR(__xludf.DUMMYFUNCTION("GoogleTranslate(C141, ""en"", ""si"")"),"නිර්දේශිත පූර්වාරක්ෂාවන්")</f>
        <v>නිර්දේශිත පූර්වාරක්ෂාවන්</v>
      </c>
      <c r="BC141" s="7" t="str">
        <f>IFERROR(__xludf.DUMMYFUNCTION("GoogleTranslate(C141, ""en"", ""sk"")"),"Odporúčané preventívne opatrenia")</f>
        <v>Odporúčané preventívne opatrenia</v>
      </c>
      <c r="BD141" s="7" t="str">
        <f>IFERROR(__xludf.DUMMYFUNCTION("GoogleTranslate(C141, ""en"", ""sl"")"),"Priporočeni previdnostni ukrepi")</f>
        <v>Priporočeni previdnostni ukrepi</v>
      </c>
      <c r="BE141" s="7" t="str">
        <f>IFERROR(__xludf.DUMMYFUNCTION("GoogleTranslate(C141, ""en"", ""es"")"),"Precauciones recomendadas")</f>
        <v>Precauciones recomendadas</v>
      </c>
      <c r="BF141" s="7" t="str">
        <f>IFERROR(__xludf.DUMMYFUNCTION("GoogleTranslate(C141, ""en"", ""sw"")"),"Tahadhari Zilizopendekezwa")</f>
        <v>Tahadhari Zilizopendekezwa</v>
      </c>
      <c r="BG141" s="7" t="str">
        <f>IFERROR(__xludf.DUMMYFUNCTION("GoogleTranslate(C141, ""en"", ""sv"")"),"Rekommenderade försiktighetsåtgärder")</f>
        <v>Rekommenderade försiktighetsåtgärder</v>
      </c>
      <c r="BH141" s="7" t="str">
        <f>IFERROR(__xludf.DUMMYFUNCTION("GoogleTranslate(C141, ""en"", ""te"")"),"సిఫార్సు చేసిన జాగ్రత్తలు")</f>
        <v>సిఫార్సు చేసిన జాగ్రత్తలు</v>
      </c>
      <c r="BI141" s="7" t="str">
        <f>IFERROR(__xludf.DUMMYFUNCTION("GoogleTranslate(C141, ""en"", ""th"")"),"ข้อควรระวังที่แนะนำ")</f>
        <v>ข้อควรระวังที่แนะนำ</v>
      </c>
      <c r="BJ141" s="7" t="str">
        <f>IFERROR(__xludf.DUMMYFUNCTION("GoogleTranslate(C141, ""en"", ""tr"")"),"Önerilen Önlemler")</f>
        <v>Önerilen Önlemler</v>
      </c>
      <c r="BK141" s="7" t="str">
        <f>IFERROR(__xludf.DUMMYFUNCTION("GoogleTranslate(C141, ""en"", ""uk"")"),"Рекомендовані запобіжні заходи")</f>
        <v>Рекомендовані запобіжні заходи</v>
      </c>
      <c r="BL141" s="7" t="str">
        <f>IFERROR(__xludf.DUMMYFUNCTION("GoogleTranslate(C141, ""en"", ""zu"")"),"Izinyathelo Zokuqapha Ezinconyiwe")</f>
        <v>Izinyathelo Zokuqapha Ezinconyiwe</v>
      </c>
    </row>
    <row r="142">
      <c r="A142" s="5" t="str">
        <f t="shared" si="1"/>
        <v>Unusually_sensitive_people_should_consider_reducing_prolonged_or_heavy_exertion.</v>
      </c>
      <c r="B142" s="6" t="s">
        <v>198</v>
      </c>
      <c r="C142" s="5" t="str">
        <f t="shared" si="2"/>
        <v>Unusually sensitive people should consider reducing prolonged or heavy exertion.</v>
      </c>
      <c r="D142" s="7" t="str">
        <f>IFERROR(__xludf.DUMMYFUNCTION("GoogleTranslate(C142, ""en"", ""es"")"),"Las personas inusualmente sensibles deberían considerar reducir el esfuerzo prolongado o intenso.")</f>
        <v>Las personas inusualmente sensibles deberían considerar reducir el esfuerzo prolongado o intenso.</v>
      </c>
      <c r="E142" s="7" t="str">
        <f>IFERROR(__xludf.DUMMYFUNCTION("GoogleTranslate(C142, ""en"", ""ar"")"),"يجب على الأشخاص ذوي الحساسية غير المعتادة أن يفكروا في تقليل المجهود لفترات طويلة أو ثقيلة.")</f>
        <v>يجب على الأشخاص ذوي الحساسية غير المعتادة أن يفكروا في تقليل المجهود لفترات طويلة أو ثقيلة.</v>
      </c>
      <c r="F142" s="7" t="str">
        <f>IFERROR(__xludf.DUMMYFUNCTION("GoogleTranslate(C142, ""en"", ""hy"")"),"Անսովոր զգայուն մարդիկ պետք է մտածեն երկարատև կամ ծանր ուժերը նվազեցնելու մասին:")</f>
        <v>Անսովոր զգայուն մարդիկ պետք է մտածեն երկարատև կամ ծանր ուժերը նվազեցնելու մասին:</v>
      </c>
      <c r="G142" s="7" t="str">
        <f>IFERROR(__xludf.DUMMYFUNCTION("GoogleTranslate(C142, ""en"", ""vi"")"),"Những người nhạy cảm bất thường nên cân nhắc giảm gắng sức kéo dài hoặc nặng nhọc.")</f>
        <v>Những người nhạy cảm bất thường nên cân nhắc giảm gắng sức kéo dài hoặc nặng nhọc.</v>
      </c>
      <c r="H142" s="7" t="str">
        <f>IFERROR(__xludf.DUMMYFUNCTION("GoogleTranslate(C142, ""en"", ""az"")"),"Qeyri-adi həssas insanlar uzunmüddətli və ya ağır yükü azaltmağı düşünməlidirlər.")</f>
        <v>Qeyri-adi həssas insanlar uzunmüddətli və ya ağır yükü azaltmağı düşünməlidirlər.</v>
      </c>
      <c r="I142" s="7" t="str">
        <f>IFERROR(__xludf.DUMMYFUNCTION("GoogleTranslate(C142, ""en"", ""eu"")"),"Ezohiko sentikorrak diren pertsonek esfortzu luzeak edo astunak murriztea kontuan hartu beharko lukete.")</f>
        <v>Ezohiko sentikorrak diren pertsonek esfortzu luzeak edo astunak murriztea kontuan hartu beharko lukete.</v>
      </c>
      <c r="J142" s="7" t="str">
        <f>IFERROR(__xludf.DUMMYFUNCTION("GoogleTranslate(C142, ""en"", ""be"")"),"Незвычайна адчувальным людзям варта падумаць аб зніжэнні працяглых або цяжкіх нагрузак.")</f>
        <v>Незвычайна адчувальным людзям варта падумаць аб зніжэнні працяглых або цяжкіх нагрузак.</v>
      </c>
      <c r="K142" s="7" t="str">
        <f>IFERROR(__xludf.DUMMYFUNCTION("GoogleTranslate(C142, ""en"", ""bn"")"),"অস্বাভাবিকভাবে সংবেদনশীল ব্যক্তিদের দীর্ঘায়িত বা ভারী পরিশ্রম কমানোর কথা বিবেচনা করা উচিত।")</f>
        <v>অস্বাভাবিকভাবে সংবেদনশীল ব্যক্তিদের দীর্ঘায়িত বা ভারী পরিশ্রম কমানোর কথা বিবেচনা করা উচিত।</v>
      </c>
      <c r="L142" s="7" t="str">
        <f>IFERROR(__xludf.DUMMYFUNCTION("GoogleTranslate(C142, ""en"", ""bg"")"),"Необичайно чувствителните хора трябва да обмислят намаляване на продължително или тежко натоварване.")</f>
        <v>Необичайно чувствителните хора трябва да обмислят намаляване на продължително или тежко натоварване.</v>
      </c>
      <c r="M142" s="7" t="str">
        <f>IFERROR(__xludf.DUMMYFUNCTION("GoogleTranslate(C142, ""en"", ""my"")"),"ပုံမှန်မဟုတ်သော အထိခိုက်လွယ်သူများသည် ကြာရှည်စွာ သို့မဟုတ် ပြင်းထန်သော အားထုတ်မှုကို လျှော့ချရန် စဉ်းစားသင့်သည်။")</f>
        <v>ပုံမှန်မဟုတ်သော အထိခိုက်လွယ်သူများသည် ကြာရှည်စွာ သို့မဟုတ် ပြင်းထန်သော အားထုတ်မှုကို လျှော့ချရန် စဉ်းစားသင့်သည်။</v>
      </c>
      <c r="N142" s="7" t="str">
        <f>IFERROR(__xludf.DUMMYFUNCTION("GoogleTranslate(C142, ""en"", ""ca"")"),"Les persones inusualment sensibles haurien de considerar reduir l'esforç prolongat o intens.")</f>
        <v>Les persones inusualment sensibles haurien de considerar reduir l'esforç prolongat o intens.</v>
      </c>
      <c r="O142" s="7" t="str">
        <f>IFERROR(__xludf.DUMMYFUNCTION("GoogleTranslate(C142, ""en"", ""zh-cn"")"),"异常敏感的人应考虑减少长时间或剧烈的劳累。")</f>
        <v>异常敏感的人应考虑减少长时间或剧烈的劳累。</v>
      </c>
      <c r="P142" s="7" t="str">
        <f>IFERROR(__xludf.DUMMYFUNCTION("GoogleTranslate(C142, ""en"", ""zh-TW"")"),"異常敏感的人應考慮減少長時間或劇烈的勞累。")</f>
        <v>異常敏感的人應考慮減少長時間或劇烈的勞累。</v>
      </c>
      <c r="Q142" s="7" t="str">
        <f>IFERROR(__xludf.DUMMYFUNCTION("GoogleTranslate(C142, ""en"", ""hr"")"),"Neobično osjetljive osobe trebale bi razmisliti o smanjenju dugotrajnog ili teškog napora.")</f>
        <v>Neobično osjetljive osobe trebale bi razmisliti o smanjenju dugotrajnog ili teškog napora.</v>
      </c>
      <c r="R142" s="7" t="str">
        <f>IFERROR(__xludf.DUMMYFUNCTION("GoogleTranslate(C142, ""en"", ""cs"")"),"Neobvykle citliví lidé by měli zvážit omezení dlouhodobé nebo těžké námahy.")</f>
        <v>Neobvykle citliví lidé by měli zvážit omezení dlouhodobé nebo těžké námahy.</v>
      </c>
      <c r="S142" s="7" t="str">
        <f>IFERROR(__xludf.DUMMYFUNCTION("GoogleTranslate(C142, ""en"", ""da"")"),"Usædvanligt sensitive mennesker bør overveje at reducere langvarig eller tung anstrengelse.")</f>
        <v>Usædvanligt sensitive mennesker bør overveje at reducere langvarig eller tung anstrengelse.</v>
      </c>
      <c r="T142" s="7" t="str">
        <f>IFERROR(__xludf.DUMMYFUNCTION("GoogleTranslate(C142, ""en"", ""nl"")"),"Ongewoon gevoelige mensen zouden moeten overwegen om langdurige of zware inspanning te verminderen.")</f>
        <v>Ongewoon gevoelige mensen zouden moeten overwegen om langdurige of zware inspanning te verminderen.</v>
      </c>
      <c r="U142" s="7" t="str">
        <f>IFERROR(__xludf.DUMMYFUNCTION("GoogleTranslate(C142, ""en"", ""et"")"),"Ebatavaliselt tundlikud inimesed peaksid kaaluma pikaajalise või raske koormuse vähendamist.")</f>
        <v>Ebatavaliselt tundlikud inimesed peaksid kaaluma pikaajalise või raske koormuse vähendamist.</v>
      </c>
      <c r="V142" s="5" t="str">
        <f t="shared" si="3"/>
        <v>Unusually sensitive people should consider reducing prolonged or heavy exertion.</v>
      </c>
      <c r="W142" s="7" t="str">
        <f>IFERROR(__xludf.DUMMYFUNCTION("GoogleTranslate(C142, ""en"", ""fi"")"),"Epätavallisen herkkien ihmisten tulisi harkita pitkäaikaisen tai raskaan rasituksen vähentämistä.")</f>
        <v>Epätavallisen herkkien ihmisten tulisi harkita pitkäaikaisen tai raskaan rasituksen vähentämistä.</v>
      </c>
      <c r="X142" s="7" t="str">
        <f>IFERROR(__xludf.DUMMYFUNCTION("GoogleTranslate(C142, ""en"", ""fr"")"),"Les personnes exceptionnellement sensibles devraient envisager de réduire les efforts prolongés ou intenses.")</f>
        <v>Les personnes exceptionnellement sensibles devraient envisager de réduire les efforts prolongés ou intenses.</v>
      </c>
      <c r="Y142" s="7" t="str">
        <f>IFERROR(__xludf.DUMMYFUNCTION("GoogleTranslate(C142, ""en"", ""de"")"),"Besonders empfindliche Menschen sollten darüber nachdenken, längere oder schwere Anstrengungen zu reduzieren.")</f>
        <v>Besonders empfindliche Menschen sollten darüber nachdenken, längere oder schwere Anstrengungen zu reduzieren.</v>
      </c>
      <c r="Z142" s="7" t="str">
        <f>IFERROR(__xludf.DUMMYFUNCTION("GoogleTranslate(C142, ""en"", ""el"")"),"Τα ασυνήθιστα ευαίσθητα άτομα θα πρέπει να εξετάσουν το ενδεχόμενο μείωσης της παρατεταμένης ή βαριάς προσπάθειας.")</f>
        <v>Τα ασυνήθιστα ευαίσθητα άτομα θα πρέπει να εξετάσουν το ενδεχόμενο μείωσης της παρατεταμένης ή βαριάς προσπάθειας.</v>
      </c>
      <c r="AA142" s="7" t="str">
        <f>IFERROR(__xludf.DUMMYFUNCTION("GoogleTranslate(C142, ""en"", ""iw"")"),"אנשים רגישים בצורה יוצאת דופן צריכים לשקול להפחית מאמץ ממושך או כבד.")</f>
        <v>אנשים רגישים בצורה יוצאת דופן צריכים לשקול להפחית מאמץ ממושך או כבד.</v>
      </c>
      <c r="AB142" s="7" t="str">
        <f>IFERROR(__xludf.DUMMYFUNCTION("GoogleTranslate(C142, ""en"", ""hi"")"),"असामान्य रूप से संवेदनशील लोगों को लंबे समय तक या भारी परिश्रम को कम करने पर विचार करना चाहिए।")</f>
        <v>असामान्य रूप से संवेदनशील लोगों को लंबे समय तक या भारी परिश्रम को कम करने पर विचार करना चाहिए।</v>
      </c>
      <c r="AC142" s="7" t="str">
        <f>IFERROR(__xludf.DUMMYFUNCTION("GoogleTranslate(C142, ""en"", ""hu"")"),"A szokatlanul érzékeny embereknek fontolóra kell venniük a hosszan tartó vagy erős megerőltetés csökkentését.")</f>
        <v>A szokatlanul érzékeny embereknek fontolóra kell venniük a hosszan tartó vagy erős megerőltetés csökkentését.</v>
      </c>
      <c r="AD142" s="7" t="str">
        <f>IFERROR(__xludf.DUMMYFUNCTION("GoogleTranslate(C142, ""en"", ""is"")"),"Óvenjulega viðkvæmt fólk ætti að íhuga að draga úr langvarandi eða mikilli áreynslu.")</f>
        <v>Óvenjulega viðkvæmt fólk ætti að íhuga að draga úr langvarandi eða mikilli áreynslu.</v>
      </c>
      <c r="AE142" s="7" t="str">
        <f>IFERROR(__xludf.DUMMYFUNCTION("GoogleTranslate(C142, ""en"", ""id"")"),"Orang yang sangat sensitif harus mempertimbangkan untuk mengurangi aktivitas yang berkepanjangan atau berat.")</f>
        <v>Orang yang sangat sensitif harus mempertimbangkan untuk mengurangi aktivitas yang berkepanjangan atau berat.</v>
      </c>
      <c r="AF142" s="7" t="str">
        <f>IFERROR(__xludf.DUMMYFUNCTION("GoogleTranslate(C142, ""en"", ""in"")"),"Orang yang sangat sensitif harus mempertimbangkan untuk mengurangi aktivitas yang berkepanjangan atau berat.")</f>
        <v>Orang yang sangat sensitif harus mempertimbangkan untuk mengurangi aktivitas yang berkepanjangan atau berat.</v>
      </c>
      <c r="AG142" s="7" t="str">
        <f>IFERROR(__xludf.DUMMYFUNCTION("GoogleTranslate(C142, ""en"", ""it"")"),"Le persone insolitamente sensibili dovrebbero considerare di ridurre lo sforzo prolungato o intenso.")</f>
        <v>Le persone insolitamente sensibili dovrebbero considerare di ridurre lo sforzo prolungato o intenso.</v>
      </c>
      <c r="AH142" s="7" t="str">
        <f>IFERROR(__xludf.DUMMYFUNCTION("GoogleTranslate(C142, ""en"", ""ja"")"),"異常に敏感な人は、長時間または激しい運動を減らすことを検討する必要があります。")</f>
        <v>異常に敏感な人は、長時間または激しい運動を減らすことを検討する必要があります。</v>
      </c>
      <c r="AI142" s="7" t="str">
        <f>IFERROR(__xludf.DUMMYFUNCTION("GoogleTranslate(C142, ""en"", ""kn"")"),"ಅಸಾಮಾನ್ಯವಾಗಿ ಸೂಕ್ಷ್ಮ ಜನರು ದೀರ್ಘಕಾಲದ ಅಥವಾ ಭಾರೀ ಪರಿಶ್ರಮವನ್ನು ಕಡಿಮೆ ಮಾಡಲು ಪರಿಗಣಿಸಬೇಕು.")</f>
        <v>ಅಸಾಮಾನ್ಯವಾಗಿ ಸೂಕ್ಷ್ಮ ಜನರು ದೀರ್ಘಕಾಲದ ಅಥವಾ ಭಾರೀ ಪರಿಶ್ರಮವನ್ನು ಕಡಿಮೆ ಮಾಡಲು ಪರಿಗಣಿಸಬೇಕು.</v>
      </c>
      <c r="AJ142" s="7" t="str">
        <f>IFERROR(__xludf.DUMMYFUNCTION("GoogleTranslate(C142, ""en"", ""km"")"),"មនុស្ស​ដែល​មាន​អារម្មណ៍​មិន​ប្រក្រតី គួរ​ពិចារណា​កាត់​បន្ថយ​ការ​ធ្វើ​លំហាត់​ប្រាណ​យូរ ឬ​ធ្ងន់។")</f>
        <v>មនុស្ស​ដែល​មាន​អារម្មណ៍​មិន​ប្រក្រតី គួរ​ពិចារណា​កាត់​បន្ថយ​ការ​ធ្វើ​លំហាត់​ប្រាណ​យូរ ឬ​ធ្ងន់។</v>
      </c>
      <c r="AK142" s="7" t="str">
        <f>IFERROR(__xludf.DUMMYFUNCTION("GoogleTranslate(C142, ""en"", ""ko"")"),"비정상적으로 민감한 사람들은 장시간 또는 심한 운동을 줄이는 것을 고려해야 합니다.")</f>
        <v>비정상적으로 민감한 사람들은 장시간 또는 심한 운동을 줄이는 것을 고려해야 합니다.</v>
      </c>
      <c r="AL142" s="7" t="str">
        <f>IFERROR(__xludf.DUMMYFUNCTION("GoogleTranslate(C142, ""en"", ""lo"")"),"ຄົນທີ່ມີຄວາມອ່ອນໄຫວຜິດປົກກະຕິຄວນພິຈາລະນາຫຼຸດຜ່ອນການອອກແຮງທີ່ຍາວນານ ຫຼືໜັກ.")</f>
        <v>ຄົນທີ່ມີຄວາມອ່ອນໄຫວຜິດປົກກະຕິຄວນພິຈາລະນາຫຼຸດຜ່ອນການອອກແຮງທີ່ຍາວນານ ຫຼືໜັກ.</v>
      </c>
      <c r="AM142" s="7" t="str">
        <f>IFERROR(__xludf.DUMMYFUNCTION("GoogleTranslate(C142, ""en"", ""lv"")"),"Neparasti jutīgiem cilvēkiem jāapsver ilgstošas ​​vai smagas slodzes samazināšana.")</f>
        <v>Neparasti jutīgiem cilvēkiem jāapsver ilgstošas ​​vai smagas slodzes samazināšana.</v>
      </c>
      <c r="AN142" s="7" t="str">
        <f>IFERROR(__xludf.DUMMYFUNCTION("GoogleTranslate(C142, ""en"", ""lt"")"),"Neįprastai jautrūs žmonės turėtų apsvarstyti galimybę sumažinti ilgalaikį ar sunkų krūvį.")</f>
        <v>Neįprastai jautrūs žmonės turėtų apsvarstyti galimybę sumažinti ilgalaikį ar sunkų krūvį.</v>
      </c>
      <c r="AO142" s="7" t="str">
        <f>IFERROR(__xludf.DUMMYFUNCTION("GoogleTranslate(C142, ""en"", ""mk"")"),"Невообичаено чувствителните луѓе треба да размислат за намалување на продолжениот или тежок напор.")</f>
        <v>Невообичаено чувствителните луѓе треба да размислат за намалување на продолжениот или тежок напор.</v>
      </c>
      <c r="AP142" s="7" t="str">
        <f>IFERROR(__xludf.DUMMYFUNCTION("GoogleTranslate(C142, ""en"", ""ms"")"),"Orang yang luar biasa sensitif harus mempertimbangkan untuk mengurangkan usaha yang berpanjangan atau berat.")</f>
        <v>Orang yang luar biasa sensitif harus mempertimbangkan untuk mengurangkan usaha yang berpanjangan atau berat.</v>
      </c>
      <c r="AQ142" s="7" t="str">
        <f>IFERROR(__xludf.DUMMYFUNCTION("GoogleTranslate(C142, ""en"", ""ml"")"),"അസാധാരണമായ സെൻസിറ്റീവായ ആളുകൾ ദീർഘമായ അല്ലെങ്കിൽ കനത്ത അദ്ധ്വാനം കുറയ്ക്കുന്നത് പരിഗണിക്കണം.")</f>
        <v>അസാധാരണമായ സെൻസിറ്റീവായ ആളുകൾ ദീർഘമായ അല്ലെങ്കിൽ കനത്ത അദ്ധ്വാനം കുറയ്ക്കുന്നത് പരിഗണിക്കണം.</v>
      </c>
      <c r="AR142" s="7" t="str">
        <f>IFERROR(__xludf.DUMMYFUNCTION("GoogleTranslate(C142, ""en"", ""mr"")"),"असामान्यपणे संवेदनशील लोकांनी दीर्घकाळ किंवा जड श्रम कमी करण्याचा विचार केला पाहिजे.")</f>
        <v>असामान्यपणे संवेदनशील लोकांनी दीर्घकाळ किंवा जड श्रम कमी करण्याचा विचार केला पाहिजे.</v>
      </c>
      <c r="AS142" s="7" t="str">
        <f>IFERROR(__xludf.DUMMYFUNCTION("GoogleTranslate(C142, ""en"", ""mn"")"),"Ер бусын мэдрэмтгий хүмүүс удаан хугацаагаар эсвэл хүнд ачааллыг багасгах талаар бодох хэрэгтэй.")</f>
        <v>Ер бусын мэдрэмтгий хүмүүс удаан хугацаагаар эсвэл хүнд ачааллыг багасгах талаар бодох хэрэгтэй.</v>
      </c>
      <c r="AT142" s="7" t="str">
        <f>IFERROR(__xludf.DUMMYFUNCTION("GoogleTranslate(C142, ""en"", ""ne"")"),"असामान्य रूपमा संवेदनशील व्यक्तिहरूले लामो वा भारी परिश्रम कम गर्ने विचार गर्नुपर्छ।")</f>
        <v>असामान्य रूपमा संवेदनशील व्यक्तिहरूले लामो वा भारी परिश्रम कम गर्ने विचार गर्नुपर्छ।</v>
      </c>
      <c r="AU142" s="7" t="str">
        <f>IFERROR(__xludf.DUMMYFUNCTION("GoogleTranslate(C142, ""en"", ""nb"")"),"Uvanlig sensitive personer bør vurdere å redusere langvarig eller tung anstrengelse.")</f>
        <v>Uvanlig sensitive personer bør vurdere å redusere langvarig eller tung anstrengelse.</v>
      </c>
      <c r="AV142" s="7" t="str">
        <f>IFERROR(__xludf.DUMMYFUNCTION("GoogleTranslate(C142, ""en"", ""fa"")"),"افراد غیرمعمول حساس باید تلاش طولانی یا سنگین را کاهش دهند.")</f>
        <v>افراد غیرمعمول حساس باید تلاش طولانی یا سنگین را کاهش دهند.</v>
      </c>
      <c r="AW142" s="7" t="str">
        <f>IFERROR(__xludf.DUMMYFUNCTION("GoogleTranslate(C142, ""en"", ""pl"")"),"Osoby wyjątkowo wrażliwe powinny rozważyć ograniczenie długotrwałego lub ciężkiego wysiłku.")</f>
        <v>Osoby wyjątkowo wrażliwe powinny rozważyć ograniczenie długotrwałego lub ciężkiego wysiłku.</v>
      </c>
      <c r="AX142" s="7" t="str">
        <f>IFERROR(__xludf.DUMMYFUNCTION("GoogleTranslate(C142, ""en"", ""pt"")"),"Pessoas excepcionalmente sensíveis devem considerar a redução do esforço prolongado ou pesado.")</f>
        <v>Pessoas excepcionalmente sensíveis devem considerar a redução do esforço prolongado ou pesado.</v>
      </c>
      <c r="AY142" s="7" t="str">
        <f>IFERROR(__xludf.DUMMYFUNCTION("GoogleTranslate(C142, ""en"", ""ro"")"),"Persoanele neobișnuit de sensibile ar trebui să ia în considerare reducerea efortului prelungit sau greu.")</f>
        <v>Persoanele neobișnuit de sensibile ar trebui să ia în considerare reducerea efortului prelungit sau greu.</v>
      </c>
      <c r="AZ142" s="7" t="str">
        <f>IFERROR(__xludf.DUMMYFUNCTION("GoogleTranslate(C142, ""en"", ""ru"")"),"Необычно чувствительным людям следует рассмотреть возможность снижения длительных или тяжелых нагрузок.")</f>
        <v>Необычно чувствительным людям следует рассмотреть возможность снижения длительных или тяжелых нагрузок.</v>
      </c>
      <c r="BA142" s="7" t="str">
        <f>IFERROR(__xludf.DUMMYFUNCTION("GoogleTranslate(C142, ""en"", ""sr"")"),"Неуобичајено осетљиве особе треба да размотре смањење продуженог или тешког напора.")</f>
        <v>Неуобичајено осетљиве особе треба да размотре смањење продуженог или тешког напора.</v>
      </c>
      <c r="BB142" s="7" t="str">
        <f>IFERROR(__xludf.DUMMYFUNCTION("GoogleTranslate(C142, ""en"", ""si"")"),"අසාමාන්ය ලෙස සංවේදී පුද්ගලයන් දිගු හෝ අධික වෙහෙස අඩු කිරීම ගැන සලකා බැලිය යුතුය.")</f>
        <v>අසාමාන්ය ලෙස සංවේදී පුද්ගලයන් දිගු හෝ අධික වෙහෙස අඩු කිරීම ගැන සලකා බැලිය යුතුය.</v>
      </c>
      <c r="BC142" s="7" t="str">
        <f>IFERROR(__xludf.DUMMYFUNCTION("GoogleTranslate(C142, ""en"", ""sk"")"),"Nezvyčajne citliví ľudia by mali zvážiť zníženie dlhodobej alebo ťažkej námahy.")</f>
        <v>Nezvyčajne citliví ľudia by mali zvážiť zníženie dlhodobej alebo ťažkej námahy.</v>
      </c>
      <c r="BD142" s="7" t="str">
        <f>IFERROR(__xludf.DUMMYFUNCTION("GoogleTranslate(C142, ""en"", ""sl"")"),"Nenavadno občutljivi ljudje bi morali razmisliti o zmanjšanju dolgotrajnega ali močnega napora.")</f>
        <v>Nenavadno občutljivi ljudje bi morali razmisliti o zmanjšanju dolgotrajnega ali močnega napora.</v>
      </c>
      <c r="BE142" s="7" t="str">
        <f>IFERROR(__xludf.DUMMYFUNCTION("GoogleTranslate(C142, ""en"", ""es"")"),"Las personas inusualmente sensibles deberían considerar reducir el esfuerzo prolongado o intenso.")</f>
        <v>Las personas inusualmente sensibles deberían considerar reducir el esfuerzo prolongado o intenso.</v>
      </c>
      <c r="BF142" s="7" t="str">
        <f>IFERROR(__xludf.DUMMYFUNCTION("GoogleTranslate(C142, ""en"", ""sw"")"),"Watu wenye hisia zisizo za kawaida wanapaswa kuzingatia kupunguza bidii ya muda mrefu au nzito.")</f>
        <v>Watu wenye hisia zisizo za kawaida wanapaswa kuzingatia kupunguza bidii ya muda mrefu au nzito.</v>
      </c>
      <c r="BG142" s="7" t="str">
        <f>IFERROR(__xludf.DUMMYFUNCTION("GoogleTranslate(C142, ""en"", ""sv"")"),"Ovanligt känsliga personer bör överväga att minska långvarig eller tung ansträngning.")</f>
        <v>Ovanligt känsliga personer bör överväga att minska långvarig eller tung ansträngning.</v>
      </c>
      <c r="BH142" s="7" t="str">
        <f>IFERROR(__xludf.DUMMYFUNCTION("GoogleTranslate(C142, ""en"", ""te"")"),"అసాధారణంగా సున్నితమైన వ్యక్తులు సుదీర్ఘమైన లేదా భారీ శ్రమను తగ్గించడాన్ని పరిగణించాలి.")</f>
        <v>అసాధారణంగా సున్నితమైన వ్యక్తులు సుదీర్ఘమైన లేదా భారీ శ్రమను తగ్గించడాన్ని పరిగణించాలి.</v>
      </c>
      <c r="BI142" s="7" t="str">
        <f>IFERROR(__xludf.DUMMYFUNCTION("GoogleTranslate(C142, ""en"", ""th"")"),"คนที่อ่อนไหวอย่างผิดปกติควรพิจารณาลดการออกแรงที่ยืดเยื้อหรือหนักหน่วงลง")</f>
        <v>คนที่อ่อนไหวอย่างผิดปกติควรพิจารณาลดการออกแรงที่ยืดเยื้อหรือหนักหน่วงลง</v>
      </c>
      <c r="BJ142" s="7" t="str">
        <f>IFERROR(__xludf.DUMMYFUNCTION("GoogleTranslate(C142, ""en"", ""tr"")"),"Alışılmadık derecede hassas kişiler, uzun süreli veya ağır eforları azaltmayı düşünmelidir.")</f>
        <v>Alışılmadık derecede hassas kişiler, uzun süreli veya ağır eforları azaltmayı düşünmelidir.</v>
      </c>
      <c r="BK142" s="7" t="str">
        <f>IFERROR(__xludf.DUMMYFUNCTION("GoogleTranslate(C142, ""en"", ""uk"")"),"Надзвичайно чутливі люди повинні зменшити тривале або важке навантаження.")</f>
        <v>Надзвичайно чутливі люди повинні зменшити тривале або важке навантаження.</v>
      </c>
      <c r="BL142" s="7" t="str">
        <f>IFERROR(__xludf.DUMMYFUNCTION("GoogleTranslate(C142, ""en"", ""zu"")"),"Abantu abazwela ngokungavamile kufanele bacabangele ukunciphisa ukuzikhandla okude noma okukhulu.")</f>
        <v>Abantu abazwela ngokungavamile kufanele bacabangele ukunciphisa ukuzikhandla okude noma okukhulu.</v>
      </c>
    </row>
    <row r="143">
      <c r="A143" s="5" t="str">
        <f t="shared" si="1"/>
        <v>Primary_Pollutant</v>
      </c>
      <c r="B143" s="6" t="s">
        <v>199</v>
      </c>
      <c r="C143" s="5" t="str">
        <f t="shared" si="2"/>
        <v>Primary Pollutant</v>
      </c>
      <c r="D143" s="7" t="str">
        <f>IFERROR(__xludf.DUMMYFUNCTION("GoogleTranslate(C143, ""en"", ""es"")"),"Contaminante primario")</f>
        <v>Contaminante primario</v>
      </c>
      <c r="E143" s="7" t="str">
        <f>IFERROR(__xludf.DUMMYFUNCTION("GoogleTranslate(C143, ""en"", ""ar"")"),"الملوث الأولي")</f>
        <v>الملوث الأولي</v>
      </c>
      <c r="F143" s="7" t="str">
        <f>IFERROR(__xludf.DUMMYFUNCTION("GoogleTranslate(C143, ""en"", ""hy"")"),"Առաջնային աղտոտիչ")</f>
        <v>Առաջնային աղտոտիչ</v>
      </c>
      <c r="G143" s="7" t="str">
        <f>IFERROR(__xludf.DUMMYFUNCTION("GoogleTranslate(C143, ""en"", ""vi"")"),"Chất ô nhiễm chính")</f>
        <v>Chất ô nhiễm chính</v>
      </c>
      <c r="H143" s="7" t="str">
        <f>IFERROR(__xludf.DUMMYFUNCTION("GoogleTranslate(C143, ""en"", ""az"")"),"İlkin Çirkləndirici")</f>
        <v>İlkin Çirkləndirici</v>
      </c>
      <c r="I143" s="7" t="str">
        <f>IFERROR(__xludf.DUMMYFUNCTION("GoogleTranslate(C143, ""en"", ""eu"")"),"Kutsatzaile primarioa")</f>
        <v>Kutsatzaile primarioa</v>
      </c>
      <c r="J143" s="7" t="str">
        <f>IFERROR(__xludf.DUMMYFUNCTION("GoogleTranslate(C143, ""en"", ""be"")"),"Асноўны забруджвальнік")</f>
        <v>Асноўны забруджвальнік</v>
      </c>
      <c r="K143" s="7" t="str">
        <f>IFERROR(__xludf.DUMMYFUNCTION("GoogleTranslate(C143, ""en"", ""bn"")"),"প্রাথমিক দূষণকারী")</f>
        <v>প্রাথমিক দূষণকারী</v>
      </c>
      <c r="L143" s="7" t="str">
        <f>IFERROR(__xludf.DUMMYFUNCTION("GoogleTranslate(C143, ""en"", ""bg"")"),"Основен замърсител")</f>
        <v>Основен замърсител</v>
      </c>
      <c r="M143" s="7" t="str">
        <f>IFERROR(__xludf.DUMMYFUNCTION("GoogleTranslate(C143, ""en"", ""my"")"),"Primary Pollutant")</f>
        <v>Primary Pollutant</v>
      </c>
      <c r="N143" s="7" t="str">
        <f>IFERROR(__xludf.DUMMYFUNCTION("GoogleTranslate(C143, ""en"", ""ca"")"),"Contaminant primari")</f>
        <v>Contaminant primari</v>
      </c>
      <c r="O143" s="7" t="str">
        <f>IFERROR(__xludf.DUMMYFUNCTION("GoogleTranslate(C143, ""en"", ""zh-cn"")"),"主要污染物")</f>
        <v>主要污染物</v>
      </c>
      <c r="P143" s="7" t="str">
        <f>IFERROR(__xludf.DUMMYFUNCTION("GoogleTranslate(C143, ""en"", ""zh-TW"")"),"主要污染物")</f>
        <v>主要污染物</v>
      </c>
      <c r="Q143" s="7" t="str">
        <f>IFERROR(__xludf.DUMMYFUNCTION("GoogleTranslate(C143, ""en"", ""hr"")"),"Primarni zagađivač")</f>
        <v>Primarni zagađivač</v>
      </c>
      <c r="R143" s="7" t="str">
        <f>IFERROR(__xludf.DUMMYFUNCTION("GoogleTranslate(C143, ""en"", ""cs"")"),"Primární znečišťující látka")</f>
        <v>Primární znečišťující látka</v>
      </c>
      <c r="S143" s="7" t="str">
        <f>IFERROR(__xludf.DUMMYFUNCTION("GoogleTranslate(C143, ""en"", ""da"")"),"Primært forurenende stof")</f>
        <v>Primært forurenende stof</v>
      </c>
      <c r="T143" s="7" t="str">
        <f>IFERROR(__xludf.DUMMYFUNCTION("GoogleTranslate(C143, ""en"", ""nl"")"),"Primaire verontreinigende stof")</f>
        <v>Primaire verontreinigende stof</v>
      </c>
      <c r="U143" s="7" t="str">
        <f>IFERROR(__xludf.DUMMYFUNCTION("GoogleTranslate(C143, ""en"", ""et"")"),"Esmane saasteaine")</f>
        <v>Esmane saasteaine</v>
      </c>
      <c r="V143" s="5" t="str">
        <f t="shared" si="3"/>
        <v>Primary Pollutant</v>
      </c>
      <c r="W143" s="7" t="str">
        <f>IFERROR(__xludf.DUMMYFUNCTION("GoogleTranslate(C143, ""en"", ""fi"")"),"Ensisijainen saaste")</f>
        <v>Ensisijainen saaste</v>
      </c>
      <c r="X143" s="7" t="str">
        <f>IFERROR(__xludf.DUMMYFUNCTION("GoogleTranslate(C143, ""en"", ""fr"")"),"Polluant primaire")</f>
        <v>Polluant primaire</v>
      </c>
      <c r="Y143" s="7" t="str">
        <f>IFERROR(__xludf.DUMMYFUNCTION("GoogleTranslate(C143, ""en"", ""de"")"),"Primärer Schadstoff")</f>
        <v>Primärer Schadstoff</v>
      </c>
      <c r="Z143" s="7" t="str">
        <f>IFERROR(__xludf.DUMMYFUNCTION("GoogleTranslate(C143, ""en"", ""el"")"),"Πρωτογενής Ρύπος")</f>
        <v>Πρωτογενής Ρύπος</v>
      </c>
      <c r="AA143" s="7" t="str">
        <f>IFERROR(__xludf.DUMMYFUNCTION("GoogleTranslate(C143, ""en"", ""iw"")"),"מזהם ראשוני")</f>
        <v>מזהם ראשוני</v>
      </c>
      <c r="AB143" s="7" t="str">
        <f>IFERROR(__xludf.DUMMYFUNCTION("GoogleTranslate(C143, ""en"", ""hi"")"),"प्राथमिक प्रदूषक")</f>
        <v>प्राथमिक प्रदूषक</v>
      </c>
      <c r="AC143" s="7" t="str">
        <f>IFERROR(__xludf.DUMMYFUNCTION("GoogleTranslate(C143, ""en"", ""hu"")"),"Elsődleges szennyezőanyag")</f>
        <v>Elsődleges szennyezőanyag</v>
      </c>
      <c r="AD143" s="7" t="str">
        <f>IFERROR(__xludf.DUMMYFUNCTION("GoogleTranslate(C143, ""en"", ""is"")"),"Aðalmengun")</f>
        <v>Aðalmengun</v>
      </c>
      <c r="AE143" s="7" t="str">
        <f>IFERROR(__xludf.DUMMYFUNCTION("GoogleTranslate(C143, ""en"", ""id"")"),"Polutan Primer")</f>
        <v>Polutan Primer</v>
      </c>
      <c r="AF143" s="7" t="str">
        <f>IFERROR(__xludf.DUMMYFUNCTION("GoogleTranslate(C143, ""en"", ""in"")"),"Polutan Primer")</f>
        <v>Polutan Primer</v>
      </c>
      <c r="AG143" s="7" t="str">
        <f>IFERROR(__xludf.DUMMYFUNCTION("GoogleTranslate(C143, ""en"", ""it"")"),"Inquinante primario")</f>
        <v>Inquinante primario</v>
      </c>
      <c r="AH143" s="7" t="str">
        <f>IFERROR(__xludf.DUMMYFUNCTION("GoogleTranslate(C143, ""en"", ""ja"")"),"一次汚染物質")</f>
        <v>一次汚染物質</v>
      </c>
      <c r="AI143" s="7" t="str">
        <f>IFERROR(__xludf.DUMMYFUNCTION("GoogleTranslate(C143, ""en"", ""kn"")"),"ಪ್ರಾಥಮಿಕ ಮಾಲಿನ್ಯಕಾರಕ")</f>
        <v>ಪ್ರಾಥಮಿಕ ಮಾಲಿನ್ಯಕಾರಕ</v>
      </c>
      <c r="AJ143" s="7" t="str">
        <f>IFERROR(__xludf.DUMMYFUNCTION("GoogleTranslate(C143, ""en"", ""km"")"),"សារធាតុពុលបឋម")</f>
        <v>សារធាតុពុលបឋម</v>
      </c>
      <c r="AK143" s="7" t="str">
        <f>IFERROR(__xludf.DUMMYFUNCTION("GoogleTranslate(C143, ""en"", ""ko"")"),"1차 오염물질")</f>
        <v>1차 오염물질</v>
      </c>
      <c r="AL143" s="7" t="str">
        <f>IFERROR(__xludf.DUMMYFUNCTION("GoogleTranslate(C143, ""en"", ""lo"")"),"ມົນລະພິດຂັ້ນຕົ້ນ")</f>
        <v>ມົນລະພິດຂັ້ນຕົ້ນ</v>
      </c>
      <c r="AM143" s="7" t="str">
        <f>IFERROR(__xludf.DUMMYFUNCTION("GoogleTranslate(C143, ""en"", ""lv"")"),"Primārais piesārņotājs")</f>
        <v>Primārais piesārņotājs</v>
      </c>
      <c r="AN143" s="7" t="str">
        <f>IFERROR(__xludf.DUMMYFUNCTION("GoogleTranslate(C143, ""en"", ""lt"")"),"Pirminis teršalas")</f>
        <v>Pirminis teršalas</v>
      </c>
      <c r="AO143" s="7" t="str">
        <f>IFERROR(__xludf.DUMMYFUNCTION("GoogleTranslate(C143, ""en"", ""mk"")"),"Примарен загадувач")</f>
        <v>Примарен загадувач</v>
      </c>
      <c r="AP143" s="7" t="str">
        <f>IFERROR(__xludf.DUMMYFUNCTION("GoogleTranslate(C143, ""en"", ""ms"")"),"Pencemaran Utama")</f>
        <v>Pencemaran Utama</v>
      </c>
      <c r="AQ143" s="7" t="str">
        <f>IFERROR(__xludf.DUMMYFUNCTION("GoogleTranslate(C143, ""en"", ""ml"")"),"പ്രാഥമിക മലിനീകരണം")</f>
        <v>പ്രാഥമിക മലിനീകരണം</v>
      </c>
      <c r="AR143" s="7" t="str">
        <f>IFERROR(__xludf.DUMMYFUNCTION("GoogleTranslate(C143, ""en"", ""mr"")"),"प्राथमिक प्रदूषक")</f>
        <v>प्राथमिक प्रदूषक</v>
      </c>
      <c r="AS143" s="7" t="str">
        <f>IFERROR(__xludf.DUMMYFUNCTION("GoogleTranslate(C143, ""en"", ""mn"")"),"Анхдагч бохирдуулагч")</f>
        <v>Анхдагч бохирдуулагч</v>
      </c>
      <c r="AT143" s="7" t="str">
        <f>IFERROR(__xludf.DUMMYFUNCTION("GoogleTranslate(C143, ""en"", ""ne"")"),"प्राथमिक प्रदूषक")</f>
        <v>प्राथमिक प्रदूषक</v>
      </c>
      <c r="AU143" s="7" t="str">
        <f>IFERROR(__xludf.DUMMYFUNCTION("GoogleTranslate(C143, ""en"", ""nb"")"),"Primær forurensning")</f>
        <v>Primær forurensning</v>
      </c>
      <c r="AV143" s="7" t="str">
        <f>IFERROR(__xludf.DUMMYFUNCTION("GoogleTranslate(C143, ""en"", ""fa"")"),"آلاینده اولیه")</f>
        <v>آلاینده اولیه</v>
      </c>
      <c r="AW143" s="7" t="str">
        <f>IFERROR(__xludf.DUMMYFUNCTION("GoogleTranslate(C143, ""en"", ""pl"")"),"Pierwotna substancja zanieczyszczająca")</f>
        <v>Pierwotna substancja zanieczyszczająca</v>
      </c>
      <c r="AX143" s="7" t="str">
        <f>IFERROR(__xludf.DUMMYFUNCTION("GoogleTranslate(C143, ""en"", ""pt"")"),"Poluente Primário")</f>
        <v>Poluente Primário</v>
      </c>
      <c r="AY143" s="7" t="str">
        <f>IFERROR(__xludf.DUMMYFUNCTION("GoogleTranslate(C143, ""en"", ""ro"")"),"Poluant primar")</f>
        <v>Poluant primar</v>
      </c>
      <c r="AZ143" s="7" t="str">
        <f>IFERROR(__xludf.DUMMYFUNCTION("GoogleTranslate(C143, ""en"", ""ru"")"),"Первичный загрязнитель")</f>
        <v>Первичный загрязнитель</v>
      </c>
      <c r="BA143" s="7" t="str">
        <f>IFERROR(__xludf.DUMMYFUNCTION("GoogleTranslate(C143, ""en"", ""sr"")"),"Примарни загађивач")</f>
        <v>Примарни загађивач</v>
      </c>
      <c r="BB143" s="7" t="str">
        <f>IFERROR(__xludf.DUMMYFUNCTION("GoogleTranslate(C143, ""en"", ""si"")"),"ප්‍රාථමික දූෂක")</f>
        <v>ප්‍රාථමික දූෂක</v>
      </c>
      <c r="BC143" s="7" t="str">
        <f>IFERROR(__xludf.DUMMYFUNCTION("GoogleTranslate(C143, ""en"", ""sk"")"),"Primárna znečisťujúca látka")</f>
        <v>Primárna znečisťujúca látka</v>
      </c>
      <c r="BD143" s="7" t="str">
        <f>IFERROR(__xludf.DUMMYFUNCTION("GoogleTranslate(C143, ""en"", ""sl"")"),"Primarni onesnaževalec")</f>
        <v>Primarni onesnaževalec</v>
      </c>
      <c r="BE143" s="7" t="str">
        <f>IFERROR(__xludf.DUMMYFUNCTION("GoogleTranslate(C143, ""en"", ""es"")"),"Contaminante primario")</f>
        <v>Contaminante primario</v>
      </c>
      <c r="BF143" s="7" t="str">
        <f>IFERROR(__xludf.DUMMYFUNCTION("GoogleTranslate(C143, ""en"", ""sw"")"),"Kichafuzi cha Msingi")</f>
        <v>Kichafuzi cha Msingi</v>
      </c>
      <c r="BG143" s="7" t="str">
        <f>IFERROR(__xludf.DUMMYFUNCTION("GoogleTranslate(C143, ""en"", ""sv"")"),"Primär förorening")</f>
        <v>Primär förorening</v>
      </c>
      <c r="BH143" s="7" t="str">
        <f>IFERROR(__xludf.DUMMYFUNCTION("GoogleTranslate(C143, ""en"", ""te"")"),"ప్రాథమిక కాలుష్య కారకం")</f>
        <v>ప్రాథమిక కాలుష్య కారకం</v>
      </c>
      <c r="BI143" s="7" t="str">
        <f>IFERROR(__xludf.DUMMYFUNCTION("GoogleTranslate(C143, ""en"", ""th"")"),"มลพิษเบื้องต้น")</f>
        <v>มลพิษเบื้องต้น</v>
      </c>
      <c r="BJ143" s="7" t="str">
        <f>IFERROR(__xludf.DUMMYFUNCTION("GoogleTranslate(C143, ""en"", ""tr"")"),"Birincil Kirletici")</f>
        <v>Birincil Kirletici</v>
      </c>
      <c r="BK143" s="7" t="str">
        <f>IFERROR(__xludf.DUMMYFUNCTION("GoogleTranslate(C143, ""en"", ""uk"")"),"Основний забруднювач")</f>
        <v>Основний забруднювач</v>
      </c>
      <c r="BL143" s="7" t="str">
        <f>IFERROR(__xludf.DUMMYFUNCTION("GoogleTranslate(C143, ""en"", ""zu"")"),"Ukungcola Okuyinhloko")</f>
        <v>Ukungcola Okuyinhloko</v>
      </c>
    </row>
    <row r="144">
      <c r="A144" s="5" t="str">
        <f t="shared" si="1"/>
        <v>PM2.5_(Particles_matter_under_2.5μm)</v>
      </c>
      <c r="B144" s="6" t="s">
        <v>200</v>
      </c>
      <c r="C144" s="5" t="str">
        <f t="shared" si="2"/>
        <v>PM2.5 (Particles matter under 2.5μm)</v>
      </c>
      <c r="D144" s="7" t="str">
        <f>IFERROR(__xludf.DUMMYFUNCTION("GoogleTranslate(C144, ""en"", ""es"")"),"PM2.5 (partículas importantes por debajo de 2,5 μm)")</f>
        <v>PM2.5 (partículas importantes por debajo de 2,5 μm)</v>
      </c>
      <c r="E144" s="7" t="str">
        <f>IFERROR(__xludf.DUMMYFUNCTION("GoogleTranslate(C144, ""en"", ""ar"")"),"PM2.5 (الجسيمات أقل من 2.5 ميكرومتر)")</f>
        <v>PM2.5 (الجسيمات أقل من 2.5 ميكرومتر)</v>
      </c>
      <c r="F144" s="7" t="str">
        <f>IFERROR(__xludf.DUMMYFUNCTION("GoogleTranslate(C144, ""en"", ""hy"")"),"PM2.5 (2,5 մկմ-ից ցածր մասնիկները)")</f>
        <v>PM2.5 (2,5 մկմ-ից ցածր մասնիկները)</v>
      </c>
      <c r="G144" s="7" t="str">
        <f>IFERROR(__xludf.DUMMYFUNCTION("GoogleTranslate(C144, ""en"", ""vi"")"),"PM2.5 (Các hạt nhỏ dưới 2,5μm)")</f>
        <v>PM2.5 (Các hạt nhỏ dưới 2,5μm)</v>
      </c>
      <c r="H144" s="7" t="str">
        <f>IFERROR(__xludf.DUMMYFUNCTION("GoogleTranslate(C144, ""en"", ""az"")"),"PM2.5 (2.5μm-dən aşağı hissəciklər)")</f>
        <v>PM2.5 (2.5μm-dən aşağı hissəciklər)</v>
      </c>
      <c r="I144" s="7" t="str">
        <f>IFERROR(__xludf.DUMMYFUNCTION("GoogleTranslate(C144, ""en"", ""eu"")"),"PM2,5 (partikulek 2,5 μm-tik beherako materia)")</f>
        <v>PM2,5 (partikulek 2,5 μm-tik beherako materia)</v>
      </c>
      <c r="J144" s="7" t="str">
        <f>IFERROR(__xludf.DUMMYFUNCTION("GoogleTranslate(C144, ""en"", ""be"")"),"PM2,5 (часціцы менш за 2,5 мкм)")</f>
        <v>PM2,5 (часціцы менш за 2,5 мкм)</v>
      </c>
      <c r="K144" s="7" t="str">
        <f>IFERROR(__xludf.DUMMYFUNCTION("GoogleTranslate(C144, ""en"", ""bn"")"),"PM2.5 (2.5μm এর নিচে কণার ব্যাপার)")</f>
        <v>PM2.5 (2.5μm এর নিচে কণার ব্যাপার)</v>
      </c>
      <c r="L144" s="7" t="str">
        <f>IFERROR(__xludf.DUMMYFUNCTION("GoogleTranslate(C144, ""en"", ""bg"")"),"PM2.5 (Материални частици под 2,5 μm)")</f>
        <v>PM2.5 (Материални частици под 2,5 μm)</v>
      </c>
      <c r="M144" s="7" t="str">
        <f>IFERROR(__xludf.DUMMYFUNCTION("GoogleTranslate(C144, ""en"", ""my"")"),"PM2.5 (အမှုန်အမွှားများသည် 2.5μm အောက်)၊")</f>
        <v>PM2.5 (အမှုန်အမွှားများသည် 2.5μm အောက်)၊</v>
      </c>
      <c r="N144" s="7" t="str">
        <f>IFERROR(__xludf.DUMMYFUNCTION("GoogleTranslate(C144, ""en"", ""ca"")"),"PM2,5 (les partícules importen per sota de 2,5 μm)")</f>
        <v>PM2,5 (les partícules importen per sota de 2,5 μm)</v>
      </c>
      <c r="O144" s="7" t="str">
        <f>IFERROR(__xludf.DUMMYFUNCTION("GoogleTranslate(C144, ""en"", ""zh-cn"")"),"PM2.5（2.5μm以下颗粒物）")</f>
        <v>PM2.5（2.5μm以下颗粒物）</v>
      </c>
      <c r="P144" s="7" t="str">
        <f>IFERROR(__xludf.DUMMYFUNCTION("GoogleTranslate(C144, ""en"", ""zh-TW"")"),"PM2.5（2.5μm以下粒狀物）")</f>
        <v>PM2.5（2.5μm以下粒狀物）</v>
      </c>
      <c r="Q144" s="7" t="str">
        <f>IFERROR(__xludf.DUMMYFUNCTION("GoogleTranslate(C144, ""en"", ""hr"")"),"PM2,5 (čestice materije ispod 2,5 μm)")</f>
        <v>PM2,5 (čestice materije ispod 2,5 μm)</v>
      </c>
      <c r="R144" s="7" t="str">
        <f>IFERROR(__xludf.DUMMYFUNCTION("GoogleTranslate(C144, ""en"", ""cs"")"),"PM2,5 (částice o velikosti menší než 2,5 μm)")</f>
        <v>PM2,5 (částice o velikosti menší než 2,5 μm)</v>
      </c>
      <c r="S144" s="7" t="str">
        <f>IFERROR(__xludf.DUMMYFUNCTION("GoogleTranslate(C144, ""en"", ""da"")"),"PM2.5 (partikler er mindre end 2,5 μm)")</f>
        <v>PM2.5 (partikler er mindre end 2,5 μm)</v>
      </c>
      <c r="T144" s="7" t="str">
        <f>IFERROR(__xludf.DUMMYFUNCTION("GoogleTranslate(C144, ""en"", ""nl"")"),"PM2,5 (deeltjes zijn kleiner dan 2,5 μm)")</f>
        <v>PM2,5 (deeltjes zijn kleiner dan 2,5 μm)</v>
      </c>
      <c r="U144" s="7" t="str">
        <f>IFERROR(__xludf.DUMMYFUNCTION("GoogleTranslate(C144, ""en"", ""et"")"),"PM2,5 (osakesed on alla 2,5 μm)")</f>
        <v>PM2,5 (osakesed on alla 2,5 μm)</v>
      </c>
      <c r="V144" s="5" t="str">
        <f t="shared" si="3"/>
        <v>PM2.5 (Particles matter under 2.5μm)</v>
      </c>
      <c r="W144" s="7" t="str">
        <f>IFERROR(__xludf.DUMMYFUNCTION("GoogleTranslate(C144, ""en"", ""fi"")"),"PM2,5 (hiukkasten materiaali on alle 2,5 μm)")</f>
        <v>PM2,5 (hiukkasten materiaali on alle 2,5 μm)</v>
      </c>
      <c r="X144" s="7" t="str">
        <f>IFERROR(__xludf.DUMMYFUNCTION("GoogleTranslate(C144, ""en"", ""fr"")"),"PM2,5 (les particules comptent moins de 2,5 μm)")</f>
        <v>PM2,5 (les particules comptent moins de 2,5 μm)</v>
      </c>
      <c r="Y144" s="7" t="str">
        <f>IFERROR(__xludf.DUMMYFUNCTION("GoogleTranslate(C144, ""en"", ""de"")"),"PM2,5 (Partikel sind kleiner als 2,5 μm)")</f>
        <v>PM2,5 (Partikel sind kleiner als 2,5 μm)</v>
      </c>
      <c r="Z144" s="7" t="str">
        <f>IFERROR(__xludf.DUMMYFUNCTION("GoogleTranslate(C144, ""en"", ""el"")"),"PM2,5 (Τα σωματίδια κάτω από 2,5 μm)")</f>
        <v>PM2,5 (Τα σωματίδια κάτω από 2,5 μm)</v>
      </c>
      <c r="AA144" s="7" t="str">
        <f>IFERROR(__xludf.DUMMYFUNCTION("GoogleTranslate(C144, ""en"", ""iw"")"),"PM2.5 (חלקיקים חומרים מתחת ל-2.5μm)")</f>
        <v>PM2.5 (חלקיקים חומרים מתחת ל-2.5μm)</v>
      </c>
      <c r="AB144" s="7" t="str">
        <f>IFERROR(__xludf.DUMMYFUNCTION("GoogleTranslate(C144, ""en"", ""hi"")"),"PM2.5 (2.5μm से कम के कण मायने रखते हैं)")</f>
        <v>PM2.5 (2.5μm से कम के कण मायने रखते हैं)</v>
      </c>
      <c r="AC144" s="7" t="str">
        <f>IFERROR(__xludf.DUMMYFUNCTION("GoogleTranslate(C144, ""en"", ""hu"")"),"PM2,5 (2,5 μm alatti részecskék)")</f>
        <v>PM2,5 (2,5 μm alatti részecskék)</v>
      </c>
      <c r="AD144" s="7" t="str">
        <f>IFERROR(__xludf.DUMMYFUNCTION("GoogleTranslate(C144, ""en"", ""is"")"),"PM2.5 (agnir skipta minna en 2.5μm)")</f>
        <v>PM2.5 (agnir skipta minna en 2.5μm)</v>
      </c>
      <c r="AE144" s="7" t="str">
        <f>IFERROR(__xludf.DUMMYFUNCTION("GoogleTranslate(C144, ""en"", ""id"")"),"PM2.5 (Partikel penting di bawah 2,5μm)")</f>
        <v>PM2.5 (Partikel penting di bawah 2,5μm)</v>
      </c>
      <c r="AF144" s="7" t="str">
        <f>IFERROR(__xludf.DUMMYFUNCTION("GoogleTranslate(C144, ""en"", ""in"")"),"PM2.5 (Partikel penting di bawah 2,5μm)")</f>
        <v>PM2.5 (Partikel penting di bawah 2,5μm)</v>
      </c>
      <c r="AG144" s="7" t="str">
        <f>IFERROR(__xludf.DUMMYFUNCTION("GoogleTranslate(C144, ""en"", ""it"")"),"PM2.5 (Le particelle contano sotto i 2,5μm)")</f>
        <v>PM2.5 (Le particelle contano sotto i 2,5μm)</v>
      </c>
      <c r="AH144" s="7" t="str">
        <f>IFERROR(__xludf.DUMMYFUNCTION("GoogleTranslate(C144, ""en"", ""ja"")"),"PM2.5（2.5μm以下の粒子状物質）")</f>
        <v>PM2.5（2.5μm以下の粒子状物質）</v>
      </c>
      <c r="AI144" s="7" t="str">
        <f>IFERROR(__xludf.DUMMYFUNCTION("GoogleTranslate(C144, ""en"", ""kn"")"),"PM2.5 (2.5μm ಗಿಂತ ಕಡಿಮೆ ಇರುವ ಕಣಗಳು)")</f>
        <v>PM2.5 (2.5μm ಗಿಂತ ಕಡಿಮೆ ಇರುವ ಕಣಗಳು)</v>
      </c>
      <c r="AJ144" s="7" t="str">
        <f>IFERROR(__xludf.DUMMYFUNCTION("GoogleTranslate(C144, ""en"", ""km"")"),"PM2.5 (ភាគល្អិតមានទម្ងន់ក្រោម 2.5μm)")</f>
        <v>PM2.5 (ភាគល្អិតមានទម្ងន់ក្រោម 2.5μm)</v>
      </c>
      <c r="AK144" s="7" t="str">
        <f>IFERROR(__xludf.DUMMYFUNCTION("GoogleTranslate(C144, ""en"", ""ko"")"),"PM2.5(2.5μm 이하의 입자 물질)")</f>
        <v>PM2.5(2.5μm 이하의 입자 물질)</v>
      </c>
      <c r="AL144" s="7" t="str">
        <f>IFERROR(__xludf.DUMMYFUNCTION("GoogleTranslate(C144, ""en"", ""lo"")"),"PM2.5 (ອະນຸພາກສຳຄັນກວ່າ 2.5μm)")</f>
        <v>PM2.5 (ອະນຸພາກສຳຄັນກວ່າ 2.5μm)</v>
      </c>
      <c r="AM144" s="7" t="str">
        <f>IFERROR(__xludf.DUMMYFUNCTION("GoogleTranslate(C144, ""en"", ""lv"")"),"PM2,5 (daļiņas mazākas par 2,5 μm)")</f>
        <v>PM2,5 (daļiņas mazākas par 2,5 μm)</v>
      </c>
      <c r="AN144" s="7" t="str">
        <f>IFERROR(__xludf.DUMMYFUNCTION("GoogleTranslate(C144, ""en"", ""lt"")"),"PM2,5 (dalelės mažesnės nei 2,5 μm)")</f>
        <v>PM2,5 (dalelės mažesnės nei 2,5 μm)</v>
      </c>
      <c r="AO144" s="7" t="str">
        <f>IFERROR(__xludf.DUMMYFUNCTION("GoogleTranslate(C144, ""en"", ""mk"")"),"PM2.5 (Честички се материја под 2,5 μm)")</f>
        <v>PM2.5 (Честички се материја под 2,5 μm)</v>
      </c>
      <c r="AP144" s="7" t="str">
        <f>IFERROR(__xludf.DUMMYFUNCTION("GoogleTranslate(C144, ""en"", ""ms"")"),"PM2.5 (Jiri zarah di bawah 2.5μm)")</f>
        <v>PM2.5 (Jiri zarah di bawah 2.5μm)</v>
      </c>
      <c r="AQ144" s="7" t="str">
        <f>IFERROR(__xludf.DUMMYFUNCTION("GoogleTranslate(C144, ""en"", ""ml"")"),"PM2.5 (2.5μm-ൽ താഴെയുള്ള കണികകൾ)")</f>
        <v>PM2.5 (2.5μm-ൽ താഴെയുള്ള കണികകൾ)</v>
      </c>
      <c r="AR144" s="7" t="str">
        <f>IFERROR(__xludf.DUMMYFUNCTION("GoogleTranslate(C144, ""en"", ""mr"")"),"PM2.5 (2.5μm अंतर्गत कणांचे प्रमाण)")</f>
        <v>PM2.5 (2.5μm अंतर्गत कणांचे प्रमाण)</v>
      </c>
      <c r="AS144" s="7" t="str">
        <f>IFERROR(__xludf.DUMMYFUNCTION("GoogleTranslate(C144, ""en"", ""mn"")"),"PM2.5 (2.5μm-ээс бага хэмжээтэй тоосонцор)")</f>
        <v>PM2.5 (2.5μm-ээс бага хэмжээтэй тоосонцор)</v>
      </c>
      <c r="AT144" s="7" t="str">
        <f>IFERROR(__xludf.DUMMYFUNCTION("GoogleTranslate(C144, ""en"", ""ne"")"),"PM2.5 (2.5μm भन्दा कम कणहरू)")</f>
        <v>PM2.5 (2.5μm भन्दा कम कणहरू)</v>
      </c>
      <c r="AU144" s="7" t="str">
        <f>IFERROR(__xludf.DUMMYFUNCTION("GoogleTranslate(C144, ""en"", ""nb"")"),"PM2,5 (partikler er mindre enn 2,5 μm)")</f>
        <v>PM2,5 (partikler er mindre enn 2,5 μm)</v>
      </c>
      <c r="AV144" s="7" t="str">
        <f>IFERROR(__xludf.DUMMYFUNCTION("GoogleTranslate(C144, ""en"", ""fa"")"),"PM2.5 (ذرات زیر 2.5 میکرومتر)")</f>
        <v>PM2.5 (ذرات زیر 2.5 میکرومتر)</v>
      </c>
      <c r="AW144" s="7" t="str">
        <f>IFERROR(__xludf.DUMMYFUNCTION("GoogleTranslate(C144, ""en"", ""pl"")"),"PM2,5 (Cząsteczki mają znaczenie poniżej 2,5 μm)")</f>
        <v>PM2,5 (Cząsteczki mają znaczenie poniżej 2,5 μm)</v>
      </c>
      <c r="AX144" s="7" t="str">
        <f>IFERROR(__xludf.DUMMYFUNCTION("GoogleTranslate(C144, ""en"", ""pt"")"),"PM2.5 (partículas importam abaixo de 2,5 μm)")</f>
        <v>PM2.5 (partículas importam abaixo de 2,5 μm)</v>
      </c>
      <c r="AY144" s="7" t="str">
        <f>IFERROR(__xludf.DUMMYFUNCTION("GoogleTranslate(C144, ""en"", ""ro"")"),"PM2.5 (Particulele contează sub 2,5 μm)")</f>
        <v>PM2.5 (Particulele contează sub 2,5 μm)</v>
      </c>
      <c r="AZ144" s="7" t="str">
        <f>IFERROR(__xludf.DUMMYFUNCTION("GoogleTranslate(C144, ""en"", ""ru"")"),"PM2,5 (частицы размером менее 2,5 мкм)")</f>
        <v>PM2,5 (частицы размером менее 2,5 мкм)</v>
      </c>
      <c r="BA144" s="7" t="str">
        <f>IFERROR(__xludf.DUMMYFUNCTION("GoogleTranslate(C144, ""en"", ""sr"")"),"ПМ2,5 (честице су мање од 2,5 μм)")</f>
        <v>ПМ2,5 (честице су мање од 2,5 μм)</v>
      </c>
      <c r="BB144" s="7" t="str">
        <f>IFERROR(__xludf.DUMMYFUNCTION("GoogleTranslate(C144, ""en"", ""si"")"),"PM2.5 (2.5μm ට අඩු අංශු පදාර්ථ)")</f>
        <v>PM2.5 (2.5μm ට අඩු අංශු පදාර්ථ)</v>
      </c>
      <c r="BC144" s="7" t="str">
        <f>IFERROR(__xludf.DUMMYFUNCTION("GoogleTranslate(C144, ""en"", ""sk"")"),"PM2,5 (častice menšie ako 2,5 μm)")</f>
        <v>PM2,5 (častice menšie ako 2,5 μm)</v>
      </c>
      <c r="BD144" s="7" t="str">
        <f>IFERROR(__xludf.DUMMYFUNCTION("GoogleTranslate(C144, ""en"", ""sl"")"),"PM2,5 (delci pod 2,5 μm)")</f>
        <v>PM2,5 (delci pod 2,5 μm)</v>
      </c>
      <c r="BE144" s="7" t="str">
        <f>IFERROR(__xludf.DUMMYFUNCTION("GoogleTranslate(C144, ""en"", ""es"")"),"PM2.5 (partículas importantes por debajo de 2,5 μm)")</f>
        <v>PM2.5 (partículas importantes por debajo de 2,5 μm)</v>
      </c>
      <c r="BF144" s="7" t="str">
        <f>IFERROR(__xludf.DUMMYFUNCTION("GoogleTranslate(C144, ""en"", ""sw"")"),"PM2.5 (Chembe ni muhimu chini ya 2.5μm)")</f>
        <v>PM2.5 (Chembe ni muhimu chini ya 2.5μm)</v>
      </c>
      <c r="BG144" s="7" t="str">
        <f>IFERROR(__xludf.DUMMYFUNCTION("GoogleTranslate(C144, ""en"", ""sv"")"),"PM2,5 (partiklar är mindre än 2,5 μm)")</f>
        <v>PM2,5 (partiklar är mindre än 2,5 μm)</v>
      </c>
      <c r="BH144" s="7" t="str">
        <f>IFERROR(__xludf.DUMMYFUNCTION("GoogleTranslate(C144, ""en"", ""te"")"),"PM2.5 (కణాలు 2.5μm లోపు పదార్థం)")</f>
        <v>PM2.5 (కణాలు 2.5μm లోపు పదార్థం)</v>
      </c>
      <c r="BI144" s="7" t="str">
        <f>IFERROR(__xludf.DUMMYFUNCTION("GoogleTranslate(C144, ""en"", ""th"")"),"PM2.5 (อนุภาคมีขนาดไม่เกิน 2.5μm)")</f>
        <v>PM2.5 (อนุภาคมีขนาดไม่เกิน 2.5μm)</v>
      </c>
      <c r="BJ144" s="7" t="str">
        <f>IFERROR(__xludf.DUMMYFUNCTION("GoogleTranslate(C144, ""en"", ""tr"")"),"PM2.5 (2,5μm'nin altındaki parçacıklar önemlidir)")</f>
        <v>PM2.5 (2,5μm'nin altındaki parçacıklar önemlidir)</v>
      </c>
      <c r="BK144" s="7" t="str">
        <f>IFERROR(__xludf.DUMMYFUNCTION("GoogleTranslate(C144, ""en"", ""uk"")"),"PM2,5 (частинки розміром менше 2,5 мкм)")</f>
        <v>PM2,5 (частинки розміром менше 2,5 мкм)</v>
      </c>
      <c r="BL144" s="7" t="str">
        <f>IFERROR(__xludf.DUMMYFUNCTION("GoogleTranslate(C144, ""en"", ""zu"")"),"PM2.5 (Izinhlayiya zibalulekile ngaphansi kuka-2.5μm)")</f>
        <v>PM2.5 (Izinhlayiya zibalulekile ngaphansi kuka-2.5μm)</v>
      </c>
    </row>
    <row r="145">
      <c r="A145" s="5" t="str">
        <f t="shared" si="1"/>
        <v>PM2.5_particles_are_small_enough_to_enter_the_bloodstream_and_typically_result_from_wildfires,_smoke_ashes,_bacteria_or_small_dust_particles</v>
      </c>
      <c r="B145" s="6" t="s">
        <v>201</v>
      </c>
      <c r="C145" s="5" t="str">
        <f t="shared" si="2"/>
        <v>PM2.5 particles are small enough to enter the bloodstream and typically result from wildfires, smoke ashes, bacteria or small dust particles</v>
      </c>
      <c r="D145" s="7" t="str">
        <f>IFERROR(__xludf.DUMMYFUNCTION("GoogleTranslate(C145,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E145" s="7" t="str">
        <f>IFERROR(__xludf.DUMMYFUNCTION("GoogleTranslate(C145, ""en"", ""ar"")"),"جسيمات PM2.5 صغيرة بما يكفي لدخول مجرى الدم وتنتج عادةً عن حرائق الغابات أو الرماد الدخاني أو البكتيريا أو جزيئات الغبار الصغيرة")</f>
        <v>جسيمات PM2.5 صغيرة بما يكفي لدخول مجرى الدم وتنتج عادةً عن حرائق الغابات أو الرماد الدخاني أو البكتيريا أو جزيئات الغبار الصغيرة</v>
      </c>
      <c r="F145" s="7" t="str">
        <f>IFERROR(__xludf.DUMMYFUNCTION("GoogleTranslate(C145, ""en"", ""hy"")"),"PM2.5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f>
        <v>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v>
      </c>
      <c r="G145" s="7" t="str">
        <f>IFERROR(__xludf.DUMMYFUNCTION("GoogleTranslate(C145, ""en"", ""vi"")"),"Các hạt PM2.5 đủ nhỏ để đi vào máu và thường là kết quả của cháy rừng, tro khói, vi khuẩn hoặc các hạt bụi nhỏ")</f>
        <v>Các hạt PM2.5 đủ nhỏ để đi vào máu và thường là kết quả của cháy rừng, tro khói, vi khuẩn hoặc các hạt bụi nhỏ</v>
      </c>
      <c r="H145" s="7" t="str">
        <f>IFERROR(__xludf.DUMMYFUNCTION("GoogleTranslate(C145, ""en"", ""az"")"),"PM2.5 hissəcikləri qan dövranına daxil olmaq üçün kifayət qədər kiçikdir və adətən meşə yanğınları, tüstü külləri, bakteriyalar və ya kiçik toz hissəcikləri nəticəsində yaranır.")</f>
        <v>PM2.5 hissəcikləri qan dövranına daxil olmaq üçün kifayət qədər kiçikdir və adətən meşə yanğınları, tüstü külləri, bakteriyalar və ya kiçik toz hissəcikləri nəticəsində yaranır.</v>
      </c>
      <c r="I145" s="7" t="str">
        <f>IFERROR(__xludf.DUMMYFUNCTION("GoogleTranslate(C145, ""en"", ""eu"")"),"PM2,5 partikulak odolera sartzeko bezain txikiak dira eta normalean suteen, ke errautsen, bakterioen edo hauts partikula txikien ondorioz sortzen dira.")</f>
        <v>PM2,5 partikulak odolera sartzeko bezain txikiak dira eta normalean suteen, ke errautsen, bakterioen edo hauts partikula txikien ondorioz sortzen dira.</v>
      </c>
      <c r="J145" s="7" t="str">
        <f>IFERROR(__xludf.DUMMYFUNCTION("GoogleTranslate(C145, ""en"", ""be"")"),"Часціцы PM2,5 досыць малыя, каб патрапіць у кроў, і звычайна ўзнікаюць у выніку лясных пажараў, попелу дыму, бактэрый або дробных часціц пылу")</f>
        <v>Часціцы PM2,5 досыць малыя, каб патрапіць у кроў, і звычайна ўзнікаюць у выніку лясных пажараў, попелу дыму, бактэрый або дробных часціц пылу</v>
      </c>
      <c r="K145" s="7" t="str">
        <f>IFERROR(__xludf.DUMMYFUNCTION("GoogleTranslate(C145, ""en"", ""bn"")"),"PM2.5 কণা রক্তের প্রবাহে প্রবেশ করার জন্য যথেষ্ট ছোট এবং সাধারণত দাবানল, ধোঁয়ার ছাই, ব্যাকটেরিয়া বা ছোট ধুলো কণার ফলে")</f>
        <v>PM2.5 কণা রক্তের প্রবাহে প্রবেশ করার জন্য যথেষ্ট ছোট এবং সাধারণত দাবানল, ধোঁয়ার ছাই, ব্যাকটেরিয়া বা ছোট ধুলো কণার ফলে</v>
      </c>
      <c r="L145" s="7" t="str">
        <f>IFERROR(__xludf.DUMMYFUNCTION("GoogleTranslate(C145, ""en"", ""bg"")"),"Частиците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f>
        <v>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v>
      </c>
      <c r="M145" s="7" t="str">
        <f>IFERROR(__xludf.DUMMYFUNCTION("GoogleTranslate(C145, ""en"", ""my"")"),"PM2.5 အမှုန်အမွှားများသည် သွေးကြောထဲသို့ဝင်ရောက်ရန် လုံလောက်သောသေးငယ်ပြီး များသောအားဖြင့် တောမီးများ၊ မီးခိုးပြာများ၊")</f>
        <v>PM2.5 အမှုန်အမွှားများသည် သွေးကြောထဲသို့ဝင်ရောက်ရန် လုံလောက်သောသေးငယ်ပြီး များသောအားဖြင့် တောမီးများ၊ မီးခိုးပြာများ၊</v>
      </c>
      <c r="N145" s="7" t="str">
        <f>IFERROR(__xludf.DUMMYFUNCTION("GoogleTranslate(C145, ""en"", ""ca"")"),"Les partícules de PM2,5 són prou petites com per entrar al torrent sanguini i normalment resulten d'incendis forestals, cendres de fum, bacteris o petites partícules de pols.")</f>
        <v>Les partícules de PM2,5 són prou petites com per entrar al torrent sanguini i normalment resulten d'incendis forestals, cendres de fum, bacteris o petites partícules de pols.</v>
      </c>
      <c r="O145" s="7" t="str">
        <f>IFERROR(__xludf.DUMMYFUNCTION("GoogleTranslate(C145, ""en"", ""zh-cn"")"),"PM2.5 颗粒小到足以进入血液，通常由野火、烟灰、细菌或小灰尘颗粒产生")</f>
        <v>PM2.5 颗粒小到足以进入血液，通常由野火、烟灰、细菌或小灰尘颗粒产生</v>
      </c>
      <c r="P145" s="7" t="str">
        <f>IFERROR(__xludf.DUMMYFUNCTION("GoogleTranslate(C145, ""en"", ""zh-TW"")"),"PM2.5 顆粒小到足以進入血液，通常由野火、煙灰、細菌或小灰塵顆粒產生")</f>
        <v>PM2.5 顆粒小到足以進入血液，通常由野火、煙灰、細菌或小灰塵顆粒產生</v>
      </c>
      <c r="Q145" s="7" t="str">
        <f>IFERROR(__xludf.DUMMYFUNCTION("GoogleTranslate(C145, ""en"", ""hr"")"),"Čestice PM2.5 dovoljno su male da uđu u krvotok i obično nastaju od šumskih požara, dimnog pepela, bakterija ili malih čestica prašine")</f>
        <v>Čestice PM2.5 dovoljno su male da uđu u krvotok i obično nastaju od šumskih požara, dimnog pepela, bakterija ili malih čestica prašine</v>
      </c>
      <c r="R145" s="7" t="str">
        <f>IFERROR(__xludf.DUMMYFUNCTION("GoogleTranslate(C145, ""en"", ""cs"")"),"Částice PM2,5 jsou dostatečně malé na to, aby se dostaly do krevního oběhu a obvykle pocházejí z lesních požárů, kouřového popela, bakterií nebo malých prachových částic.")</f>
        <v>Částice PM2,5 jsou dostatečně malé na to, aby se dostaly do krevního oběhu a obvykle pocházejí z lesních požárů, kouřového popela, bakterií nebo malých prachových částic.</v>
      </c>
      <c r="S145" s="7" t="str">
        <f>IFERROR(__xludf.DUMMYFUNCTION("GoogleTranslate(C145, ""en"", ""da"")"),"PM2.5-partikler er små nok til at komme ind i blodbanen og skyldes typisk naturbrande, røgaske, bakterier eller små støvpartikler")</f>
        <v>PM2.5-partikler er små nok til at komme ind i blodbanen og skyldes typisk naturbrande, røgaske, bakterier eller små støvpartikler</v>
      </c>
      <c r="T145" s="7" t="str">
        <f>IFERROR(__xludf.DUMMYFUNCTION("GoogleTranslate(C145, ""en"", ""nl"")"),"PM2.5-deeltjes zijn klein genoeg om in de bloedbaan terecht te komen en zijn meestal het gevolg van bosbranden, rookas, bacteriën of kleine stofdeeltjes")</f>
        <v>PM2.5-deeltjes zijn klein genoeg om in de bloedbaan terecht te komen en zijn meestal het gevolg van bosbranden, rookas, bacteriën of kleine stofdeeltjes</v>
      </c>
      <c r="U145" s="7" t="str">
        <f>IFERROR(__xludf.DUMMYFUNCTION("GoogleTranslate(C145, ""en"", ""et"")"),"PM2,5 osakesed on vereringesse sisenemiseks piisavalt väikesed ja tekivad tavaliselt metsatulekahjude, suitsutuha, bakterite või väikeste tolmuosakeste tagajärjel")</f>
        <v>PM2,5 osakesed on vereringesse sisenemiseks piisavalt väikesed ja tekivad tavaliselt metsatulekahjude, suitsutuha, bakterite või väikeste tolmuosakeste tagajärjel</v>
      </c>
      <c r="V145" s="5" t="str">
        <f t="shared" si="3"/>
        <v>PM2.5 particles are small enough to enter the bloodstream and typically result from wildfires, smoke ashes, bacteria or small dust particles</v>
      </c>
      <c r="W145" s="7" t="str">
        <f>IFERROR(__xludf.DUMMYFUNCTION("GoogleTranslate(C145, ""en"", ""fi"")"),"PM2.5-hiukkaset ovat riittävän pieniä päästäkseen verenkiertoon ja ovat tyypillisesti seurausta metsäpaloista, savutuhkasta, bakteereista tai pienistä pölyhiukkasista")</f>
        <v>PM2.5-hiukkaset ovat riittävän pieniä päästäkseen verenkiertoon ja ovat tyypillisesti seurausta metsäpaloista, savutuhkasta, bakteereista tai pienistä pölyhiukkasista</v>
      </c>
      <c r="X145" s="7" t="str">
        <f>IFERROR(__xludf.DUMMYFUNCTION("GoogleTranslate(C145, ""en"", ""fr"")"),"Les particules PM2,5 sont suffisamment petites pour pénétrer dans la circulation sanguine et résultent généralement d'incendies de forêt, de cendres de fumée, de bactéries ou de petites particules de poussière.")</f>
        <v>Les particules PM2,5 sont suffisamment petites pour pénétrer dans la circulation sanguine et résultent généralement d'incendies de forêt, de cendres de fumée, de bactéries ou de petites particules de poussière.</v>
      </c>
      <c r="Y145" s="7" t="str">
        <f>IFERROR(__xludf.DUMMYFUNCTION("GoogleTranslate(C145, ""en"", ""de"")"),"PM2,5-Partikel sind klein genug, um in den Blutkreislauf zu gelangen und entstehen typischerweise durch Waldbrände, Rauchasche, Bakterien oder kleine Staubpartikel")</f>
        <v>PM2,5-Partikel sind klein genug, um in den Blutkreislauf zu gelangen und entstehen typischerweise durch Waldbrände, Rauchasche, Bakterien oder kleine Staubpartikel</v>
      </c>
      <c r="Z145" s="7" t="str">
        <f>IFERROR(__xludf.DUMMYFUNCTION("GoogleTranslate(C145, ""en"", ""el"")"),"Τα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f>
        <v>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v>
      </c>
      <c r="AA145" s="7" t="str">
        <f>IFERROR(__xludf.DUMMYFUNCTION("GoogleTranslate(C145, ""en"", ""iw"")"),"חלקיקי PM2.5 קטנים מספיק כדי להיכנס לזרם הדם ובדרך כלל נובעים משריפות יער, אפר עשן, חיידקים או חלקיקי אבק קטנים")</f>
        <v>חלקיקי PM2.5 קטנים מספיק כדי להיכנס לזרם הדם ובדרך כלל נובעים משריפות יער, אפר עשן, חיידקים או חלקיקי אבק קטנים</v>
      </c>
      <c r="AB145" s="7" t="str">
        <f>IFERROR(__xludf.DUMMYFUNCTION("GoogleTranslate(C145, ""en"", ""hi"")"),"PM2.5 कण रक्तप्रवाह में प्रवेश करने के लिए काफी छोटे होते हैं और आमतौर पर जंगल की आग, धुएं की राख, बैक्टीरिया या छोटे धूल कणों के परिणामस्वरूप होते हैं")</f>
        <v>PM2.5 कण रक्तप्रवाह में प्रवेश करने के लिए काफी छोटे होते हैं और आमतौर पर जंगल की आग, धुएं की राख, बैक्टीरिया या छोटे धूल कणों के परिणामस्वरूप होते हैं</v>
      </c>
      <c r="AC145" s="7" t="str">
        <f>IFERROR(__xludf.DUMMYFUNCTION("GoogleTranslate(C145, ""en"", ""hu"")"),"A PM2.5 részecskék elég kicsik ahhoz, hogy bejussanak a véráramba, és jellemzően erdőtüzekből, füsthamuból, baktériumokból vagy apró porszemcsékből származnak")</f>
        <v>A PM2.5 részecskék elég kicsik ahhoz, hogy bejussanak a véráramba, és jellemzően erdőtüzekből, füsthamuból, baktériumokból vagy apró porszemcsékből származnak</v>
      </c>
      <c r="AD145" s="7" t="str">
        <f>IFERROR(__xludf.DUMMYFUNCTION("GoogleTranslate(C145, ""en"", ""is"")"),"PM2.5 agnir eru nógu litlar til að komast inn í blóðrásina og stafa venjulega af skógareldum, reykösku, bakteríum eða litlum rykagnum")</f>
        <v>PM2.5 agnir eru nógu litlar til að komast inn í blóðrásina og stafa venjulega af skógareldum, reykösku, bakteríum eða litlum rykagnum</v>
      </c>
      <c r="AE145" s="7" t="str">
        <f>IFERROR(__xludf.DUMMYFUNCTION("GoogleTranslate(C145, ""en"", ""id"")"),"Partikel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F145" s="7" t="str">
        <f>IFERROR(__xludf.DUMMYFUNCTION("GoogleTranslate(C145, ""en"", ""in"")"),"Partikel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G145" s="7" t="str">
        <f>IFERROR(__xludf.DUMMYFUNCTION("GoogleTranslate(C145, ""en"", ""it"")"),"Le particelle PM2,5 sono abbastanza piccole da entrare nel flusso sanguigno e in genere derivano da incendi, ceneri di fumo, batteri o piccole particelle di polvere")</f>
        <v>Le particelle PM2,5 sono abbastanza piccole da entrare nel flusso sanguigno e in genere derivano da incendi, ceneri di fumo, batteri o piccole particelle di polvere</v>
      </c>
      <c r="AH145" s="7" t="str">
        <f>IFERROR(__xludf.DUMMYFUNCTION("GoogleTranslate(C145, ""en"", ""ja"")"),"PM2.5 粒子は血流に入るほど小さく、通常は山火事、煙の灰、細菌、または小さな粉塵粒子によって発生します。")</f>
        <v>PM2.5 粒子は血流に入るほど小さく、通常は山火事、煙の灰、細菌、または小さな粉塵粒子によって発生します。</v>
      </c>
      <c r="AI145" s="7" t="str">
        <f>IFERROR(__xludf.DUMMYFUNCTION("GoogleTranslate(C145, ""en"", ""kn"")"),"PM2.5 ಕಣಗಳು ರಕ್ತಪ್ರವಾಹಕ್ಕೆ ಪ್ರವೇಶಿಸುವಷ್ಟು ಚಿಕ್ಕದಾಗಿದೆ ಮತ್ತು ಸಾಮಾನ್ಯವಾಗಿ ಕಾಳ್ಗಿಚ್ಚು, ಹೊಗೆ ಬೂದಿ, ಬ್ಯಾಕ್ಟೀರಿಯಾ ಅಥವಾ ಸಣ್ಣ ಧೂಳಿನ ಕಣಗಳಿಂದ ಉಂಟಾಗುತ್ತದೆ.")</f>
        <v>PM2.5 ಕಣಗಳು ರಕ್ತಪ್ರವಾಹಕ್ಕೆ ಪ್ರವೇಶಿಸುವಷ್ಟು ಚಿಕ್ಕದಾಗಿದೆ ಮತ್ತು ಸಾಮಾನ್ಯವಾಗಿ ಕಾಳ್ಗಿಚ್ಚು, ಹೊಗೆ ಬೂದಿ, ಬ್ಯಾಕ್ಟೀರಿಯಾ ಅಥವಾ ಸಣ್ಣ ಧೂಳಿನ ಕಣಗಳಿಂದ ಉಂಟಾಗುತ್ತದೆ.</v>
      </c>
      <c r="AJ145" s="7" t="str">
        <f>IFERROR(__xludf.DUMMYFUNCTION("GoogleTranslate(C145, ""en"", ""km"")"),"ភាគល្អិត PM2.5 មានទំហំតូចល្មមចូលទៅក្នុងចរន្តឈាម ហើយជាធម្មតាបណ្តាលមកពីភ្លើងឆេះព្រៃ ផេះផ្សែង បាក់តេរី ឬភាគល្អិតធូលីតូចៗ។")</f>
        <v>ភាគល្អិត PM2.5 មានទំហំតូចល្មមចូលទៅក្នុងចរន្តឈាម ហើយជាធម្មតាបណ្តាលមកពីភ្លើងឆេះព្រៃ ផេះផ្សែង បាក់តេរី ឬភាគល្អិតធូលីតូចៗ។</v>
      </c>
      <c r="AK145" s="7" t="str">
        <f>IFERROR(__xludf.DUMMYFUNCTION("GoogleTranslate(C145, ""en"", ""ko"")"),"PM2.5 입자는 혈류에 들어갈 만큼 작으며 일반적으로 산불, 연기 재, 박테리아 또는 작은 먼지 입자로 인해 발생합니다.")</f>
        <v>PM2.5 입자는 혈류에 들어갈 만큼 작으며 일반적으로 산불, 연기 재, 박테리아 또는 작은 먼지 입자로 인해 발생합니다.</v>
      </c>
      <c r="AL145" s="7" t="str">
        <f>IFERROR(__xludf.DUMMYFUNCTION("GoogleTranslate(C145, ""en"", ""lo"")"),"ອະນຸພາກ PM2.5 ແມ່ນມີຂະໜາດນ້ອຍພໍທີ່ຈະເຂົ້າສູ່ກະແສເລືອດ ແລະ ໂດຍທົ່ວໄປແລ້ວເກີດຈາກໄຟໄໝ້ປ່າ, ຂີ້ເຖົ່າຄວັນໄຟ, ເຊື້ອແບັກທີເຣັຍ ຫຼື ຂີ້ຝຸ່ນນ້ອຍໆ.")</f>
        <v>ອະນຸພາກ PM2.5 ແມ່ນມີຂະໜາດນ້ອຍພໍທີ່ຈະເຂົ້າສູ່ກະແສເລືອດ ແລະ ໂດຍທົ່ວໄປແລ້ວເກີດຈາກໄຟໄໝ້ປ່າ, ຂີ້ເຖົ່າຄວັນໄຟ, ເຊື້ອແບັກທີເຣັຍ ຫຼື ຂີ້ຝຸ່ນນ້ອຍໆ.</v>
      </c>
      <c r="AM145" s="7" t="str">
        <f>IFERROR(__xludf.DUMMYFUNCTION("GoogleTranslate(C145, ""en"", ""lv"")"),"PM2.5 daļiņas ir pietiekami mazas, lai iekļūtu asinsritē, un tās parasti rodas ugunsgrēku, dūmu pelnu, baktēriju vai sīku putekļu daļiņu rezultātā.")</f>
        <v>PM2.5 daļiņas ir pietiekami mazas, lai iekļūtu asinsritē, un tās parasti rodas ugunsgrēku, dūmu pelnu, baktēriju vai sīku putekļu daļiņu rezultātā.</v>
      </c>
      <c r="AN145" s="7" t="str">
        <f>IFERROR(__xludf.DUMMYFUNCTION("GoogleTranslate(C145, ""en"", ""lt"")"),"KD2,5 dalelės yra pakankamai mažos, kad patektų į kraują ir paprastai susidaro dėl gaisrų, dūmų pelenų, bakterijų ar smulkių dulkių dalelių")</f>
        <v>KD2,5 dalelės yra pakankamai mažos, kad patektų į kraują ir paprastai susidaro dėl gaisrų, dūmų pelenų, bakterijų ar smulkių dulkių dalelių</v>
      </c>
      <c r="AO145" s="7" t="str">
        <f>IFERROR(__xludf.DUMMYFUNCTION("GoogleTranslate(C145, ""en"", ""mk"")"),"ПМ2.5 честичките се доволно мали за да влезат во крвотокот и обично се резултат од шумски пожари, чад пепел, бактерии или мали честички прашина")</f>
        <v>ПМ2.5 честичките се доволно мали за да влезат во крвотокот и обично се резултат од шумски пожари, чад пепел, бактерии или мали честички прашина</v>
      </c>
      <c r="AP145" s="7" t="str">
        <f>IFERROR(__xludf.DUMMYFUNCTION("GoogleTranslate(C145, ""en"", ""ms"")"),"Zarah PM2.5 cukup kecil untuk memasuki aliran darah dan biasanya terhasil daripada kebakaran hutan, abu asap, bakteria atau zarah debu kecil")</f>
        <v>Zarah PM2.5 cukup kecil untuk memasuki aliran darah dan biasanya terhasil daripada kebakaran hutan, abu asap, bakteria atau zarah debu kecil</v>
      </c>
      <c r="AQ145" s="7" t="str">
        <f>IFERROR(__xludf.DUMMYFUNCTION("GoogleTranslate(C145, ""en"", ""ml"")"),"PM2.5 കണങ്ങൾ രക്തത്തിൽ പ്രവേശിക്കാൻ പര്യാപ്തമാണ്, സാധാരണയായി കാട്ടുതീ, പുക ചാരം, ബാക്ടീരിയ അല്ലെങ്കിൽ ചെറിയ പൊടിപടലങ്ങൾ")</f>
        <v>PM2.5 കണങ്ങൾ രക്തത്തിൽ പ്രവേശിക്കാൻ പര്യാപ്തമാണ്, സാധാരണയായി കാട്ടുതീ, പുക ചാരം, ബാക്ടീരിയ അല്ലെങ്കിൽ ചെറിയ പൊടിപടലങ്ങൾ</v>
      </c>
      <c r="AR145" s="7" t="str">
        <f>IFERROR(__xludf.DUMMYFUNCTION("GoogleTranslate(C145, ""en"", ""mr"")"),"PM2.5 कण रक्तप्रवाहात प्रवेश करण्यासाठी पुरेसे लहान असतात आणि सामान्यत: जंगलातील आग, धुराची राख, बॅक्टेरिया किंवा लहान धुळीच्या कणांमुळे उद्भवतात.")</f>
        <v>PM2.5 कण रक्तप्रवाहात प्रवेश करण्यासाठी पुरेसे लहान असतात आणि सामान्यत: जंगलातील आग, धुराची राख, बॅक्टेरिया किंवा लहान धुळीच्या कणांमुळे उद्भवतात.</v>
      </c>
      <c r="AS145" s="7" t="str">
        <f>IFERROR(__xludf.DUMMYFUNCTION("GoogleTranslate(C145, ""en"", ""mn"")"),"PM2.5 тоосонцор нь цусны урсгалд ороход хангалттай жижиг бөгөөд ихэвчлэн ой хээрийн түймэр, утааны үнс, бактери, тоосны жижиг хэсгүүдээс үүсдэг.")</f>
        <v>PM2.5 тоосонцор нь цусны урсгалд ороход хангалттай жижиг бөгөөд ихэвчлэн ой хээрийн түймэр, утааны үнс, бактери, тоосны жижиг хэсгүүдээс үүсдэг.</v>
      </c>
      <c r="AT145" s="7" t="str">
        <f>IFERROR(__xludf.DUMMYFUNCTION("GoogleTranslate(C145, ""en"", ""ne"")"),"PM2.5 कणहरू रक्तप्रवाहमा प्रवेश गर्न पर्याप्त मात्रामा साना हुन्छन् र सामान्यतया जंगलको आगो, धुवाँको खरानी, ​​ब्याक्टेरिया वा सानो धुलो कणहरूको परिणाम हो।")</f>
        <v>PM2.5 कणहरू रक्तप्रवाहमा प्रवेश गर्न पर्याप्त मात्रामा साना हुन्छन् र सामान्यतया जंगलको आगो, धुवाँको खरानी, ​​ब्याक्टेरिया वा सानो धुलो कणहरूको परिणाम हो।</v>
      </c>
      <c r="AU145" s="7" t="str">
        <f>IFERROR(__xludf.DUMMYFUNCTION("GoogleTranslate(C145, ""en"", ""nb"")"),"PM2.5-partikler er små nok til å komme inn i blodet og skyldes vanligvis skogbranner, røykaske, bakterier eller små støvpartikler")</f>
        <v>PM2.5-partikler er små nok til å komme inn i blodet og skyldes vanligvis skogbranner, røykaske, bakterier eller små støvpartikler</v>
      </c>
      <c r="AV145" s="7" t="str">
        <f>IFERROR(__xludf.DUMMYFUNCTION("GoogleTranslate(C145, ""en"", ""fa"")"),"ذرات PM2.5 به اندازه‌ای کوچک هستند که وارد جریان خون شوند و معمولاً ناشی از آتش‌سوزی‌های جنگلی، خاکستر دود، باکتری‌ها یا ذرات ریز گرد و غبار هستند.")</f>
        <v>ذرات PM2.5 به اندازه‌ای کوچک هستند که وارد جریان خون شوند و معمولاً ناشی از آتش‌سوزی‌های جنگلی، خاکستر دود، باکتری‌ها یا ذرات ریز گرد و غبار هستند.</v>
      </c>
      <c r="AW145" s="7" t="str">
        <f>IFERROR(__xludf.DUMMYFUNCTION("GoogleTranslate(C145, ""en"", ""pl"")"),"Cząstki PM2,5 są wystarczająco małe, aby przedostać się do krwiobiegu i zazwyczaj powstają w wyniku pożarów, popiołów dymnych, bakterii lub małych cząstek pyłu")</f>
        <v>Cząstki PM2,5 są wystarczająco małe, aby przedostać się do krwiobiegu i zazwyczaj powstają w wyniku pożarów, popiołów dymnych, bakterii lub małych cząstek pyłu</v>
      </c>
      <c r="AX145" s="7" t="str">
        <f>IFERROR(__xludf.DUMMYFUNCTION("GoogleTranslate(C145, ""en"", ""pt"")"),"As partículas PM2.5 são pequenas o suficiente para entrar na corrente sanguínea e normalmente resultam de incêndios florestais, cinzas de fumaça, bactérias ou pequenas partículas de poeira")</f>
        <v>As partículas PM2.5 são pequenas o suficiente para entrar na corrente sanguínea e normalmente resultam de incêndios florestais, cinzas de fumaça, bactérias ou pequenas partículas de poeira</v>
      </c>
      <c r="AY145" s="7" t="str">
        <f>IFERROR(__xludf.DUMMYFUNCTION("GoogleTranslate(C145, ""en"", ""ro"")"),"Particulele PM2.5 sunt suficient de mici pentru a intra în sânge și, de obicei, rezultă din incendii de vegetație, cenușă de fum, bacterii sau particule mici de praf")</f>
        <v>Particulele PM2.5 sunt suficient de mici pentru a intra în sânge și, de obicei, rezultă din incendii de vegetație, cenușă de fum, bacterii sau particule mici de praf</v>
      </c>
      <c r="AZ145" s="7" t="str">
        <f>IFERROR(__xludf.DUMMYFUNCTION("GoogleTranslate(C145, ""en"", ""ru"")"),"Частицы PM2,5 достаточно малы, чтобы попасть в кровоток, и обычно возникают в результате лесных пожаров, дыма, бактерий или мелких частиц пыли.")</f>
        <v>Частицы PM2,5 достаточно малы, чтобы попасть в кровоток, и обычно возникают в результате лесных пожаров, дыма, бактерий или мелких частиц пыли.</v>
      </c>
      <c r="BA145" s="7" t="str">
        <f>IFERROR(__xludf.DUMMYFUNCTION("GoogleTranslate(C145, ""en"", ""sr"")"),"ПМ2,5 честице су довољно мале да уђу у крвоток и обично су резултат шумских пожара, димног пепела, бактерија или малих честица прашине")</f>
        <v>ПМ2,5 честице су довољно мале да уђу у крвоток и обично су резултат шумских пожара, димног пепела, бактерија или малих честица прашине</v>
      </c>
      <c r="BB145" s="7" t="str">
        <f>IFERROR(__xludf.DUMMYFUNCTION("GoogleTranslate(C145, ""en"", ""si"")"),"PM2.5 අංශු රුධිරයට ඇතුළු වීමට තරම් කුඩා වන අතර සාමාන්‍යයෙන් ලැව්ගිනි, දුම් අළු, බැක්ටීරියා හෝ කුඩා දූවිලි අංශු නිසා ඇතිවේ.")</f>
        <v>PM2.5 අංශු රුධිරයට ඇතුළු වීමට තරම් කුඩා වන අතර සාමාන්‍යයෙන් ලැව්ගිනි, දුම් අළු, බැක්ටීරියා හෝ කුඩා දූවිලි අංශු නිසා ඇතිවේ.</v>
      </c>
      <c r="BC145" s="7" t="str">
        <f>IFERROR(__xludf.DUMMYFUNCTION("GoogleTranslate(C145, ""en"", ""sk"")"),"Častice PM2,5 sú dostatočne malé na to, aby sa dostali do krvného obehu a zvyčajne sú výsledkom požiarov, dymového popola, baktérií alebo malých prachových častíc")</f>
        <v>Častice PM2,5 sú dostatočne malé na to, aby sa dostali do krvného obehu a zvyčajne sú výsledkom požiarov, dymového popola, baktérií alebo malých prachových častíc</v>
      </c>
      <c r="BD145" s="7" t="str">
        <f>IFERROR(__xludf.DUMMYFUNCTION("GoogleTranslate(C145, ""en"", ""sl"")"),"Delci PM2,5 so dovolj majhni, da vstopijo v krvni obtok in so običajno posledica požarov, dimnega pepela, bakterij ali majhnih prašnih delcev.")</f>
        <v>Delci PM2,5 so dovolj majhni, da vstopijo v krvni obtok in so običajno posledica požarov, dimnega pepela, bakterij ali majhnih prašnih delcev.</v>
      </c>
      <c r="BE145" s="7" t="str">
        <f>IFERROR(__xludf.DUMMYFUNCTION("GoogleTranslate(C145,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BF145" s="7" t="str">
        <f>IFERROR(__xludf.DUMMYFUNCTION("GoogleTranslate(C145, ""en"", ""sw"")"),"Chembechembe za PM2.5 ni ndogo za kutosha kuingia kwenye mkondo wa damu na kwa kawaida hutokana na moto wa nyika, majivu ya moshi, bakteria au chembe ndogo za vumbi.")</f>
        <v>Chembechembe za PM2.5 ni ndogo za kutosha kuingia kwenye mkondo wa damu na kwa kawaida hutokana na moto wa nyika, majivu ya moshi, bakteria au chembe ndogo za vumbi.</v>
      </c>
      <c r="BG145" s="7" t="str">
        <f>IFERROR(__xludf.DUMMYFUNCTION("GoogleTranslate(C145, ""en"", ""sv"")"),"PM2.5-partiklar är tillräckligt små för att komma in i blodomloppet och härrör vanligtvis från skogsbränder, rökaska, bakterier eller små dammpartiklar")</f>
        <v>PM2.5-partiklar är tillräckligt små för att komma in i blodomloppet och härrör vanligtvis från skogsbränder, rökaska, bakterier eller små dammpartiklar</v>
      </c>
      <c r="BH145" s="7" t="str">
        <f>IFERROR(__xludf.DUMMYFUNCTION("GoogleTranslate(C145, ""en"", ""te"")"),"PM2.5 కణాలు రక్తప్రవాహంలోకి ప్రవేశించేంత చిన్నవి మరియు సాధారణంగా అడవి మంటలు, పొగ బూడిద, బ్యాక్టీరియా లేదా చిన్న ధూళి కణాల ఫలితంగా ఉంటాయి.")</f>
        <v>PM2.5 కణాలు రక్తప్రవాహంలోకి ప్రవేశించేంత చిన్నవి మరియు సాధారణంగా అడవి మంటలు, పొగ బూడిద, బ్యాక్టీరియా లేదా చిన్న ధూళి కణాల ఫలితంగా ఉంటాయి.</v>
      </c>
      <c r="BI145" s="7" t="str">
        <f>IFERROR(__xludf.DUMMYFUNCTION("GoogleTranslate(C145, ""en"", ""th"")"),"อนุภาค PM2.5 มีขนาดเล็กพอที่จะเข้าสู่กระแสเลือดและมักเกิดจากไฟป่า ขี้เถ้าควัน แบคทีเรีย หรือฝุ่นละอองขนาดเล็ก")</f>
        <v>อนุภาค PM2.5 มีขนาดเล็กพอที่จะเข้าสู่กระแสเลือดและมักเกิดจากไฟป่า ขี้เถ้าควัน แบคทีเรีย หรือฝุ่นละอองขนาดเล็ก</v>
      </c>
      <c r="BJ145" s="7" t="str">
        <f>IFERROR(__xludf.DUMMYFUNCTION("GoogleTranslate(C145, ""en"", ""tr"")"),"PM2.5 parçacıkları kan dolaşımına girebilecek kadar küçüktür ve genellikle orman yangınlarından, duman küllerinden, bakterilerden veya küçük toz parçacıklarından kaynaklanır.")</f>
        <v>PM2.5 parçacıkları kan dolaşımına girebilecek kadar küçüktür ve genellikle orman yangınlarından, duman küllerinden, bakterilerden veya küçük toz parçacıklarından kaynaklanır.</v>
      </c>
      <c r="BK145" s="7" t="str">
        <f>IFERROR(__xludf.DUMMYFUNCTION("GoogleTranslate(C145, ""en"", ""uk"")"),"Частинки PM2,5 досить малі, щоб потрапити в кров, і зазвичай утворюються в результаті лісових пожеж, попелу диму, бактерій або дрібних частинок пилу.")</f>
        <v>Частинки PM2,5 досить малі, щоб потрапити в кров, і зазвичай утворюються в результаті лісових пожеж, попелу диму, бактерій або дрібних частинок пилу.</v>
      </c>
      <c r="BL145" s="7" t="str">
        <f>IFERROR(__xludf.DUMMYFUNCTION("GoogleTranslate(C145, ""en"", ""zu"")"),"Izinhlayiya ze-PM2.5 zincane ngokwanele ukuthi zingangena egazini futhi ngokuvamile zibangelwa imililo yequbula, umlotha wentuthu, amagciwane noma izinhlayiya zothuli.")</f>
        <v>Izinhlayiya ze-PM2.5 zincane ngokwanele ukuthi zingangena egazini futhi ngokuvamile zibangelwa imililo yequbula, umlotha wentuthu, amagciwane noma izinhlayiya zothuli.</v>
      </c>
    </row>
    <row r="146">
      <c r="A146" s="5" t="str">
        <f t="shared" si="1"/>
        <v>Ari_station_list</v>
      </c>
      <c r="B146" s="6" t="s">
        <v>202</v>
      </c>
      <c r="C146" s="5" t="str">
        <f t="shared" si="2"/>
        <v>Ari station list</v>
      </c>
      <c r="D146" s="7" t="str">
        <f>IFERROR(__xludf.DUMMYFUNCTION("GoogleTranslate(C146, ""en"", ""es"")"),"Lista de estaciones de Ari")</f>
        <v>Lista de estaciones de Ari</v>
      </c>
      <c r="E146" s="7" t="str">
        <f>IFERROR(__xludf.DUMMYFUNCTION("GoogleTranslate(C146, ""en"", ""ar"")"),"قائمة محطات آري")</f>
        <v>قائمة محطات آري</v>
      </c>
      <c r="F146" s="7" t="str">
        <f>IFERROR(__xludf.DUMMYFUNCTION("GoogleTranslate(C146, ""en"", ""hy"")"),"Արի կայանի ցուցակ")</f>
        <v>Արի կայանի ցուցակ</v>
      </c>
      <c r="G146" s="7" t="str">
        <f>IFERROR(__xludf.DUMMYFUNCTION("GoogleTranslate(C146, ""en"", ""vi"")"),"Danh sách trạm Ari")</f>
        <v>Danh sách trạm Ari</v>
      </c>
      <c r="H146" s="7" t="str">
        <f>IFERROR(__xludf.DUMMYFUNCTION("GoogleTranslate(C146, ""en"", ""az"")"),"Ari stansiyasının siyahısı")</f>
        <v>Ari stansiyasının siyahısı</v>
      </c>
      <c r="I146" s="7" t="str">
        <f>IFERROR(__xludf.DUMMYFUNCTION("GoogleTranslate(C146, ""en"", ""eu"")"),"Ari geltokien zerrenda")</f>
        <v>Ari geltokien zerrenda</v>
      </c>
      <c r="J146" s="7" t="str">
        <f>IFERROR(__xludf.DUMMYFUNCTION("GoogleTranslate(C146, ""en"", ""be"")"),"Спіс станцый Ari")</f>
        <v>Спіс станцый Ari</v>
      </c>
      <c r="K146" s="7" t="str">
        <f>IFERROR(__xludf.DUMMYFUNCTION("GoogleTranslate(C146, ""en"", ""bn"")"),"আরি স্টেশন তালিকা")</f>
        <v>আরি স্টেশন তালিকা</v>
      </c>
      <c r="L146" s="7" t="str">
        <f>IFERROR(__xludf.DUMMYFUNCTION("GoogleTranslate(C146, ""en"", ""bg"")"),"Списък на станции на Ари")</f>
        <v>Списък на станции на Ари</v>
      </c>
      <c r="M146" s="7" t="str">
        <f>IFERROR(__xludf.DUMMYFUNCTION("GoogleTranslate(C146, ""en"", ""my"")"),"Ari ဘူတာစာရင်း")</f>
        <v>Ari ဘူတာစာရင်း</v>
      </c>
      <c r="N146" s="7" t="str">
        <f>IFERROR(__xludf.DUMMYFUNCTION("GoogleTranslate(C146, ""en"", ""ca"")"),"Llista d'estacions d'Ari")</f>
        <v>Llista d'estacions d'Ari</v>
      </c>
      <c r="O146" s="7" t="str">
        <f>IFERROR(__xludf.DUMMYFUNCTION("GoogleTranslate(C146, ""en"", ""zh-cn"")"),"阿里站列表")</f>
        <v>阿里站列表</v>
      </c>
      <c r="P146" s="7" t="str">
        <f>IFERROR(__xludf.DUMMYFUNCTION("GoogleTranslate(C146, ""en"", ""zh-TW"")"),"阿里站列表")</f>
        <v>阿里站列表</v>
      </c>
      <c r="Q146" s="7" t="str">
        <f>IFERROR(__xludf.DUMMYFUNCTION("GoogleTranslate(C146, ""en"", ""hr"")"),"Ari popis postaja")</f>
        <v>Ari popis postaja</v>
      </c>
      <c r="R146" s="7" t="str">
        <f>IFERROR(__xludf.DUMMYFUNCTION("GoogleTranslate(C146, ""en"", ""cs"")"),"Seznam stanic Ari")</f>
        <v>Seznam stanic Ari</v>
      </c>
      <c r="S146" s="7" t="str">
        <f>IFERROR(__xludf.DUMMYFUNCTION("GoogleTranslate(C146, ""en"", ""da"")"),"Ari stationsliste")</f>
        <v>Ari stationsliste</v>
      </c>
      <c r="T146" s="7" t="str">
        <f>IFERROR(__xludf.DUMMYFUNCTION("GoogleTranslate(C146, ""en"", ""nl"")"),"Ari-stationslijst")</f>
        <v>Ari-stationslijst</v>
      </c>
      <c r="U146" s="7" t="str">
        <f>IFERROR(__xludf.DUMMYFUNCTION("GoogleTranslate(C146, ""en"", ""et"")"),"Ari jaamade nimekiri")</f>
        <v>Ari jaamade nimekiri</v>
      </c>
      <c r="V146" s="5" t="str">
        <f t="shared" si="3"/>
        <v>Ari station list</v>
      </c>
      <c r="W146" s="7" t="str">
        <f>IFERROR(__xludf.DUMMYFUNCTION("GoogleTranslate(C146, ""en"", ""fi"")"),"Arin asemaluettelo")</f>
        <v>Arin asemaluettelo</v>
      </c>
      <c r="X146" s="7" t="str">
        <f>IFERROR(__xludf.DUMMYFUNCTION("GoogleTranslate(C146, ""en"", ""fr"")"),"Liste des stations Ari")</f>
        <v>Liste des stations Ari</v>
      </c>
      <c r="Y146" s="7" t="str">
        <f>IFERROR(__xludf.DUMMYFUNCTION("GoogleTranslate(C146, ""en"", ""de"")"),"Ari-Stationsliste")</f>
        <v>Ari-Stationsliste</v>
      </c>
      <c r="Z146" s="7" t="str">
        <f>IFERROR(__xludf.DUMMYFUNCTION("GoogleTranslate(C146, ""en"", ""el"")"),"Λίστα σταθμών Ari")</f>
        <v>Λίστα σταθμών Ari</v>
      </c>
      <c r="AA146" s="7" t="str">
        <f>IFERROR(__xludf.DUMMYFUNCTION("GoogleTranslate(C146, ""en"", ""iw"")"),"רשימת תחנות ארי")</f>
        <v>רשימת תחנות ארי</v>
      </c>
      <c r="AB146" s="7" t="str">
        <f>IFERROR(__xludf.DUMMYFUNCTION("GoogleTranslate(C146, ""en"", ""hi"")"),"अरी स्टेशन सूची")</f>
        <v>अरी स्टेशन सूची</v>
      </c>
      <c r="AC146" s="7" t="str">
        <f>IFERROR(__xludf.DUMMYFUNCTION("GoogleTranslate(C146, ""en"", ""hu"")"),"Ari állomások listája")</f>
        <v>Ari állomások listája</v>
      </c>
      <c r="AD146" s="7" t="str">
        <f>IFERROR(__xludf.DUMMYFUNCTION("GoogleTranslate(C146, ""en"", ""is"")"),"Ari stöðvarlisti")</f>
        <v>Ari stöðvarlisti</v>
      </c>
      <c r="AE146" s="7" t="str">
        <f>IFERROR(__xludf.DUMMYFUNCTION("GoogleTranslate(C146, ""en"", ""id"")"),"Daftar stasiun Ari")</f>
        <v>Daftar stasiun Ari</v>
      </c>
      <c r="AF146" s="7" t="str">
        <f>IFERROR(__xludf.DUMMYFUNCTION("GoogleTranslate(C146, ""en"", ""in"")"),"Daftar stasiun Ari")</f>
        <v>Daftar stasiun Ari</v>
      </c>
      <c r="AG146" s="7" t="str">
        <f>IFERROR(__xludf.DUMMYFUNCTION("GoogleTranslate(C146, ""en"", ""it"")"),"Elenco delle stazioni Ari")</f>
        <v>Elenco delle stazioni Ari</v>
      </c>
      <c r="AH146" s="7" t="str">
        <f>IFERROR(__xludf.DUMMYFUNCTION("GoogleTranslate(C146, ""en"", ""ja"")"),"有駅一覧")</f>
        <v>有駅一覧</v>
      </c>
      <c r="AI146" s="7" t="str">
        <f>IFERROR(__xludf.DUMMYFUNCTION("GoogleTranslate(C146, ""en"", ""kn"")"),"ಆರಿ ನಿಲ್ದಾಣದ ಪಟ್ಟಿ")</f>
        <v>ಆರಿ ನಿಲ್ದಾಣದ ಪಟ್ಟಿ</v>
      </c>
      <c r="AJ146" s="7" t="str">
        <f>IFERROR(__xludf.DUMMYFUNCTION("GoogleTranslate(C146, ""en"", ""km"")"),"បញ្ជីស្ថានីយ៍អារី")</f>
        <v>បញ្ជីស្ថានីយ៍អារី</v>
      </c>
      <c r="AK146" s="7" t="str">
        <f>IFERROR(__xludf.DUMMYFUNCTION("GoogleTranslate(C146, ""en"", ""ko"")"),"아리 역 목록")</f>
        <v>아리 역 목록</v>
      </c>
      <c r="AL146" s="7" t="str">
        <f>IFERROR(__xludf.DUMMYFUNCTION("GoogleTranslate(C146, ""en"", ""lo"")"),"ບັນຊີລາຍຊື່ສະຖານີ Ari")</f>
        <v>ບັນຊີລາຍຊື່ສະຖານີ Ari</v>
      </c>
      <c r="AM146" s="7" t="str">
        <f>IFERROR(__xludf.DUMMYFUNCTION("GoogleTranslate(C146, ""en"", ""lv"")"),"Ari staciju saraksts")</f>
        <v>Ari staciju saraksts</v>
      </c>
      <c r="AN146" s="7" t="str">
        <f>IFERROR(__xludf.DUMMYFUNCTION("GoogleTranslate(C146, ""en"", ""lt"")"),"Ari stočių sąrašas")</f>
        <v>Ari stočių sąrašas</v>
      </c>
      <c r="AO146" s="7" t="str">
        <f>IFERROR(__xludf.DUMMYFUNCTION("GoogleTranslate(C146, ""en"", ""mk"")"),"Список на станици Ари")</f>
        <v>Список на станици Ари</v>
      </c>
      <c r="AP146" s="7" t="str">
        <f>IFERROR(__xludf.DUMMYFUNCTION("GoogleTranslate(C146, ""en"", ""ms"")"),"senarai stesen ari")</f>
        <v>senarai stesen ari</v>
      </c>
      <c r="AQ146" s="7" t="str">
        <f>IFERROR(__xludf.DUMMYFUNCTION("GoogleTranslate(C146, ""en"", ""ml"")"),"അരി സ്റ്റേഷൻ ലിസ്റ്റ്")</f>
        <v>അരി സ്റ്റേഷൻ ലിസ്റ്റ്</v>
      </c>
      <c r="AR146" s="7" t="str">
        <f>IFERROR(__xludf.DUMMYFUNCTION("GoogleTranslate(C146, ""en"", ""mr"")"),"Ari स्टेशन यादी")</f>
        <v>Ari स्टेशन यादी</v>
      </c>
      <c r="AS146" s="7" t="str">
        <f>IFERROR(__xludf.DUMMYFUNCTION("GoogleTranslate(C146, ""en"", ""mn"")"),"Ари станцын жагсаалт")</f>
        <v>Ари станцын жагсаалт</v>
      </c>
      <c r="AT146" s="7" t="str">
        <f>IFERROR(__xludf.DUMMYFUNCTION("GoogleTranslate(C146, ""en"", ""ne"")"),"एरि स्टेशन सूची")</f>
        <v>एरि स्टेशन सूची</v>
      </c>
      <c r="AU146" s="7" t="str">
        <f>IFERROR(__xludf.DUMMYFUNCTION("GoogleTranslate(C146, ""en"", ""nb"")"),"Ari stasjonsliste")</f>
        <v>Ari stasjonsliste</v>
      </c>
      <c r="AV146" s="7" t="str">
        <f>IFERROR(__xludf.DUMMYFUNCTION("GoogleTranslate(C146, ""en"", ""fa"")"),"لیست ایستگاه های آری")</f>
        <v>لیست ایستگاه های آری</v>
      </c>
      <c r="AW146" s="7" t="str">
        <f>IFERROR(__xludf.DUMMYFUNCTION("GoogleTranslate(C146, ""en"", ""pl"")"),"Lista stacji Ari")</f>
        <v>Lista stacji Ari</v>
      </c>
      <c r="AX146" s="7" t="str">
        <f>IFERROR(__xludf.DUMMYFUNCTION("GoogleTranslate(C146, ""en"", ""pt"")"),"Lista de estações Ari")</f>
        <v>Lista de estações Ari</v>
      </c>
      <c r="AY146" s="7" t="str">
        <f>IFERROR(__xludf.DUMMYFUNCTION("GoogleTranslate(C146, ""en"", ""ro"")"),"Lista stațiilor Ari")</f>
        <v>Lista stațiilor Ari</v>
      </c>
      <c r="AZ146" s="7" t="str">
        <f>IFERROR(__xludf.DUMMYFUNCTION("GoogleTranslate(C146, ""en"", ""ru"")"),"Список станций Ари")</f>
        <v>Список станций Ари</v>
      </c>
      <c r="BA146" s="7" t="str">
        <f>IFERROR(__xludf.DUMMYFUNCTION("GoogleTranslate(C146, ""en"", ""sr"")"),"Листа станица Ари")</f>
        <v>Листа станица Ари</v>
      </c>
      <c r="BB146" s="7" t="str">
        <f>IFERROR(__xludf.DUMMYFUNCTION("GoogleTranslate(C146, ""en"", ""si"")"),"Ari ස්ථාන ලැයිස්තුව")</f>
        <v>Ari ස්ථාන ලැයිස්තුව</v>
      </c>
      <c r="BC146" s="7" t="str">
        <f>IFERROR(__xludf.DUMMYFUNCTION("GoogleTranslate(C146, ""en"", ""sk"")"),"Zoznam staníc Ari")</f>
        <v>Zoznam staníc Ari</v>
      </c>
      <c r="BD146" s="7" t="str">
        <f>IFERROR(__xludf.DUMMYFUNCTION("GoogleTranslate(C146, ""en"", ""sl"")"),"Seznam postaj Ari")</f>
        <v>Seznam postaj Ari</v>
      </c>
      <c r="BE146" s="7" t="str">
        <f>IFERROR(__xludf.DUMMYFUNCTION("GoogleTranslate(C146, ""en"", ""es"")"),"Lista de estaciones de Ari")</f>
        <v>Lista de estaciones de Ari</v>
      </c>
      <c r="BF146" s="7" t="str">
        <f>IFERROR(__xludf.DUMMYFUNCTION("GoogleTranslate(C146, ""en"", ""sw"")"),"Orodha ya kituo cha Ari")</f>
        <v>Orodha ya kituo cha Ari</v>
      </c>
      <c r="BG146" s="7" t="str">
        <f>IFERROR(__xludf.DUMMYFUNCTION("GoogleTranslate(C146, ""en"", ""sv"")"),"Ari stationslista")</f>
        <v>Ari stationslista</v>
      </c>
      <c r="BH146" s="7" t="str">
        <f>IFERROR(__xludf.DUMMYFUNCTION("GoogleTranslate(C146, ""en"", ""te"")"),"అరి స్టేషన్ జాబితా")</f>
        <v>అరి స్టేషన్ జాబితా</v>
      </c>
      <c r="BI146" s="7" t="str">
        <f>IFERROR(__xludf.DUMMYFUNCTION("GoogleTranslate(C146, ""en"", ""th"")"),"รายชื่อสถานีอารีย์")</f>
        <v>รายชื่อสถานีอารีย์</v>
      </c>
      <c r="BJ146" s="7" t="str">
        <f>IFERROR(__xludf.DUMMYFUNCTION("GoogleTranslate(C146, ""en"", ""tr"")"),"Ari istasyon listesi")</f>
        <v>Ari istasyon listesi</v>
      </c>
      <c r="BK146" s="7" t="str">
        <f>IFERROR(__xludf.DUMMYFUNCTION("GoogleTranslate(C146, ""en"", ""uk"")"),"Список станцій Ari")</f>
        <v>Список станцій Ari</v>
      </c>
      <c r="BL146" s="7" t="str">
        <f>IFERROR(__xludf.DUMMYFUNCTION("GoogleTranslate(C146, ""en"", ""zu"")"),"Uhlu lwesiteshi sase-Ari")</f>
        <v>Uhlu lwesiteshi sase-Ari</v>
      </c>
    </row>
    <row r="147">
      <c r="A147" s="5" t="str">
        <f t="shared" si="1"/>
        <v>Moon_phase_infor</v>
      </c>
      <c r="B147" s="6" t="s">
        <v>203</v>
      </c>
      <c r="C147" s="5" t="str">
        <f t="shared" si="2"/>
        <v>Moon phase infor</v>
      </c>
      <c r="D147" s="7" t="str">
        <f>IFERROR(__xludf.DUMMYFUNCTION("GoogleTranslate(C147, ""en"", ""es"")"),"Información de fase lunar")</f>
        <v>Información de fase lunar</v>
      </c>
      <c r="E147" s="7" t="str">
        <f>IFERROR(__xludf.DUMMYFUNCTION("GoogleTranslate(C147, ""en"", ""ar"")"),"معلومات مرحلة القمر")</f>
        <v>معلومات مرحلة القمر</v>
      </c>
      <c r="F147" s="7" t="str">
        <f>IFERROR(__xludf.DUMMYFUNCTION("GoogleTranslate(C147, ""en"", ""hy"")"),"Լուսնի փուլի տեղեկատվություն")</f>
        <v>Լուսնի փուլի տեղեկատվություն</v>
      </c>
      <c r="G147" s="7" t="str">
        <f>IFERROR(__xludf.DUMMYFUNCTION("GoogleTranslate(C147, ""en"", ""vi"")"),"Thông tin về tuần trăng")</f>
        <v>Thông tin về tuần trăng</v>
      </c>
      <c r="H147" s="7" t="str">
        <f>IFERROR(__xludf.DUMMYFUNCTION("GoogleTranslate(C147, ""en"", ""az"")"),"Ayın fazası haqqında məlumat")</f>
        <v>Ayın fazası haqqında məlumat</v>
      </c>
      <c r="I147" s="7" t="str">
        <f>IFERROR(__xludf.DUMMYFUNCTION("GoogleTranslate(C147, ""en"", ""eu"")"),"Ilargi fasearen informazioa")</f>
        <v>Ilargi fasearen informazioa</v>
      </c>
      <c r="J147" s="7" t="str">
        <f>IFERROR(__xludf.DUMMYFUNCTION("GoogleTranslate(C147, ""en"", ""be"")"),"Інфармацыя аб фазах месяца")</f>
        <v>Інфармацыя аб фазах месяца</v>
      </c>
      <c r="K147" s="7" t="str">
        <f>IFERROR(__xludf.DUMMYFUNCTION("GoogleTranslate(C147, ""en"", ""bn"")"),"চাঁদের পর্বের তথ্য")</f>
        <v>চাঁদের পর্বের তথ্য</v>
      </c>
      <c r="L147" s="7" t="str">
        <f>IFERROR(__xludf.DUMMYFUNCTION("GoogleTranslate(C147, ""en"", ""bg"")"),"Информация за фазата на луната")</f>
        <v>Информация за фазата на луната</v>
      </c>
      <c r="M147" s="7" t="str">
        <f>IFERROR(__xludf.DUMMYFUNCTION("GoogleTranslate(C147, ""en"", ""my"")"),"လအဆင့် အချက်အလက်များ")</f>
        <v>လအဆင့် အချက်အလက်များ</v>
      </c>
      <c r="N147" s="7" t="str">
        <f>IFERROR(__xludf.DUMMYFUNCTION("GoogleTranslate(C147, ""en"", ""ca"")"),"Fase lunar info")</f>
        <v>Fase lunar info</v>
      </c>
      <c r="O147" s="7" t="str">
        <f>IFERROR(__xludf.DUMMYFUNCTION("GoogleTranslate(C147, ""en"", ""zh-cn"")"),"月相信息")</f>
        <v>月相信息</v>
      </c>
      <c r="P147" s="7" t="str">
        <f>IFERROR(__xludf.DUMMYFUNCTION("GoogleTranslate(C147, ""en"", ""zh-TW"")"),"月相資訊")</f>
        <v>月相資訊</v>
      </c>
      <c r="Q147" s="7" t="str">
        <f>IFERROR(__xludf.DUMMYFUNCTION("GoogleTranslate(C147, ""en"", ""hr"")"),"Mjesečeve mijene inform")</f>
        <v>Mjesečeve mijene inform</v>
      </c>
      <c r="R147" s="7" t="str">
        <f>IFERROR(__xludf.DUMMYFUNCTION("GoogleTranslate(C147, ""en"", ""cs"")"),"Informace o fázi měsíce")</f>
        <v>Informace o fázi měsíce</v>
      </c>
      <c r="S147" s="7" t="str">
        <f>IFERROR(__xludf.DUMMYFUNCTION("GoogleTranslate(C147, ""en"", ""da"")"),"Månefase infor")</f>
        <v>Månefase infor</v>
      </c>
      <c r="T147" s="7" t="str">
        <f>IFERROR(__xludf.DUMMYFUNCTION("GoogleTranslate(C147, ""en"", ""nl"")"),"Maanfase-informatie")</f>
        <v>Maanfase-informatie</v>
      </c>
      <c r="U147" s="7" t="str">
        <f>IFERROR(__xludf.DUMMYFUNCTION("GoogleTranslate(C147, ""en"", ""et"")"),"Kuu faasi info")</f>
        <v>Kuu faasi info</v>
      </c>
      <c r="V147" s="5" t="str">
        <f t="shared" si="3"/>
        <v>Moon phase infor</v>
      </c>
      <c r="W147" s="7" t="str">
        <f>IFERROR(__xludf.DUMMYFUNCTION("GoogleTranslate(C147, ""en"", ""fi"")"),"Kuun vaihetiedot")</f>
        <v>Kuun vaihetiedot</v>
      </c>
      <c r="X147" s="7" t="str">
        <f>IFERROR(__xludf.DUMMYFUNCTION("GoogleTranslate(C147, ""en"", ""fr"")"),"Informations sur les phases de la lune")</f>
        <v>Informations sur les phases de la lune</v>
      </c>
      <c r="Y147" s="7" t="str">
        <f>IFERROR(__xludf.DUMMYFUNCTION("GoogleTranslate(C147, ""en"", ""de"")"),"Informationen zur Mondphase")</f>
        <v>Informationen zur Mondphase</v>
      </c>
      <c r="Z147" s="7" t="str">
        <f>IFERROR(__xludf.DUMMYFUNCTION("GoogleTranslate(C147, ""en"", ""el"")"),"Πληροφορίες για τη φάση της Σελήνης")</f>
        <v>Πληροφορίες για τη φάση της Σελήνης</v>
      </c>
      <c r="AA147" s="7" t="str">
        <f>IFERROR(__xludf.DUMMYFUNCTION("GoogleTranslate(C147, ""en"", ""iw"")"),"מידע על שלב הירח")</f>
        <v>מידע על שלב הירח</v>
      </c>
      <c r="AB147" s="7" t="str">
        <f>IFERROR(__xludf.DUMMYFUNCTION("GoogleTranslate(C147, ""en"", ""hi"")"),"चंद्रमा चरण की जानकारी")</f>
        <v>चंद्रमा चरण की जानकारी</v>
      </c>
      <c r="AC147" s="7" t="str">
        <f>IFERROR(__xludf.DUMMYFUNCTION("GoogleTranslate(C147, ""en"", ""hu"")"),"Holdfázis információ")</f>
        <v>Holdfázis információ</v>
      </c>
      <c r="AD147" s="7" t="str">
        <f>IFERROR(__xludf.DUMMYFUNCTION("GoogleTranslate(C147, ""en"", ""is"")"),"Tunglfasa uppl")</f>
        <v>Tunglfasa uppl</v>
      </c>
      <c r="AE147" s="7" t="str">
        <f>IFERROR(__xludf.DUMMYFUNCTION("GoogleTranslate(C147, ""en"", ""id"")"),"Informasi fase bulan")</f>
        <v>Informasi fase bulan</v>
      </c>
      <c r="AF147" s="7" t="str">
        <f>IFERROR(__xludf.DUMMYFUNCTION("GoogleTranslate(C147, ""en"", ""in"")"),"Informasi fase bulan")</f>
        <v>Informasi fase bulan</v>
      </c>
      <c r="AG147" s="7" t="str">
        <f>IFERROR(__xludf.DUMMYFUNCTION("GoogleTranslate(C147, ""en"", ""it"")"),"Informazioni sulla fase lunare")</f>
        <v>Informazioni sulla fase lunare</v>
      </c>
      <c r="AH147" s="7" t="str">
        <f>IFERROR(__xludf.DUMMYFUNCTION("GoogleTranslate(C147, ""en"", ""ja"")"),"ムーンフェイズ情報")</f>
        <v>ムーンフェイズ情報</v>
      </c>
      <c r="AI147" s="7" t="str">
        <f>IFERROR(__xludf.DUMMYFUNCTION("GoogleTranslate(C147, ""en"", ""kn"")"),"ಚಂದ್ರನ ಹಂತ ಮಾಹಿತಿ")</f>
        <v>ಚಂದ್ರನ ಹಂತ ಮಾಹಿತಿ</v>
      </c>
      <c r="AJ147" s="7" t="str">
        <f>IFERROR(__xludf.DUMMYFUNCTION("GoogleTranslate(C147, ""en"", ""km"")"),"ព័ត៌មានអំពីដំណាក់កាលព្រះច័ន្ទ")</f>
        <v>ព័ត៌មានអំពីដំណាក់កាលព្រះច័ន្ទ</v>
      </c>
      <c r="AK147" s="7" t="str">
        <f>IFERROR(__xludf.DUMMYFUNCTION("GoogleTranslate(C147, ""en"", ""ko"")"),"달의 위상 정보")</f>
        <v>달의 위상 정보</v>
      </c>
      <c r="AL147" s="7" t="str">
        <f>IFERROR(__xludf.DUMMYFUNCTION("GoogleTranslate(C147, ""en"", ""lo"")"),"ຂໍ້​ມູນ​ໄລ​ຍະ​ເດືອນ​")</f>
        <v>ຂໍ້​ມູນ​ໄລ​ຍະ​ເດືອນ​</v>
      </c>
      <c r="AM147" s="7" t="str">
        <f>IFERROR(__xludf.DUMMYFUNCTION("GoogleTranslate(C147, ""en"", ""lv"")"),"Mēness fāzes informācija")</f>
        <v>Mēness fāzes informācija</v>
      </c>
      <c r="AN147" s="7" t="str">
        <f>IFERROR(__xludf.DUMMYFUNCTION("GoogleTranslate(C147, ""en"", ""lt"")"),"Mėnulio fazės informacija")</f>
        <v>Mėnulio fazės informacija</v>
      </c>
      <c r="AO147" s="7" t="str">
        <f>IFERROR(__xludf.DUMMYFUNCTION("GoogleTranslate(C147, ""en"", ""mk"")"),"Информации за фазата на месечината")</f>
        <v>Информации за фазата на месечината</v>
      </c>
      <c r="AP147" s="7" t="str">
        <f>IFERROR(__xludf.DUMMYFUNCTION("GoogleTranslate(C147, ""en"", ""ms"")"),"Maklumat fasa bulan")</f>
        <v>Maklumat fasa bulan</v>
      </c>
      <c r="AQ147" s="7" t="str">
        <f>IFERROR(__xludf.DUMMYFUNCTION("GoogleTranslate(C147, ""en"", ""ml"")"),"ചന്ദ്രൻ്റെ ഘട്ടം")</f>
        <v>ചന്ദ്രൻ്റെ ഘട്ടം</v>
      </c>
      <c r="AR147" s="7" t="str">
        <f>IFERROR(__xludf.DUMMYFUNCTION("GoogleTranslate(C147, ""en"", ""mr"")"),"चंद्र चरण माहिती")</f>
        <v>चंद्र चरण माहिती</v>
      </c>
      <c r="AS147" s="7" t="str">
        <f>IFERROR(__xludf.DUMMYFUNCTION("GoogleTranslate(C147, ""en"", ""mn"")"),"Сарны фазын мэдээлэл")</f>
        <v>Сарны фазын мэдээлэл</v>
      </c>
      <c r="AT147" s="7" t="str">
        <f>IFERROR(__xludf.DUMMYFUNCTION("GoogleTranslate(C147, ""en"", ""ne"")"),"चन्द्र चरण जानकारी")</f>
        <v>चन्द्र चरण जानकारी</v>
      </c>
      <c r="AU147" s="7" t="str">
        <f>IFERROR(__xludf.DUMMYFUNCTION("GoogleTranslate(C147, ""en"", ""nb"")"),"Månefase info")</f>
        <v>Månefase info</v>
      </c>
      <c r="AV147" s="7" t="str">
        <f>IFERROR(__xludf.DUMMYFUNCTION("GoogleTranslate(C147, ""en"", ""fa"")"),"اطلاعات فاز ماه")</f>
        <v>اطلاعات فاز ماه</v>
      </c>
      <c r="AW147" s="7" t="str">
        <f>IFERROR(__xludf.DUMMYFUNCTION("GoogleTranslate(C147, ""en"", ""pl"")"),"Informacje o fazie księżyca")</f>
        <v>Informacje o fazie księżyca</v>
      </c>
      <c r="AX147" s="7" t="str">
        <f>IFERROR(__xludf.DUMMYFUNCTION("GoogleTranslate(C147, ""en"", ""pt"")"),"Informações sobre a fase da lua")</f>
        <v>Informações sobre a fase da lua</v>
      </c>
      <c r="AY147" s="7" t="str">
        <f>IFERROR(__xludf.DUMMYFUNCTION("GoogleTranslate(C147, ""en"", ""ro"")"),"Faza lunii infor")</f>
        <v>Faza lunii infor</v>
      </c>
      <c r="AZ147" s="7" t="str">
        <f>IFERROR(__xludf.DUMMYFUNCTION("GoogleTranslate(C147, ""en"", ""ru"")"),"Информация о фазе луны")</f>
        <v>Информация о фазе луны</v>
      </c>
      <c r="BA147" s="7" t="str">
        <f>IFERROR(__xludf.DUMMYFUNCTION("GoogleTranslate(C147, ""en"", ""sr"")"),"Информације о фази месеца")</f>
        <v>Информације о фази месеца</v>
      </c>
      <c r="BB147" s="7" t="str">
        <f>IFERROR(__xludf.DUMMYFUNCTION("GoogleTranslate(C147, ""en"", ""si"")"),"සඳ අදියර තොරතුරු")</f>
        <v>සඳ අදියර තොරතුරු</v>
      </c>
      <c r="BC147" s="7" t="str">
        <f>IFERROR(__xludf.DUMMYFUNCTION("GoogleTranslate(C147, ""en"", ""sk"")"),"Informácia o fáze Mesiaca")</f>
        <v>Informácia o fáze Mesiaca</v>
      </c>
      <c r="BD147" s="7" t="str">
        <f>IFERROR(__xludf.DUMMYFUNCTION("GoogleTranslate(C147, ""en"", ""sl"")"),"Informacije o lunini fazi")</f>
        <v>Informacije o lunini fazi</v>
      </c>
      <c r="BE147" s="7" t="str">
        <f>IFERROR(__xludf.DUMMYFUNCTION("GoogleTranslate(C147, ""en"", ""es"")"),"Información de fase lunar")</f>
        <v>Información de fase lunar</v>
      </c>
      <c r="BF147" s="7" t="str">
        <f>IFERROR(__xludf.DUMMYFUNCTION("GoogleTranslate(C147, ""en"", ""sw"")"),"Maelezo ya awamu ya mwezi")</f>
        <v>Maelezo ya awamu ya mwezi</v>
      </c>
      <c r="BG147" s="7" t="str">
        <f>IFERROR(__xludf.DUMMYFUNCTION("GoogleTranslate(C147, ""en"", ""sv"")"),"Månfasinformation")</f>
        <v>Månfasinformation</v>
      </c>
      <c r="BH147" s="7" t="str">
        <f>IFERROR(__xludf.DUMMYFUNCTION("GoogleTranslate(C147, ""en"", ""te"")"),"చంద్ర దశ సమాచారం")</f>
        <v>చంద్ర దశ సమాచారం</v>
      </c>
      <c r="BI147" s="7" t="str">
        <f>IFERROR(__xludf.DUMMYFUNCTION("GoogleTranslate(C147, ""en"", ""th"")"),"ข้อมูลข้างขึ้นข้างแรม")</f>
        <v>ข้อมูลข้างขึ้นข้างแรม</v>
      </c>
      <c r="BJ147" s="7" t="str">
        <f>IFERROR(__xludf.DUMMYFUNCTION("GoogleTranslate(C147, ""en"", ""tr"")"),"Ay evresi bilgisi")</f>
        <v>Ay evresi bilgisi</v>
      </c>
      <c r="BK147" s="7" t="str">
        <f>IFERROR(__xludf.DUMMYFUNCTION("GoogleTranslate(C147, ""en"", ""uk"")"),"Інформація про фазу місяця")</f>
        <v>Інформація про фазу місяця</v>
      </c>
      <c r="BL147" s="7" t="str">
        <f>IFERROR(__xludf.DUMMYFUNCTION("GoogleTranslate(C147, ""en"", ""zu"")"),"Ulwazi lwesigaba senyanga")</f>
        <v>Ulwazi lwesigaba senyanga</v>
      </c>
    </row>
    <row r="148">
      <c r="A148" s="5" t="str">
        <f t="shared" si="1"/>
        <v>Illumination</v>
      </c>
      <c r="B148" s="6" t="s">
        <v>204</v>
      </c>
      <c r="C148" s="5" t="str">
        <f t="shared" si="2"/>
        <v>Illumination</v>
      </c>
      <c r="D148" s="7" t="str">
        <f>IFERROR(__xludf.DUMMYFUNCTION("GoogleTranslate(C148, ""en"", ""es"")"),"Iluminación")</f>
        <v>Iluminación</v>
      </c>
      <c r="E148" s="7" t="str">
        <f>IFERROR(__xludf.DUMMYFUNCTION("GoogleTranslate(C148, ""en"", ""ar"")"),"إضاءة")</f>
        <v>إضاءة</v>
      </c>
      <c r="F148" s="7" t="str">
        <f>IFERROR(__xludf.DUMMYFUNCTION("GoogleTranslate(C148, ""en"", ""hy"")"),"Լուսավորություն")</f>
        <v>Լուսավորություն</v>
      </c>
      <c r="G148" s="7" t="str">
        <f>IFERROR(__xludf.DUMMYFUNCTION("GoogleTranslate(C148, ""en"", ""vi"")"),"Chiếu sáng")</f>
        <v>Chiếu sáng</v>
      </c>
      <c r="H148" s="7" t="str">
        <f>IFERROR(__xludf.DUMMYFUNCTION("GoogleTranslate(C148, ""en"", ""az"")"),"İşıqlandırma")</f>
        <v>İşıqlandırma</v>
      </c>
      <c r="I148" s="7" t="str">
        <f>IFERROR(__xludf.DUMMYFUNCTION("GoogleTranslate(C148, ""en"", ""eu"")"),"Argiztapena")</f>
        <v>Argiztapena</v>
      </c>
      <c r="J148" s="7" t="str">
        <f>IFERROR(__xludf.DUMMYFUNCTION("GoogleTranslate(C148, ""en"", ""be"")"),"Ілюмінацыя")</f>
        <v>Ілюмінацыя</v>
      </c>
      <c r="K148" s="7" t="str">
        <f>IFERROR(__xludf.DUMMYFUNCTION("GoogleTranslate(C148, ""en"", ""bn"")"),"আলোকসজ্জা")</f>
        <v>আলোকসজ্জা</v>
      </c>
      <c r="L148" s="7" t="str">
        <f>IFERROR(__xludf.DUMMYFUNCTION("GoogleTranslate(C148, ""en"", ""bg"")"),"Осветеност")</f>
        <v>Осветеност</v>
      </c>
      <c r="M148" s="7" t="str">
        <f>IFERROR(__xludf.DUMMYFUNCTION("GoogleTranslate(C148, ""en"", ""my"")"),"ကြိး")</f>
        <v>ကြိး</v>
      </c>
      <c r="N148" s="7" t="str">
        <f>IFERROR(__xludf.DUMMYFUNCTION("GoogleTranslate(C148, ""en"", ""ca"")"),"Il·luminació")</f>
        <v>Il·luminació</v>
      </c>
      <c r="O148" s="7" t="str">
        <f>IFERROR(__xludf.DUMMYFUNCTION("GoogleTranslate(C148, ""en"", ""zh-cn"")"),"照明")</f>
        <v>照明</v>
      </c>
      <c r="P148" s="7" t="str">
        <f>IFERROR(__xludf.DUMMYFUNCTION("GoogleTranslate(C148, ""en"", ""zh-TW"")"),"照明")</f>
        <v>照明</v>
      </c>
      <c r="Q148" s="7" t="str">
        <f>IFERROR(__xludf.DUMMYFUNCTION("GoogleTranslate(C148, ""en"", ""hr"")"),"Osvjetljenje")</f>
        <v>Osvjetljenje</v>
      </c>
      <c r="R148" s="7" t="str">
        <f>IFERROR(__xludf.DUMMYFUNCTION("GoogleTranslate(C148, ""en"", ""cs"")"),"Osvětlení")</f>
        <v>Osvětlení</v>
      </c>
      <c r="S148" s="7" t="str">
        <f>IFERROR(__xludf.DUMMYFUNCTION("GoogleTranslate(C148, ""en"", ""da"")"),"Belysning")</f>
        <v>Belysning</v>
      </c>
      <c r="T148" s="7" t="str">
        <f>IFERROR(__xludf.DUMMYFUNCTION("GoogleTranslate(C148, ""en"", ""nl"")"),"Verlichting")</f>
        <v>Verlichting</v>
      </c>
      <c r="U148" s="7" t="str">
        <f>IFERROR(__xludf.DUMMYFUNCTION("GoogleTranslate(C148, ""en"", ""et"")"),"Valgustus")</f>
        <v>Valgustus</v>
      </c>
      <c r="V148" s="5" t="str">
        <f t="shared" si="3"/>
        <v>Illumination</v>
      </c>
      <c r="W148" s="7" t="str">
        <f>IFERROR(__xludf.DUMMYFUNCTION("GoogleTranslate(C148, ""en"", ""fi"")"),"Valaistus")</f>
        <v>Valaistus</v>
      </c>
      <c r="X148" s="7" t="str">
        <f>IFERROR(__xludf.DUMMYFUNCTION("GoogleTranslate(C148, ""en"", ""fr"")"),"Éclairage")</f>
        <v>Éclairage</v>
      </c>
      <c r="Y148" s="7" t="str">
        <f>IFERROR(__xludf.DUMMYFUNCTION("GoogleTranslate(C148, ""en"", ""de"")"),"Beleuchtung")</f>
        <v>Beleuchtung</v>
      </c>
      <c r="Z148" s="7" t="str">
        <f>IFERROR(__xludf.DUMMYFUNCTION("GoogleTranslate(C148, ""en"", ""el"")"),"Φωτισμός")</f>
        <v>Φωτισμός</v>
      </c>
      <c r="AA148" s="7" t="str">
        <f>IFERROR(__xludf.DUMMYFUNCTION("GoogleTranslate(C148, ""en"", ""iw"")"),"תְאוּרָה")</f>
        <v>תְאוּרָה</v>
      </c>
      <c r="AB148" s="7" t="str">
        <f>IFERROR(__xludf.DUMMYFUNCTION("GoogleTranslate(C148, ""en"", ""hi"")"),"रोशनी")</f>
        <v>रोशनी</v>
      </c>
      <c r="AC148" s="7" t="str">
        <f>IFERROR(__xludf.DUMMYFUNCTION("GoogleTranslate(C148, ""en"", ""hu"")"),"Megvilágítás")</f>
        <v>Megvilágítás</v>
      </c>
      <c r="AD148" s="7" t="str">
        <f>IFERROR(__xludf.DUMMYFUNCTION("GoogleTranslate(C148, ""en"", ""is"")"),"Lýsing")</f>
        <v>Lýsing</v>
      </c>
      <c r="AE148" s="7" t="str">
        <f>IFERROR(__xludf.DUMMYFUNCTION("GoogleTranslate(C148, ""en"", ""id"")"),"Penerangan")</f>
        <v>Penerangan</v>
      </c>
      <c r="AF148" s="7" t="str">
        <f>IFERROR(__xludf.DUMMYFUNCTION("GoogleTranslate(C148, ""en"", ""in"")"),"Penerangan")</f>
        <v>Penerangan</v>
      </c>
      <c r="AG148" s="7" t="str">
        <f>IFERROR(__xludf.DUMMYFUNCTION("GoogleTranslate(C148, ""en"", ""it"")"),"Illuminazione")</f>
        <v>Illuminazione</v>
      </c>
      <c r="AH148" s="7" t="str">
        <f>IFERROR(__xludf.DUMMYFUNCTION("GoogleTranslate(C148, ""en"", ""ja"")"),"照明")</f>
        <v>照明</v>
      </c>
      <c r="AI148" s="7" t="str">
        <f>IFERROR(__xludf.DUMMYFUNCTION("GoogleTranslate(C148, ""en"", ""kn"")"),"ಇಲ್ಯುಮಿನೇಷನ್")</f>
        <v>ಇಲ್ಯುಮಿನೇಷನ್</v>
      </c>
      <c r="AJ148" s="7" t="str">
        <f>IFERROR(__xludf.DUMMYFUNCTION("GoogleTranslate(C148, ""en"", ""km"")"),"ការបំភ្លឺ")</f>
        <v>ការបំភ្លឺ</v>
      </c>
      <c r="AK148" s="7" t="str">
        <f>IFERROR(__xludf.DUMMYFUNCTION("GoogleTranslate(C148, ""en"", ""ko"")"),"조명")</f>
        <v>조명</v>
      </c>
      <c r="AL148" s="7" t="str">
        <f>IFERROR(__xludf.DUMMYFUNCTION("GoogleTranslate(C148, ""en"", ""lo"")"),"ແສງໄຟ")</f>
        <v>ແສງໄຟ</v>
      </c>
      <c r="AM148" s="7" t="str">
        <f>IFERROR(__xludf.DUMMYFUNCTION("GoogleTranslate(C148, ""en"", ""lv"")"),"Apgaismojums")</f>
        <v>Apgaismojums</v>
      </c>
      <c r="AN148" s="7" t="str">
        <f>IFERROR(__xludf.DUMMYFUNCTION("GoogleTranslate(C148, ""en"", ""lt"")"),"Apšvietimas")</f>
        <v>Apšvietimas</v>
      </c>
      <c r="AO148" s="7" t="str">
        <f>IFERROR(__xludf.DUMMYFUNCTION("GoogleTranslate(C148, ""en"", ""mk"")"),"Осветлување")</f>
        <v>Осветлување</v>
      </c>
      <c r="AP148" s="7" t="str">
        <f>IFERROR(__xludf.DUMMYFUNCTION("GoogleTranslate(C148, ""en"", ""ms"")"),"Pencahayaan")</f>
        <v>Pencahayaan</v>
      </c>
      <c r="AQ148" s="7" t="str">
        <f>IFERROR(__xludf.DUMMYFUNCTION("GoogleTranslate(C148, ""en"", ""ml"")"),"പ്രകാശം")</f>
        <v>പ്രകാശം</v>
      </c>
      <c r="AR148" s="7" t="str">
        <f>IFERROR(__xludf.DUMMYFUNCTION("GoogleTranslate(C148, ""en"", ""mr"")"),"रोषणाई")</f>
        <v>रोषणाई</v>
      </c>
      <c r="AS148" s="7" t="str">
        <f>IFERROR(__xludf.DUMMYFUNCTION("GoogleTranslate(C148, ""en"", ""mn"")"),"Гэрэлтүүлэг")</f>
        <v>Гэрэлтүүлэг</v>
      </c>
      <c r="AT148" s="7" t="str">
        <f>IFERROR(__xludf.DUMMYFUNCTION("GoogleTranslate(C148, ""en"", ""ne"")"),"रोशनी")</f>
        <v>रोशनी</v>
      </c>
      <c r="AU148" s="7" t="str">
        <f>IFERROR(__xludf.DUMMYFUNCTION("GoogleTranslate(C148, ""en"", ""nb"")"),"Belysning")</f>
        <v>Belysning</v>
      </c>
      <c r="AV148" s="7" t="str">
        <f>IFERROR(__xludf.DUMMYFUNCTION("GoogleTranslate(C148, ""en"", ""fa"")"),"روشنایی")</f>
        <v>روشنایی</v>
      </c>
      <c r="AW148" s="7" t="str">
        <f>IFERROR(__xludf.DUMMYFUNCTION("GoogleTranslate(C148, ""en"", ""pl"")"),"Oświetlenie")</f>
        <v>Oświetlenie</v>
      </c>
      <c r="AX148" s="7" t="str">
        <f>IFERROR(__xludf.DUMMYFUNCTION("GoogleTranslate(C148, ""en"", ""pt"")"),"Iluminação")</f>
        <v>Iluminação</v>
      </c>
      <c r="AY148" s="7" t="str">
        <f>IFERROR(__xludf.DUMMYFUNCTION("GoogleTranslate(C148, ""en"", ""ro"")"),"Iluminare")</f>
        <v>Iluminare</v>
      </c>
      <c r="AZ148" s="7" t="str">
        <f>IFERROR(__xludf.DUMMYFUNCTION("GoogleTranslate(C148, ""en"", ""ru"")"),"Освещение")</f>
        <v>Освещение</v>
      </c>
      <c r="BA148" s="7" t="str">
        <f>IFERROR(__xludf.DUMMYFUNCTION("GoogleTranslate(C148, ""en"", ""sr"")"),"Осветљење")</f>
        <v>Осветљење</v>
      </c>
      <c r="BB148" s="7" t="str">
        <f>IFERROR(__xludf.DUMMYFUNCTION("GoogleTranslate(C148, ""en"", ""si"")"),"ආලෝකකරණය")</f>
        <v>ආලෝකකරණය</v>
      </c>
      <c r="BC148" s="7" t="str">
        <f>IFERROR(__xludf.DUMMYFUNCTION("GoogleTranslate(C148, ""en"", ""sk"")"),"Osvetlenie")</f>
        <v>Osvetlenie</v>
      </c>
      <c r="BD148" s="7" t="str">
        <f>IFERROR(__xludf.DUMMYFUNCTION("GoogleTranslate(C148, ""en"", ""sl"")"),"Osvetlitev")</f>
        <v>Osvetlitev</v>
      </c>
      <c r="BE148" s="7" t="str">
        <f>IFERROR(__xludf.DUMMYFUNCTION("GoogleTranslate(C148, ""en"", ""es"")"),"Iluminación")</f>
        <v>Iluminación</v>
      </c>
      <c r="BF148" s="7" t="str">
        <f>IFERROR(__xludf.DUMMYFUNCTION("GoogleTranslate(C148, ""en"", ""sw"")"),"Mwangaza")</f>
        <v>Mwangaza</v>
      </c>
      <c r="BG148" s="7" t="str">
        <f>IFERROR(__xludf.DUMMYFUNCTION("GoogleTranslate(C148, ""en"", ""sv"")"),"Belysning")</f>
        <v>Belysning</v>
      </c>
      <c r="BH148" s="7" t="str">
        <f>IFERROR(__xludf.DUMMYFUNCTION("GoogleTranslate(C148, ""en"", ""te"")"),"ప్రకాశం")</f>
        <v>ప్రకాశం</v>
      </c>
      <c r="BI148" s="7" t="str">
        <f>IFERROR(__xludf.DUMMYFUNCTION("GoogleTranslate(C148, ""en"", ""th"")"),"การส่องสว่าง")</f>
        <v>การส่องสว่าง</v>
      </c>
      <c r="BJ148" s="7" t="str">
        <f>IFERROR(__xludf.DUMMYFUNCTION("GoogleTranslate(C148, ""en"", ""tr"")"),"Aydınlatma")</f>
        <v>Aydınlatma</v>
      </c>
      <c r="BK148" s="7" t="str">
        <f>IFERROR(__xludf.DUMMYFUNCTION("GoogleTranslate(C148, ""en"", ""uk"")"),"освітлення")</f>
        <v>освітлення</v>
      </c>
      <c r="BL148" s="7" t="str">
        <f>IFERROR(__xludf.DUMMYFUNCTION("GoogleTranslate(C148, ""en"", ""zu"")"),"Ukukhanyisa")</f>
        <v>Ukukhanyisa</v>
      </c>
    </row>
    <row r="149">
      <c r="A149" s="5" t="str">
        <f t="shared" si="1"/>
        <v>Moonset</v>
      </c>
      <c r="B149" s="6" t="s">
        <v>205</v>
      </c>
      <c r="C149" s="5" t="str">
        <f t="shared" si="2"/>
        <v>Moonset</v>
      </c>
      <c r="D149" s="7" t="str">
        <f>IFERROR(__xludf.DUMMYFUNCTION("GoogleTranslate(C149, ""en"", ""es"")"),"Puesta de luna")</f>
        <v>Puesta de luna</v>
      </c>
      <c r="E149" s="7" t="str">
        <f>IFERROR(__xludf.DUMMYFUNCTION("GoogleTranslate(C149, ""en"", ""ar"")"),"غروب القمر")</f>
        <v>غروب القمر</v>
      </c>
      <c r="F149" s="7" t="str">
        <f>IFERROR(__xludf.DUMMYFUNCTION("GoogleTranslate(C149, ""en"", ""hy"")"),"Լուսնի մայրամուտ")</f>
        <v>Լուսնի մայրամուտ</v>
      </c>
      <c r="G149" s="7" t="str">
        <f>IFERROR(__xludf.DUMMYFUNCTION("GoogleTranslate(C149, ""en"", ""vi"")"),"Trăng lặn")</f>
        <v>Trăng lặn</v>
      </c>
      <c r="H149" s="7" t="str">
        <f>IFERROR(__xludf.DUMMYFUNCTION("GoogleTranslate(C149, ""en"", ""az"")"),"Ay batımı")</f>
        <v>Ay batımı</v>
      </c>
      <c r="I149" s="7" t="str">
        <f>IFERROR(__xludf.DUMMYFUNCTION("GoogleTranslate(C149, ""en"", ""eu"")"),"Ilargia")</f>
        <v>Ilargia</v>
      </c>
      <c r="J149" s="7" t="str">
        <f>IFERROR(__xludf.DUMMYFUNCTION("GoogleTranslate(C149, ""en"", ""be"")"),"Заход Месяца")</f>
        <v>Заход Месяца</v>
      </c>
      <c r="K149" s="7" t="str">
        <f>IFERROR(__xludf.DUMMYFUNCTION("GoogleTranslate(C149, ""en"", ""bn"")"),"মুনসেট")</f>
        <v>মুনসেট</v>
      </c>
      <c r="L149" s="7" t="str">
        <f>IFERROR(__xludf.DUMMYFUNCTION("GoogleTranslate(C149, ""en"", ""bg"")"),"Залез на Луната")</f>
        <v>Залез на Луната</v>
      </c>
      <c r="M149" s="7" t="str">
        <f>IFERROR(__xludf.DUMMYFUNCTION("GoogleTranslate(C149, ""en"", ""my"")"),"လမင်း")</f>
        <v>လမင်း</v>
      </c>
      <c r="N149" s="7" t="str">
        <f>IFERROR(__xludf.DUMMYFUNCTION("GoogleTranslate(C149, ""en"", ""ca"")"),"posta de lluna")</f>
        <v>posta de lluna</v>
      </c>
      <c r="O149" s="7" t="str">
        <f>IFERROR(__xludf.DUMMYFUNCTION("GoogleTranslate(C149, ""en"", ""zh-cn"")"),"月落")</f>
        <v>月落</v>
      </c>
      <c r="P149" s="7" t="str">
        <f>IFERROR(__xludf.DUMMYFUNCTION("GoogleTranslate(C149, ""en"", ""zh-TW"")"),"月落")</f>
        <v>月落</v>
      </c>
      <c r="Q149" s="7" t="str">
        <f>IFERROR(__xludf.DUMMYFUNCTION("GoogleTranslate(C149, ""en"", ""hr"")"),"zalazak mjeseca")</f>
        <v>zalazak mjeseca</v>
      </c>
      <c r="R149" s="7" t="str">
        <f>IFERROR(__xludf.DUMMYFUNCTION("GoogleTranslate(C149, ""en"", ""cs"")"),"Západ Měsíce")</f>
        <v>Západ Měsíce</v>
      </c>
      <c r="S149" s="7" t="str">
        <f>IFERROR(__xludf.DUMMYFUNCTION("GoogleTranslate(C149, ""en"", ""da"")"),"Månenedgang")</f>
        <v>Månenedgang</v>
      </c>
      <c r="T149" s="7" t="str">
        <f>IFERROR(__xludf.DUMMYFUNCTION("GoogleTranslate(C149, ""en"", ""nl"")"),"Maanondergang")</f>
        <v>Maanondergang</v>
      </c>
      <c r="U149" s="7" t="str">
        <f>IFERROR(__xludf.DUMMYFUNCTION("GoogleTranslate(C149, ""en"", ""et"")"),"Kuuloojang")</f>
        <v>Kuuloojang</v>
      </c>
      <c r="V149" s="5" t="str">
        <f t="shared" si="3"/>
        <v>Moonset</v>
      </c>
      <c r="W149" s="7" t="str">
        <f>IFERROR(__xludf.DUMMYFUNCTION("GoogleTranslate(C149, ""en"", ""fi"")"),"Kuunlasku")</f>
        <v>Kuunlasku</v>
      </c>
      <c r="X149" s="7" t="str">
        <f>IFERROR(__xludf.DUMMYFUNCTION("GoogleTranslate(C149, ""en"", ""fr"")"),"Coucher de lune")</f>
        <v>Coucher de lune</v>
      </c>
      <c r="Y149" s="7" t="str">
        <f>IFERROR(__xludf.DUMMYFUNCTION("GoogleTranslate(C149, ""en"", ""de"")"),"Monduntergang")</f>
        <v>Monduntergang</v>
      </c>
      <c r="Z149" s="7" t="str">
        <f>IFERROR(__xludf.DUMMYFUNCTION("GoogleTranslate(C149, ""en"", ""el"")"),"Δύση του φεγγαριού")</f>
        <v>Δύση του φεγγαριού</v>
      </c>
      <c r="AA149" s="7" t="str">
        <f>IFERROR(__xludf.DUMMYFUNCTION("GoogleTranslate(C149, ""en"", ""iw"")"),"שקיעת ירח")</f>
        <v>שקיעת ירח</v>
      </c>
      <c r="AB149" s="7" t="str">
        <f>IFERROR(__xludf.DUMMYFUNCTION("GoogleTranslate(C149, ""en"", ""hi"")"),"चंद्रास्त")</f>
        <v>चंद्रास्त</v>
      </c>
      <c r="AC149" s="7" t="str">
        <f>IFERROR(__xludf.DUMMYFUNCTION("GoogleTranslate(C149, ""en"", ""hu"")"),"Holdnyugta")</f>
        <v>Holdnyugta</v>
      </c>
      <c r="AD149" s="7" t="str">
        <f>IFERROR(__xludf.DUMMYFUNCTION("GoogleTranslate(C149, ""en"", ""is"")"),"Tunglsetur")</f>
        <v>Tunglsetur</v>
      </c>
      <c r="AE149" s="7" t="str">
        <f>IFERROR(__xludf.DUMMYFUNCTION("GoogleTranslate(C149, ""en"", ""id"")"),"Bulan terbenam")</f>
        <v>Bulan terbenam</v>
      </c>
      <c r="AF149" s="7" t="str">
        <f>IFERROR(__xludf.DUMMYFUNCTION("GoogleTranslate(C149, ""en"", ""in"")"),"Bulan terbenam")</f>
        <v>Bulan terbenam</v>
      </c>
      <c r="AG149" s="7" t="str">
        <f>IFERROR(__xludf.DUMMYFUNCTION("GoogleTranslate(C149, ""en"", ""it"")"),"Tramonto della luna")</f>
        <v>Tramonto della luna</v>
      </c>
      <c r="AH149" s="7" t="str">
        <f>IFERROR(__xludf.DUMMYFUNCTION("GoogleTranslate(C149, ""en"", ""ja"")"),"月の入り")</f>
        <v>月の入り</v>
      </c>
      <c r="AI149" s="7" t="str">
        <f>IFERROR(__xludf.DUMMYFUNCTION("GoogleTranslate(C149, ""en"", ""kn"")"),"ಮೂನ್ಸೆಟ್")</f>
        <v>ಮೂನ್ಸೆಟ್</v>
      </c>
      <c r="AJ149" s="7" t="str">
        <f>IFERROR(__xludf.DUMMYFUNCTION("GoogleTranslate(C149, ""en"", ""km"")"),"ព្រះច័ន្ទ")</f>
        <v>ព្រះច័ន្ទ</v>
      </c>
      <c r="AK149" s="7" t="str">
        <f>IFERROR(__xludf.DUMMYFUNCTION("GoogleTranslate(C149, ""en"", ""ko"")"),"월몰")</f>
        <v>월몰</v>
      </c>
      <c r="AL149" s="7" t="str">
        <f>IFERROR(__xludf.DUMMYFUNCTION("GoogleTranslate(C149, ""en"", ""lo"")"),"Moonset")</f>
        <v>Moonset</v>
      </c>
      <c r="AM149" s="7" t="str">
        <f>IFERROR(__xludf.DUMMYFUNCTION("GoogleTranslate(C149, ""en"", ""lv"")"),"Mēness riets")</f>
        <v>Mēness riets</v>
      </c>
      <c r="AN149" s="7" t="str">
        <f>IFERROR(__xludf.DUMMYFUNCTION("GoogleTranslate(C149, ""en"", ""lt"")"),"Mėnulio leidimas")</f>
        <v>Mėnulio leidimas</v>
      </c>
      <c r="AO149" s="7" t="str">
        <f>IFERROR(__xludf.DUMMYFUNCTION("GoogleTranslate(C149, ""en"", ""mk"")"),"Заоѓање на месечината")</f>
        <v>Заоѓање на месечината</v>
      </c>
      <c r="AP149" s="7" t="str">
        <f>IFERROR(__xludf.DUMMYFUNCTION("GoogleTranslate(C149, ""en"", ""ms"")"),"Bulan terbenam")</f>
        <v>Bulan terbenam</v>
      </c>
      <c r="AQ149" s="7" t="str">
        <f>IFERROR(__xludf.DUMMYFUNCTION("GoogleTranslate(C149, ""en"", ""ml"")"),"അമാവാസി")</f>
        <v>അമാവാസി</v>
      </c>
      <c r="AR149" s="7" t="str">
        <f>IFERROR(__xludf.DUMMYFUNCTION("GoogleTranslate(C149, ""en"", ""mr"")"),"चंद्रास्त")</f>
        <v>चंद्रास्त</v>
      </c>
      <c r="AS149" s="7" t="str">
        <f>IFERROR(__xludf.DUMMYFUNCTION("GoogleTranslate(C149, ""en"", ""mn"")"),"Сар жаргах")</f>
        <v>Сар жаргах</v>
      </c>
      <c r="AT149" s="7" t="str">
        <f>IFERROR(__xludf.DUMMYFUNCTION("GoogleTranslate(C149, ""en"", ""ne"")"),"चन्द्रमा")</f>
        <v>चन्द्रमा</v>
      </c>
      <c r="AU149" s="7" t="str">
        <f>IFERROR(__xludf.DUMMYFUNCTION("GoogleTranslate(C149, ""en"", ""nb"")"),"Månenedgang")</f>
        <v>Månenedgang</v>
      </c>
      <c r="AV149" s="7" t="str">
        <f>IFERROR(__xludf.DUMMYFUNCTION("GoogleTranslate(C149, ""en"", ""fa"")"),"غروب ماه")</f>
        <v>غروب ماه</v>
      </c>
      <c r="AW149" s="7" t="str">
        <f>IFERROR(__xludf.DUMMYFUNCTION("GoogleTranslate(C149, ""en"", ""pl"")"),"Zachód Księżyca")</f>
        <v>Zachód Księżyca</v>
      </c>
      <c r="AX149" s="7" t="str">
        <f>IFERROR(__xludf.DUMMYFUNCTION("GoogleTranslate(C149, ""en"", ""pt"")"),"Pôr da lua")</f>
        <v>Pôr da lua</v>
      </c>
      <c r="AY149" s="7" t="str">
        <f>IFERROR(__xludf.DUMMYFUNCTION("GoogleTranslate(C149, ""en"", ""ro"")"),"Apusul lunii")</f>
        <v>Apusul lunii</v>
      </c>
      <c r="AZ149" s="7" t="str">
        <f>IFERROR(__xludf.DUMMYFUNCTION("GoogleTranslate(C149, ""en"", ""ru"")"),"Заход Луны")</f>
        <v>Заход Луны</v>
      </c>
      <c r="BA149" s="7" t="str">
        <f>IFERROR(__xludf.DUMMYFUNCTION("GoogleTranslate(C149, ""en"", ""sr"")"),"Моонсет")</f>
        <v>Моонсет</v>
      </c>
      <c r="BB149" s="7" t="str">
        <f>IFERROR(__xludf.DUMMYFUNCTION("GoogleTranslate(C149, ""en"", ""si"")"),"සඳ බැස යාම")</f>
        <v>සඳ බැස යාම</v>
      </c>
      <c r="BC149" s="7" t="str">
        <f>IFERROR(__xludf.DUMMYFUNCTION("GoogleTranslate(C149, ""en"", ""sk"")"),"Západ mesiaca")</f>
        <v>Západ mesiaca</v>
      </c>
      <c r="BD149" s="7" t="str">
        <f>IFERROR(__xludf.DUMMYFUNCTION("GoogleTranslate(C149, ""en"", ""sl"")"),"Moonset")</f>
        <v>Moonset</v>
      </c>
      <c r="BE149" s="7" t="str">
        <f>IFERROR(__xludf.DUMMYFUNCTION("GoogleTranslate(C149, ""en"", ""es"")"),"Puesta de luna")</f>
        <v>Puesta de luna</v>
      </c>
      <c r="BF149" s="7" t="str">
        <f>IFERROR(__xludf.DUMMYFUNCTION("GoogleTranslate(C149, ""en"", ""sw"")"),"Mwezi wa mwezi")</f>
        <v>Mwezi wa mwezi</v>
      </c>
      <c r="BG149" s="7" t="str">
        <f>IFERROR(__xludf.DUMMYFUNCTION("GoogleTranslate(C149, ""en"", ""sv"")"),"Månnedgång")</f>
        <v>Månnedgång</v>
      </c>
      <c r="BH149" s="7" t="str">
        <f>IFERROR(__xludf.DUMMYFUNCTION("GoogleTranslate(C149, ""en"", ""te"")"),"మూన్సెట్")</f>
        <v>మూన్సెట్</v>
      </c>
      <c r="BI149" s="7" t="str">
        <f>IFERROR(__xludf.DUMMYFUNCTION("GoogleTranslate(C149, ""en"", ""th"")"),"พระจันทร์ตก")</f>
        <v>พระจันทร์ตก</v>
      </c>
      <c r="BJ149" s="7" t="str">
        <f>IFERROR(__xludf.DUMMYFUNCTION("GoogleTranslate(C149, ""en"", ""tr"")"),"Ayın batışı")</f>
        <v>Ayın batışı</v>
      </c>
      <c r="BK149" s="7" t="str">
        <f>IFERROR(__xludf.DUMMYFUNCTION("GoogleTranslate(C149, ""en"", ""uk"")"),"Захід місяця")</f>
        <v>Захід місяця</v>
      </c>
      <c r="BL149" s="7" t="str">
        <f>IFERROR(__xludf.DUMMYFUNCTION("GoogleTranslate(C149, ""en"", ""zu"")"),"I-Moonset")</f>
        <v>I-Moonset</v>
      </c>
    </row>
    <row r="150">
      <c r="A150" s="5" t="str">
        <f t="shared" si="1"/>
        <v>Moonrise</v>
      </c>
      <c r="B150" s="6" t="s">
        <v>206</v>
      </c>
      <c r="C150" s="5" t="str">
        <f t="shared" si="2"/>
        <v>Moonrise</v>
      </c>
      <c r="D150" s="7" t="str">
        <f>IFERROR(__xludf.DUMMYFUNCTION("GoogleTranslate(C150, ""en"", ""es"")"),"salida de la luna")</f>
        <v>salida de la luna</v>
      </c>
      <c r="E150" s="7" t="str">
        <f>IFERROR(__xludf.DUMMYFUNCTION("GoogleTranslate(C150, ""en"", ""ar"")"),"طلوع القمر")</f>
        <v>طلوع القمر</v>
      </c>
      <c r="F150" s="7" t="str">
        <f>IFERROR(__xludf.DUMMYFUNCTION("GoogleTranslate(C150, ""en"", ""hy"")"),"Լուսնի ծագում")</f>
        <v>Լուսնի ծագում</v>
      </c>
      <c r="G150" s="7" t="str">
        <f>IFERROR(__xludf.DUMMYFUNCTION("GoogleTranslate(C150, ""en"", ""vi"")"),"Trăng mọc")</f>
        <v>Trăng mọc</v>
      </c>
      <c r="H150" s="7" t="str">
        <f>IFERROR(__xludf.DUMMYFUNCTION("GoogleTranslate(C150, ""en"", ""az"")"),"Ayın çıxması")</f>
        <v>Ayın çıxması</v>
      </c>
      <c r="I150" s="7" t="str">
        <f>IFERROR(__xludf.DUMMYFUNCTION("GoogleTranslate(C150, ""en"", ""eu"")"),"Ilargia")</f>
        <v>Ilargia</v>
      </c>
      <c r="J150" s="7" t="str">
        <f>IFERROR(__xludf.DUMMYFUNCTION("GoogleTranslate(C150, ""en"", ""be"")"),"Узыход месяца")</f>
        <v>Узыход месяца</v>
      </c>
      <c r="K150" s="7" t="str">
        <f>IFERROR(__xludf.DUMMYFUNCTION("GoogleTranslate(C150, ""en"", ""bn"")"),"চন্দ্রোদয়")</f>
        <v>চন্দ্রোদয়</v>
      </c>
      <c r="L150" s="7" t="str">
        <f>IFERROR(__xludf.DUMMYFUNCTION("GoogleTranslate(C150, ""en"", ""bg"")"),"Изгрев на луната")</f>
        <v>Изгрев на луната</v>
      </c>
      <c r="M150" s="7" t="str">
        <f>IFERROR(__xludf.DUMMYFUNCTION("GoogleTranslate(C150, ""en"", ""my"")"),"လရောင်")</f>
        <v>လရောင်</v>
      </c>
      <c r="N150" s="7" t="str">
        <f>IFERROR(__xludf.DUMMYFUNCTION("GoogleTranslate(C150, ""en"", ""ca"")"),"Sortida de la lluna")</f>
        <v>Sortida de la lluna</v>
      </c>
      <c r="O150" s="7" t="str">
        <f>IFERROR(__xludf.DUMMYFUNCTION("GoogleTranslate(C150, ""en"", ""zh-cn"")"),"月出")</f>
        <v>月出</v>
      </c>
      <c r="P150" s="7" t="str">
        <f>IFERROR(__xludf.DUMMYFUNCTION("GoogleTranslate(C150, ""en"", ""zh-TW"")"),"月出")</f>
        <v>月出</v>
      </c>
      <c r="Q150" s="7" t="str">
        <f>IFERROR(__xludf.DUMMYFUNCTION("GoogleTranslate(C150, ""en"", ""hr"")"),"izlazak mjeseca")</f>
        <v>izlazak mjeseca</v>
      </c>
      <c r="R150" s="7" t="str">
        <f>IFERROR(__xludf.DUMMYFUNCTION("GoogleTranslate(C150, ""en"", ""cs"")"),"Východ měsíce")</f>
        <v>Východ měsíce</v>
      </c>
      <c r="S150" s="7" t="str">
        <f>IFERROR(__xludf.DUMMYFUNCTION("GoogleTranslate(C150, ""en"", ""da"")"),"Måneopgang")</f>
        <v>Måneopgang</v>
      </c>
      <c r="T150" s="7" t="str">
        <f>IFERROR(__xludf.DUMMYFUNCTION("GoogleTranslate(C150, ""en"", ""nl"")"),"Maanopkomst")</f>
        <v>Maanopkomst</v>
      </c>
      <c r="U150" s="7" t="str">
        <f>IFERROR(__xludf.DUMMYFUNCTION("GoogleTranslate(C150, ""en"", ""et"")"),"Kuutõus")</f>
        <v>Kuutõus</v>
      </c>
      <c r="V150" s="5" t="str">
        <f t="shared" si="3"/>
        <v>Moonrise</v>
      </c>
      <c r="W150" s="7" t="str">
        <f>IFERROR(__xludf.DUMMYFUNCTION("GoogleTranslate(C150, ""en"", ""fi"")"),"Kuunnousu")</f>
        <v>Kuunnousu</v>
      </c>
      <c r="X150" s="7" t="str">
        <f>IFERROR(__xludf.DUMMYFUNCTION("GoogleTranslate(C150, ""en"", ""fr"")"),"Lever de lune")</f>
        <v>Lever de lune</v>
      </c>
      <c r="Y150" s="7" t="str">
        <f>IFERROR(__xludf.DUMMYFUNCTION("GoogleTranslate(C150, ""en"", ""de"")"),"Mondaufgang")</f>
        <v>Mondaufgang</v>
      </c>
      <c r="Z150" s="7" t="str">
        <f>IFERROR(__xludf.DUMMYFUNCTION("GoogleTranslate(C150, ""en"", ""el"")"),"Ανατολή Σελήνης")</f>
        <v>Ανατολή Σελήνης</v>
      </c>
      <c r="AA150" s="7" t="str">
        <f>IFERROR(__xludf.DUMMYFUNCTION("GoogleTranslate(C150, ""en"", ""iw"")"),"זריחת ירח")</f>
        <v>זריחת ירח</v>
      </c>
      <c r="AB150" s="7" t="str">
        <f>IFERROR(__xludf.DUMMYFUNCTION("GoogleTranslate(C150, ""en"", ""hi"")"),"चंद्रोदय")</f>
        <v>चंद्रोदय</v>
      </c>
      <c r="AC150" s="7" t="str">
        <f>IFERROR(__xludf.DUMMYFUNCTION("GoogleTranslate(C150, ""en"", ""hu"")"),"Holdkelte")</f>
        <v>Holdkelte</v>
      </c>
      <c r="AD150" s="7" t="str">
        <f>IFERROR(__xludf.DUMMYFUNCTION("GoogleTranslate(C150, ""en"", ""is"")"),"Tunglupprás")</f>
        <v>Tunglupprás</v>
      </c>
      <c r="AE150" s="7" t="str">
        <f>IFERROR(__xludf.DUMMYFUNCTION("GoogleTranslate(C150, ""en"", ""id"")"),"Bulan terbit")</f>
        <v>Bulan terbit</v>
      </c>
      <c r="AF150" s="7" t="str">
        <f>IFERROR(__xludf.DUMMYFUNCTION("GoogleTranslate(C150, ""en"", ""in"")"),"Bulan terbit")</f>
        <v>Bulan terbit</v>
      </c>
      <c r="AG150" s="7" t="str">
        <f>IFERROR(__xludf.DUMMYFUNCTION("GoogleTranslate(C150, ""en"", ""it"")"),"Sorgere della luna")</f>
        <v>Sorgere della luna</v>
      </c>
      <c r="AH150" s="7" t="str">
        <f>IFERROR(__xludf.DUMMYFUNCTION("GoogleTranslate(C150, ""en"", ""ja"")"),"月の出")</f>
        <v>月の出</v>
      </c>
      <c r="AI150" s="7" t="str">
        <f>IFERROR(__xludf.DUMMYFUNCTION("GoogleTranslate(C150, ""en"", ""kn"")"),"ಚಂದ್ರೋದಯ")</f>
        <v>ಚಂದ್ರೋದಯ</v>
      </c>
      <c r="AJ150" s="7" t="str">
        <f>IFERROR(__xludf.DUMMYFUNCTION("GoogleTranslate(C150, ""en"", ""km"")"),"ព្រះច័ន្ទរះ")</f>
        <v>ព្រះច័ន្ទរះ</v>
      </c>
      <c r="AK150" s="7" t="str">
        <f>IFERROR(__xludf.DUMMYFUNCTION("GoogleTranslate(C150, ""en"", ""ko"")"),"문라이즈")</f>
        <v>문라이즈</v>
      </c>
      <c r="AL150" s="7" t="str">
        <f>IFERROR(__xludf.DUMMYFUNCTION("GoogleTranslate(C150, ""en"", ""lo"")"),"Moonrise")</f>
        <v>Moonrise</v>
      </c>
      <c r="AM150" s="7" t="str">
        <f>IFERROR(__xludf.DUMMYFUNCTION("GoogleTranslate(C150, ""en"", ""lv"")"),"Mēness lēkts")</f>
        <v>Mēness lēkts</v>
      </c>
      <c r="AN150" s="7" t="str">
        <f>IFERROR(__xludf.DUMMYFUNCTION("GoogleTranslate(C150, ""en"", ""lt"")"),"Mėnulio pakilimas")</f>
        <v>Mėnulio pakilimas</v>
      </c>
      <c r="AO150" s="7" t="str">
        <f>IFERROR(__xludf.DUMMYFUNCTION("GoogleTranslate(C150, ""en"", ""mk"")"),"Изгрејсонце")</f>
        <v>Изгрејсонце</v>
      </c>
      <c r="AP150" s="7" t="str">
        <f>IFERROR(__xludf.DUMMYFUNCTION("GoogleTranslate(C150, ""en"", ""ms"")"),"Bulan terbit")</f>
        <v>Bulan terbit</v>
      </c>
      <c r="AQ150" s="7" t="str">
        <f>IFERROR(__xludf.DUMMYFUNCTION("GoogleTranslate(C150, ""en"", ""ml"")"),"ചന്ദ്രോദയം")</f>
        <v>ചന്ദ്രോദയം</v>
      </c>
      <c r="AR150" s="7" t="str">
        <f>IFERROR(__xludf.DUMMYFUNCTION("GoogleTranslate(C150, ""en"", ""mr"")"),"चंद्रोदय")</f>
        <v>चंद्रोदय</v>
      </c>
      <c r="AS150" s="7" t="str">
        <f>IFERROR(__xludf.DUMMYFUNCTION("GoogleTranslate(C150, ""en"", ""mn"")"),"Сар мандах")</f>
        <v>Сар мандах</v>
      </c>
      <c r="AT150" s="7" t="str">
        <f>IFERROR(__xludf.DUMMYFUNCTION("GoogleTranslate(C150, ""en"", ""ne"")"),"चन्द्रोदय")</f>
        <v>चन्द्रोदय</v>
      </c>
      <c r="AU150" s="7" t="str">
        <f>IFERROR(__xludf.DUMMYFUNCTION("GoogleTranslate(C150, ""en"", ""nb"")"),"Måneoppgang")</f>
        <v>Måneoppgang</v>
      </c>
      <c r="AV150" s="7" t="str">
        <f>IFERROR(__xludf.DUMMYFUNCTION("GoogleTranslate(C150, ""en"", ""fa"")"),"طلوع ماه")</f>
        <v>طلوع ماه</v>
      </c>
      <c r="AW150" s="7" t="str">
        <f>IFERROR(__xludf.DUMMYFUNCTION("GoogleTranslate(C150, ""en"", ""pl"")"),"Wschód Księżyca")</f>
        <v>Wschód Księżyca</v>
      </c>
      <c r="AX150" s="7" t="str">
        <f>IFERROR(__xludf.DUMMYFUNCTION("GoogleTranslate(C150, ""en"", ""pt"")"),"Nascer da lua")</f>
        <v>Nascer da lua</v>
      </c>
      <c r="AY150" s="7" t="str">
        <f>IFERROR(__xludf.DUMMYFUNCTION("GoogleTranslate(C150, ""en"", ""ro"")"),"Răsărit de lună")</f>
        <v>Răsărit de lună</v>
      </c>
      <c r="AZ150" s="7" t="str">
        <f>IFERROR(__xludf.DUMMYFUNCTION("GoogleTranslate(C150, ""en"", ""ru"")"),"Восход луны")</f>
        <v>Восход луны</v>
      </c>
      <c r="BA150" s="7" t="str">
        <f>IFERROR(__xludf.DUMMYFUNCTION("GoogleTranslate(C150, ""en"", ""sr"")"),"Моонрисе")</f>
        <v>Моонрисе</v>
      </c>
      <c r="BB150" s="7" t="str">
        <f>IFERROR(__xludf.DUMMYFUNCTION("GoogleTranslate(C150, ""en"", ""si"")"),"සඳ පායන")</f>
        <v>සඳ පායන</v>
      </c>
      <c r="BC150" s="7" t="str">
        <f>IFERROR(__xludf.DUMMYFUNCTION("GoogleTranslate(C150, ""en"", ""sk"")"),"Východ mesiaca")</f>
        <v>Východ mesiaca</v>
      </c>
      <c r="BD150" s="7" t="str">
        <f>IFERROR(__xludf.DUMMYFUNCTION("GoogleTranslate(C150, ""en"", ""sl"")"),"Moonrise")</f>
        <v>Moonrise</v>
      </c>
      <c r="BE150" s="7" t="str">
        <f>IFERROR(__xludf.DUMMYFUNCTION("GoogleTranslate(C150, ""en"", ""es"")"),"salida de la luna")</f>
        <v>salida de la luna</v>
      </c>
      <c r="BF150" s="7" t="str">
        <f>IFERROR(__xludf.DUMMYFUNCTION("GoogleTranslate(C150, ""en"", ""sw"")"),"Kupanda kwa mwezi")</f>
        <v>Kupanda kwa mwezi</v>
      </c>
      <c r="BG150" s="7" t="str">
        <f>IFERROR(__xludf.DUMMYFUNCTION("GoogleTranslate(C150, ""en"", ""sv"")"),"Månuppgång")</f>
        <v>Månuppgång</v>
      </c>
      <c r="BH150" s="7" t="str">
        <f>IFERROR(__xludf.DUMMYFUNCTION("GoogleTranslate(C150, ""en"", ""te"")"),"చంద్రోదయం")</f>
        <v>చంద్రోదయం</v>
      </c>
      <c r="BI150" s="7" t="str">
        <f>IFERROR(__xludf.DUMMYFUNCTION("GoogleTranslate(C150, ""en"", ""th"")"),"พระจันทร์ขึ้น")</f>
        <v>พระจันทร์ขึ้น</v>
      </c>
      <c r="BJ150" s="7" t="str">
        <f>IFERROR(__xludf.DUMMYFUNCTION("GoogleTranslate(C150, ""en"", ""tr"")"),"Ayın Doğuşu")</f>
        <v>Ayın Doğuşu</v>
      </c>
      <c r="BK150" s="7" t="str">
        <f>IFERROR(__xludf.DUMMYFUNCTION("GoogleTranslate(C150, ""en"", ""uk"")"),"Схід місяця")</f>
        <v>Схід місяця</v>
      </c>
      <c r="BL150" s="7" t="str">
        <f>IFERROR(__xludf.DUMMYFUNCTION("GoogleTranslate(C150, ""en"", ""zu"")"),"Ukuphuma kwenyanga")</f>
        <v>Ukuphuma kwenyanga</v>
      </c>
    </row>
    <row r="151">
      <c r="A151" s="5" t="str">
        <f t="shared" si="1"/>
        <v>Next_Full_Moon</v>
      </c>
      <c r="B151" s="6" t="s">
        <v>207</v>
      </c>
      <c r="C151" s="5" t="str">
        <f t="shared" si="2"/>
        <v>Next Full Moon</v>
      </c>
      <c r="D151" s="7" t="str">
        <f>IFERROR(__xludf.DUMMYFUNCTION("GoogleTranslate(C151, ""en"", ""es"")"),"Próxima luna llena")</f>
        <v>Próxima luna llena</v>
      </c>
      <c r="E151" s="7" t="str">
        <f>IFERROR(__xludf.DUMMYFUNCTION("GoogleTranslate(C151, ""en"", ""ar"")"),"اكتمال القمر القادم")</f>
        <v>اكتمال القمر القادم</v>
      </c>
      <c r="F151" s="7" t="str">
        <f>IFERROR(__xludf.DUMMYFUNCTION("GoogleTranslate(C151, ""en"", ""hy"")"),"Հաջորդ Լիալուսին")</f>
        <v>Հաջորդ Լիալուսին</v>
      </c>
      <c r="G151" s="7" t="str">
        <f>IFERROR(__xludf.DUMMYFUNCTION("GoogleTranslate(C151, ""en"", ""vi"")"),"Trăng tròn tiếp theo")</f>
        <v>Trăng tròn tiếp theo</v>
      </c>
      <c r="H151" s="7" t="str">
        <f>IFERROR(__xludf.DUMMYFUNCTION("GoogleTranslate(C151, ""en"", ""az"")"),"Növbəti Tam Ay")</f>
        <v>Növbəti Tam Ay</v>
      </c>
      <c r="I151" s="7" t="str">
        <f>IFERROR(__xludf.DUMMYFUNCTION("GoogleTranslate(C151, ""en"", ""eu"")"),"Hurrengo Ilargi betea")</f>
        <v>Hurrengo Ilargi betea</v>
      </c>
      <c r="J151" s="7" t="str">
        <f>IFERROR(__xludf.DUMMYFUNCTION("GoogleTranslate(C151, ""en"", ""be"")"),"Наступная поўня")</f>
        <v>Наступная поўня</v>
      </c>
      <c r="K151" s="7" t="str">
        <f>IFERROR(__xludf.DUMMYFUNCTION("GoogleTranslate(C151, ""en"", ""bn"")"),"পরবর্তী পূর্ণিমা")</f>
        <v>পরবর্তী পূর্ণিমা</v>
      </c>
      <c r="L151" s="7" t="str">
        <f>IFERROR(__xludf.DUMMYFUNCTION("GoogleTranslate(C151, ""en"", ""bg"")"),"Следва пълнолуние")</f>
        <v>Следва пълнолуние</v>
      </c>
      <c r="M151" s="7" t="str">
        <f>IFERROR(__xludf.DUMMYFUNCTION("GoogleTranslate(C151, ""en"", ""my"")"),"လာမည့် ဝါဆိုလပြည့်")</f>
        <v>လာမည့် ဝါဆိုလပြည့်</v>
      </c>
      <c r="N151" s="7" t="str">
        <f>IFERROR(__xludf.DUMMYFUNCTION("GoogleTranslate(C151, ""en"", ""ca"")"),"Propera lluna plena")</f>
        <v>Propera lluna plena</v>
      </c>
      <c r="O151" s="7" t="str">
        <f>IFERROR(__xludf.DUMMYFUNCTION("GoogleTranslate(C151, ""en"", ""zh-cn"")"),"下一个满月")</f>
        <v>下一个满月</v>
      </c>
      <c r="P151" s="7" t="str">
        <f>IFERROR(__xludf.DUMMYFUNCTION("GoogleTranslate(C151, ""en"", ""zh-TW"")"),"下一個滿月")</f>
        <v>下一個滿月</v>
      </c>
      <c r="Q151" s="7" t="str">
        <f>IFERROR(__xludf.DUMMYFUNCTION("GoogleTranslate(C151, ""en"", ""hr"")"),"Sljedeći pun mjesec")</f>
        <v>Sljedeći pun mjesec</v>
      </c>
      <c r="R151" s="7" t="str">
        <f>IFERROR(__xludf.DUMMYFUNCTION("GoogleTranslate(C151, ""en"", ""cs"")"),"Příští úplněk")</f>
        <v>Příští úplněk</v>
      </c>
      <c r="S151" s="7" t="str">
        <f>IFERROR(__xludf.DUMMYFUNCTION("GoogleTranslate(C151, ""en"", ""da"")"),"Næste fuldmåne")</f>
        <v>Næste fuldmåne</v>
      </c>
      <c r="T151" s="7" t="str">
        <f>IFERROR(__xludf.DUMMYFUNCTION("GoogleTranslate(C151, ""en"", ""nl"")"),"Volgende Volle Maan")</f>
        <v>Volgende Volle Maan</v>
      </c>
      <c r="U151" s="7" t="str">
        <f>IFERROR(__xludf.DUMMYFUNCTION("GoogleTranslate(C151, ""en"", ""et"")"),"Järgmine täiskuu")</f>
        <v>Järgmine täiskuu</v>
      </c>
      <c r="V151" s="5" t="str">
        <f t="shared" si="3"/>
        <v>Next Full Moon</v>
      </c>
      <c r="W151" s="7" t="str">
        <f>IFERROR(__xludf.DUMMYFUNCTION("GoogleTranslate(C151, ""en"", ""fi"")"),"Seuraava täysikuu")</f>
        <v>Seuraava täysikuu</v>
      </c>
      <c r="X151" s="7" t="str">
        <f>IFERROR(__xludf.DUMMYFUNCTION("GoogleTranslate(C151, ""en"", ""fr"")"),"Prochaine Pleine Lune")</f>
        <v>Prochaine Pleine Lune</v>
      </c>
      <c r="Y151" s="7" t="str">
        <f>IFERROR(__xludf.DUMMYFUNCTION("GoogleTranslate(C151, ""en"", ""de"")"),"Nächster Vollmond")</f>
        <v>Nächster Vollmond</v>
      </c>
      <c r="Z151" s="7" t="str">
        <f>IFERROR(__xludf.DUMMYFUNCTION("GoogleTranslate(C151, ""en"", ""el"")"),"Επόμενη Πανσέληνος")</f>
        <v>Επόμενη Πανσέληνος</v>
      </c>
      <c r="AA151" s="7" t="str">
        <f>IFERROR(__xludf.DUMMYFUNCTION("GoogleTranslate(C151, ""en"", ""iw"")"),"ירח מלא הבא")</f>
        <v>ירח מלא הבא</v>
      </c>
      <c r="AB151" s="7" t="str">
        <f>IFERROR(__xludf.DUMMYFUNCTION("GoogleTranslate(C151, ""en"", ""hi"")"),"अगली पूर्णिमा")</f>
        <v>अगली पूर्णिमा</v>
      </c>
      <c r="AC151" s="7" t="str">
        <f>IFERROR(__xludf.DUMMYFUNCTION("GoogleTranslate(C151, ""en"", ""hu"")"),"Következő Telihold")</f>
        <v>Következő Telihold</v>
      </c>
      <c r="AD151" s="7" t="str">
        <f>IFERROR(__xludf.DUMMYFUNCTION("GoogleTranslate(C151, ""en"", ""is"")"),"Næsta fullt tungl")</f>
        <v>Næsta fullt tungl</v>
      </c>
      <c r="AE151" s="7" t="str">
        <f>IFERROR(__xludf.DUMMYFUNCTION("GoogleTranslate(C151, ""en"", ""id"")"),"Bulan Purnama berikutnya")</f>
        <v>Bulan Purnama berikutnya</v>
      </c>
      <c r="AF151" s="7" t="str">
        <f>IFERROR(__xludf.DUMMYFUNCTION("GoogleTranslate(C151, ""en"", ""in"")"),"Bulan Purnama berikutnya")</f>
        <v>Bulan Purnama berikutnya</v>
      </c>
      <c r="AG151" s="7" t="str">
        <f>IFERROR(__xludf.DUMMYFUNCTION("GoogleTranslate(C151, ""en"", ""it"")"),"Prossima Luna Piena")</f>
        <v>Prossima Luna Piena</v>
      </c>
      <c r="AH151" s="7" t="str">
        <f>IFERROR(__xludf.DUMMYFUNCTION("GoogleTranslate(C151, ""en"", ""ja"")"),"次の満月")</f>
        <v>次の満月</v>
      </c>
      <c r="AI151" s="7" t="str">
        <f>IFERROR(__xludf.DUMMYFUNCTION("GoogleTranslate(C151, ""en"", ""kn"")"),"ಮುಂದಿನ ಹುಣ್ಣಿಮೆ")</f>
        <v>ಮುಂದಿನ ಹುಣ್ಣಿಮೆ</v>
      </c>
      <c r="AJ151" s="7" t="str">
        <f>IFERROR(__xludf.DUMMYFUNCTION("GoogleTranslate(C151, ""en"", ""km"")"),"ព្រះច័ន្ទពេញវង់បន្ទាប់")</f>
        <v>ព្រះច័ន្ទពេញវង់បន្ទាប់</v>
      </c>
      <c r="AK151" s="7" t="str">
        <f>IFERROR(__xludf.DUMMYFUNCTION("GoogleTranslate(C151, ""en"", ""ko"")"),"다음 보름달")</f>
        <v>다음 보름달</v>
      </c>
      <c r="AL151" s="7" t="str">
        <f>IFERROR(__xludf.DUMMYFUNCTION("GoogleTranslate(C151, ""en"", ""lo"")"),"ເດືອນເຕັມດວງຕໍ່ໄປ")</f>
        <v>ເດືອນເຕັມດວງຕໍ່ໄປ</v>
      </c>
      <c r="AM151" s="7" t="str">
        <f>IFERROR(__xludf.DUMMYFUNCTION("GoogleTranslate(C151, ""en"", ""lv"")"),"Nākamais pilnmēness")</f>
        <v>Nākamais pilnmēness</v>
      </c>
      <c r="AN151" s="7" t="str">
        <f>IFERROR(__xludf.DUMMYFUNCTION("GoogleTranslate(C151, ""en"", ""lt"")"),"Kita pilnatis")</f>
        <v>Kita pilnatis</v>
      </c>
      <c r="AO151" s="7" t="str">
        <f>IFERROR(__xludf.DUMMYFUNCTION("GoogleTranslate(C151, ""en"", ""mk"")"),"Следна полна месечина")</f>
        <v>Следна полна месечина</v>
      </c>
      <c r="AP151" s="7" t="str">
        <f>IFERROR(__xludf.DUMMYFUNCTION("GoogleTranslate(C151, ""en"", ""ms"")"),"Bulan Penuh Seterusnya")</f>
        <v>Bulan Penuh Seterusnya</v>
      </c>
      <c r="AQ151" s="7" t="str">
        <f>IFERROR(__xludf.DUMMYFUNCTION("GoogleTranslate(C151, ""en"", ""ml"")"),"അടുത്ത പൂർണ്ണ ചന്ദ്രൻ")</f>
        <v>അടുത്ത പൂർണ്ണ ചന്ദ്രൻ</v>
      </c>
      <c r="AR151" s="7" t="str">
        <f>IFERROR(__xludf.DUMMYFUNCTION("GoogleTranslate(C151, ""en"", ""mr"")"),"पुढील पौर्णिमा")</f>
        <v>पुढील पौर्णिमा</v>
      </c>
      <c r="AS151" s="7" t="str">
        <f>IFERROR(__xludf.DUMMYFUNCTION("GoogleTranslate(C151, ""en"", ""mn"")"),"Дараагийн бүтэн сар")</f>
        <v>Дараагийн бүтэн сар</v>
      </c>
      <c r="AT151" s="7" t="str">
        <f>IFERROR(__xludf.DUMMYFUNCTION("GoogleTranslate(C151, ""en"", ""ne"")"),"अर्को पूर्णिमा")</f>
        <v>अर्को पूर्णिमा</v>
      </c>
      <c r="AU151" s="7" t="str">
        <f>IFERROR(__xludf.DUMMYFUNCTION("GoogleTranslate(C151, ""en"", ""nb"")"),"Neste fullmåne")</f>
        <v>Neste fullmåne</v>
      </c>
      <c r="AV151" s="7" t="str">
        <f>IFERROR(__xludf.DUMMYFUNCTION("GoogleTranslate(C151, ""en"", ""fa"")"),"ماه کامل بعدی")</f>
        <v>ماه کامل بعدی</v>
      </c>
      <c r="AW151" s="7" t="str">
        <f>IFERROR(__xludf.DUMMYFUNCTION("GoogleTranslate(C151, ""en"", ""pl"")"),"Następna pełnia księżyca")</f>
        <v>Następna pełnia księżyca</v>
      </c>
      <c r="AX151" s="7" t="str">
        <f>IFERROR(__xludf.DUMMYFUNCTION("GoogleTranslate(C151, ""en"", ""pt"")"),"Próxima Lua Cheia")</f>
        <v>Próxima Lua Cheia</v>
      </c>
      <c r="AY151" s="7" t="str">
        <f>IFERROR(__xludf.DUMMYFUNCTION("GoogleTranslate(C151, ""en"", ""ro"")"),"Următoarea lună plină")</f>
        <v>Următoarea lună plină</v>
      </c>
      <c r="AZ151" s="7" t="str">
        <f>IFERROR(__xludf.DUMMYFUNCTION("GoogleTranslate(C151, ""en"", ""ru"")"),"Следующее полнолуние")</f>
        <v>Следующее полнолуние</v>
      </c>
      <c r="BA151" s="7" t="str">
        <f>IFERROR(__xludf.DUMMYFUNCTION("GoogleTranslate(C151, ""en"", ""sr"")"),"Следећи пун месец")</f>
        <v>Следећи пун месец</v>
      </c>
      <c r="BB151" s="7" t="str">
        <f>IFERROR(__xludf.DUMMYFUNCTION("GoogleTranslate(C151, ""en"", ""si"")"),"ඊළඟ පූර්ණ චන්ද්රයා")</f>
        <v>ඊළඟ පූර්ණ චන්ද්රයා</v>
      </c>
      <c r="BC151" s="7" t="str">
        <f>IFERROR(__xludf.DUMMYFUNCTION("GoogleTranslate(C151, ""en"", ""sk"")"),"Ďalší Spln")</f>
        <v>Ďalší Spln</v>
      </c>
      <c r="BD151" s="7" t="str">
        <f>IFERROR(__xludf.DUMMYFUNCTION("GoogleTranslate(C151, ""en"", ""sl"")"),"Naslednja polna luna")</f>
        <v>Naslednja polna luna</v>
      </c>
      <c r="BE151" s="7" t="str">
        <f>IFERROR(__xludf.DUMMYFUNCTION("GoogleTranslate(C151, ""en"", ""es"")"),"Próxima luna llena")</f>
        <v>Próxima luna llena</v>
      </c>
      <c r="BF151" s="7" t="str">
        <f>IFERROR(__xludf.DUMMYFUNCTION("GoogleTranslate(C151, ""en"", ""sw"")"),"Mwezi Kamili Ujao")</f>
        <v>Mwezi Kamili Ujao</v>
      </c>
      <c r="BG151" s="7" t="str">
        <f>IFERROR(__xludf.DUMMYFUNCTION("GoogleTranslate(C151, ""en"", ""sv"")"),"Nästa fullmåne")</f>
        <v>Nästa fullmåne</v>
      </c>
      <c r="BH151" s="7" t="str">
        <f>IFERROR(__xludf.DUMMYFUNCTION("GoogleTranslate(C151, ""en"", ""te"")"),"తదుపరి పౌర్ణమి")</f>
        <v>తదుపరి పౌర్ణమి</v>
      </c>
      <c r="BI151" s="7" t="str">
        <f>IFERROR(__xludf.DUMMYFUNCTION("GoogleTranslate(C151, ""en"", ""th"")"),"พระจันทร์เต็มดวงครั้งต่อไป")</f>
        <v>พระจันทร์เต็มดวงครั้งต่อไป</v>
      </c>
      <c r="BJ151" s="7" t="str">
        <f>IFERROR(__xludf.DUMMYFUNCTION("GoogleTranslate(C151, ""en"", ""tr"")"),"Sonraki Dolunay")</f>
        <v>Sonraki Dolunay</v>
      </c>
      <c r="BK151" s="7" t="str">
        <f>IFERROR(__xludf.DUMMYFUNCTION("GoogleTranslate(C151, ""en"", ""uk"")"),"Наступний повний місяць")</f>
        <v>Наступний повний місяць</v>
      </c>
      <c r="BL151" s="7" t="str">
        <f>IFERROR(__xludf.DUMMYFUNCTION("GoogleTranslate(C151, ""en"", ""zu"")"),"Inyanga Egcwele Elandelayo")</f>
        <v>Inyanga Egcwele Elandelayo</v>
      </c>
    </row>
    <row r="152">
      <c r="A152" s="5" t="str">
        <f t="shared" si="1"/>
        <v>Next_New_Moon</v>
      </c>
      <c r="B152" s="6" t="s">
        <v>208</v>
      </c>
      <c r="C152" s="5" t="str">
        <f t="shared" si="2"/>
        <v>Next New Moon</v>
      </c>
      <c r="D152" s="7" t="str">
        <f>IFERROR(__xludf.DUMMYFUNCTION("GoogleTranslate(C152, ""en"", ""es"")"),"Próxima Luna Nueva")</f>
        <v>Próxima Luna Nueva</v>
      </c>
      <c r="E152" s="7" t="str">
        <f>IFERROR(__xludf.DUMMYFUNCTION("GoogleTranslate(C152, ""en"", ""ar"")"),"القمر الجديد القادم")</f>
        <v>القمر الجديد القادم</v>
      </c>
      <c r="F152" s="7" t="str">
        <f>IFERROR(__xludf.DUMMYFUNCTION("GoogleTranslate(C152, ""en"", ""hy"")"),"Հաջորդ Նոր լուսինը")</f>
        <v>Հաջորդ Նոր լուսինը</v>
      </c>
      <c r="G152" s="7" t="str">
        <f>IFERROR(__xludf.DUMMYFUNCTION("GoogleTranslate(C152, ""en"", ""vi"")"),"Trăng non tiếp theo")</f>
        <v>Trăng non tiếp theo</v>
      </c>
      <c r="H152" s="7" t="str">
        <f>IFERROR(__xludf.DUMMYFUNCTION("GoogleTranslate(C152, ""en"", ""az"")"),"Növbəti Yeni Ay")</f>
        <v>Növbəti Yeni Ay</v>
      </c>
      <c r="I152" s="7" t="str">
        <f>IFERROR(__xludf.DUMMYFUNCTION("GoogleTranslate(C152, ""en"", ""eu"")"),"Hurrengo Ilberria")</f>
        <v>Hurrengo Ilberria</v>
      </c>
      <c r="J152" s="7" t="str">
        <f>IFERROR(__xludf.DUMMYFUNCTION("GoogleTranslate(C152, ""en"", ""be"")"),"Наступны маладзік")</f>
        <v>Наступны маладзік</v>
      </c>
      <c r="K152" s="7" t="str">
        <f>IFERROR(__xludf.DUMMYFUNCTION("GoogleTranslate(C152, ""en"", ""bn"")"),"পরের অমাবস্যা")</f>
        <v>পরের অমাবস্যা</v>
      </c>
      <c r="L152" s="7" t="str">
        <f>IFERROR(__xludf.DUMMYFUNCTION("GoogleTranslate(C152, ""en"", ""bg"")"),"Следващото новолуние")</f>
        <v>Следващото новолуние</v>
      </c>
      <c r="M152" s="7" t="str">
        <f>IFERROR(__xludf.DUMMYFUNCTION("GoogleTranslate(C152, ""en"", ""my"")"),"နောက်လဆန်း")</f>
        <v>နောက်လဆန်း</v>
      </c>
      <c r="N152" s="7" t="str">
        <f>IFERROR(__xludf.DUMMYFUNCTION("GoogleTranslate(C152, ""en"", ""ca"")"),"La propera lluna nova")</f>
        <v>La propera lluna nova</v>
      </c>
      <c r="O152" s="7" t="str">
        <f>IFERROR(__xludf.DUMMYFUNCTION("GoogleTranslate(C152, ""en"", ""zh-cn"")"),"下一个新月")</f>
        <v>下一个新月</v>
      </c>
      <c r="P152" s="7" t="str">
        <f>IFERROR(__xludf.DUMMYFUNCTION("GoogleTranslate(C152, ""en"", ""zh-TW"")"),"下一個新月")</f>
        <v>下一個新月</v>
      </c>
      <c r="Q152" s="7" t="str">
        <f>IFERROR(__xludf.DUMMYFUNCTION("GoogleTranslate(C152, ""en"", ""hr"")"),"Sljedeći mladi mjesec")</f>
        <v>Sljedeći mladi mjesec</v>
      </c>
      <c r="R152" s="7" t="str">
        <f>IFERROR(__xludf.DUMMYFUNCTION("GoogleTranslate(C152, ""en"", ""cs"")"),"Příští novoluní")</f>
        <v>Příští novoluní</v>
      </c>
      <c r="S152" s="7" t="str">
        <f>IFERROR(__xludf.DUMMYFUNCTION("GoogleTranslate(C152, ""en"", ""da"")"),"Næste nymåne")</f>
        <v>Næste nymåne</v>
      </c>
      <c r="T152" s="7" t="str">
        <f>IFERROR(__xludf.DUMMYFUNCTION("GoogleTranslate(C152, ""en"", ""nl"")"),"Volgende Nieuwe Maan")</f>
        <v>Volgende Nieuwe Maan</v>
      </c>
      <c r="U152" s="7" t="str">
        <f>IFERROR(__xludf.DUMMYFUNCTION("GoogleTranslate(C152, ""en"", ""et"")"),"Järgmine noorkuu")</f>
        <v>Järgmine noorkuu</v>
      </c>
      <c r="V152" s="5" t="str">
        <f t="shared" si="3"/>
        <v>Next New Moon</v>
      </c>
      <c r="W152" s="7" t="str">
        <f>IFERROR(__xludf.DUMMYFUNCTION("GoogleTranslate(C152, ""en"", ""fi"")"),"Seuraava uusikuu")</f>
        <v>Seuraava uusikuu</v>
      </c>
      <c r="X152" s="7" t="str">
        <f>IFERROR(__xludf.DUMMYFUNCTION("GoogleTranslate(C152, ""en"", ""fr"")"),"Prochaine Nouvelle Lune")</f>
        <v>Prochaine Nouvelle Lune</v>
      </c>
      <c r="Y152" s="7" t="str">
        <f>IFERROR(__xludf.DUMMYFUNCTION("GoogleTranslate(C152, ""en"", ""de"")"),"Nächster Neumond")</f>
        <v>Nächster Neumond</v>
      </c>
      <c r="Z152" s="7" t="str">
        <f>IFERROR(__xludf.DUMMYFUNCTION("GoogleTranslate(C152, ""en"", ""el"")"),"Επόμενη Νέα Σελήνη")</f>
        <v>Επόμενη Νέα Σελήνη</v>
      </c>
      <c r="AA152" s="7" t="str">
        <f>IFERROR(__xludf.DUMMYFUNCTION("GoogleTranslate(C152, ""en"", ""iw"")"),"ירח חדש הבא")</f>
        <v>ירח חדש הבא</v>
      </c>
      <c r="AB152" s="7" t="str">
        <f>IFERROR(__xludf.DUMMYFUNCTION("GoogleTranslate(C152, ""en"", ""hi"")"),"अगला अमावस्या")</f>
        <v>अगला अमावस्या</v>
      </c>
      <c r="AC152" s="7" t="str">
        <f>IFERROR(__xludf.DUMMYFUNCTION("GoogleTranslate(C152, ""en"", ""hu"")"),"Következő Újhold")</f>
        <v>Következő Újhold</v>
      </c>
      <c r="AD152" s="7" t="str">
        <f>IFERROR(__xludf.DUMMYFUNCTION("GoogleTranslate(C152, ""en"", ""is"")"),"Næsta nýtt tungl")</f>
        <v>Næsta nýtt tungl</v>
      </c>
      <c r="AE152" s="7" t="str">
        <f>IFERROR(__xludf.DUMMYFUNCTION("GoogleTranslate(C152, ""en"", ""id"")"),"Bulan Baru berikutnya")</f>
        <v>Bulan Baru berikutnya</v>
      </c>
      <c r="AF152" s="7" t="str">
        <f>IFERROR(__xludf.DUMMYFUNCTION("GoogleTranslate(C152, ""en"", ""in"")"),"Bulan Baru berikutnya")</f>
        <v>Bulan Baru berikutnya</v>
      </c>
      <c r="AG152" s="7" t="str">
        <f>IFERROR(__xludf.DUMMYFUNCTION("GoogleTranslate(C152, ""en"", ""it"")"),"Prossima Luna Nuova")</f>
        <v>Prossima Luna Nuova</v>
      </c>
      <c r="AH152" s="7" t="str">
        <f>IFERROR(__xludf.DUMMYFUNCTION("GoogleTranslate(C152, ""en"", ""ja"")"),"次の新月")</f>
        <v>次の新月</v>
      </c>
      <c r="AI152" s="7" t="str">
        <f>IFERROR(__xludf.DUMMYFUNCTION("GoogleTranslate(C152, ""en"", ""kn"")"),"ಮುಂದಿನ ಅಮಾವಾಸ್ಯೆ")</f>
        <v>ಮುಂದಿನ ಅಮಾವಾಸ್ಯೆ</v>
      </c>
      <c r="AJ152" s="7" t="str">
        <f>IFERROR(__xludf.DUMMYFUNCTION("GoogleTranslate(C152, ""en"", ""km"")"),"ព្រះច័ន្ទថ្មីបន្ទាប់")</f>
        <v>ព្រះច័ន្ទថ្មីបន្ទាប់</v>
      </c>
      <c r="AK152" s="7" t="str">
        <f>IFERROR(__xludf.DUMMYFUNCTION("GoogleTranslate(C152, ""en"", ""ko"")"),"다음 뉴문")</f>
        <v>다음 뉴문</v>
      </c>
      <c r="AL152" s="7" t="str">
        <f>IFERROR(__xludf.DUMMYFUNCTION("GoogleTranslate(C152, ""en"", ""lo"")"),"ດວງເດືອນໃໝ່ຕໍ່ໄປ")</f>
        <v>ດວງເດືອນໃໝ່ຕໍ່ໄປ</v>
      </c>
      <c r="AM152" s="7" t="str">
        <f>IFERROR(__xludf.DUMMYFUNCTION("GoogleTranslate(C152, ""en"", ""lv"")"),"Nākamais Jauns Mēness")</f>
        <v>Nākamais Jauns Mēness</v>
      </c>
      <c r="AN152" s="7" t="str">
        <f>IFERROR(__xludf.DUMMYFUNCTION("GoogleTranslate(C152, ""en"", ""lt"")"),"Kitas jaunatis")</f>
        <v>Kitas jaunatis</v>
      </c>
      <c r="AO152" s="7" t="str">
        <f>IFERROR(__xludf.DUMMYFUNCTION("GoogleTranslate(C152, ""en"", ""mk"")"),"Следна нова месечина")</f>
        <v>Следна нова месечина</v>
      </c>
      <c r="AP152" s="7" t="str">
        <f>IFERROR(__xludf.DUMMYFUNCTION("GoogleTranslate(C152, ""en"", ""ms"")"),"Bulan Baru Seterusnya")</f>
        <v>Bulan Baru Seterusnya</v>
      </c>
      <c r="AQ152" s="7" t="str">
        <f>IFERROR(__xludf.DUMMYFUNCTION("GoogleTranslate(C152, ""en"", ""ml"")"),"അടുത്ത അമാവാസി")</f>
        <v>അടുത്ത അമാവാസി</v>
      </c>
      <c r="AR152" s="7" t="str">
        <f>IFERROR(__xludf.DUMMYFUNCTION("GoogleTranslate(C152, ""en"", ""mr"")"),"पुढील नवीन चंद्र")</f>
        <v>पुढील नवीन चंद्र</v>
      </c>
      <c r="AS152" s="7" t="str">
        <f>IFERROR(__xludf.DUMMYFUNCTION("GoogleTranslate(C152, ""en"", ""mn"")"),"Дараагийн шинэ сар")</f>
        <v>Дараагийн шинэ сар</v>
      </c>
      <c r="AT152" s="7" t="str">
        <f>IFERROR(__xludf.DUMMYFUNCTION("GoogleTranslate(C152, ""en"", ""ne"")"),"अर्को नयाँ चन्द्रमा")</f>
        <v>अर्को नयाँ चन्द्रमा</v>
      </c>
      <c r="AU152" s="7" t="str">
        <f>IFERROR(__xludf.DUMMYFUNCTION("GoogleTranslate(C152, ""en"", ""nb"")"),"Neste nymåne")</f>
        <v>Neste nymåne</v>
      </c>
      <c r="AV152" s="7" t="str">
        <f>IFERROR(__xludf.DUMMYFUNCTION("GoogleTranslate(C152, ""en"", ""fa"")"),"ماه نو بعدی")</f>
        <v>ماه نو بعدی</v>
      </c>
      <c r="AW152" s="7" t="str">
        <f>IFERROR(__xludf.DUMMYFUNCTION("GoogleTranslate(C152, ""en"", ""pl"")"),"Następny Księżyc w nowiu")</f>
        <v>Następny Księżyc w nowiu</v>
      </c>
      <c r="AX152" s="7" t="str">
        <f>IFERROR(__xludf.DUMMYFUNCTION("GoogleTranslate(C152, ""en"", ""pt"")"),"Próxima Lua Nova")</f>
        <v>Próxima Lua Nova</v>
      </c>
      <c r="AY152" s="7" t="str">
        <f>IFERROR(__xludf.DUMMYFUNCTION("GoogleTranslate(C152, ""en"", ""ro"")"),"Următoarea Lună Nouă")</f>
        <v>Următoarea Lună Nouă</v>
      </c>
      <c r="AZ152" s="7" t="str">
        <f>IFERROR(__xludf.DUMMYFUNCTION("GoogleTranslate(C152, ""en"", ""ru"")"),"Следующее новолуние")</f>
        <v>Следующее новолуние</v>
      </c>
      <c r="BA152" s="7" t="str">
        <f>IFERROR(__xludf.DUMMYFUNCTION("GoogleTranslate(C152, ""en"", ""sr"")"),"Следећи млад месец")</f>
        <v>Следећи млад месец</v>
      </c>
      <c r="BB152" s="7" t="str">
        <f>IFERROR(__xludf.DUMMYFUNCTION("GoogleTranslate(C152, ""en"", ""si"")"),"ඊළඟ නව සඳ")</f>
        <v>ඊළඟ නව සඳ</v>
      </c>
      <c r="BC152" s="7" t="str">
        <f>IFERROR(__xludf.DUMMYFUNCTION("GoogleTranslate(C152, ""en"", ""sk"")"),"Ďalší Nový Mesiac")</f>
        <v>Ďalší Nový Mesiac</v>
      </c>
      <c r="BD152" s="7" t="str">
        <f>IFERROR(__xludf.DUMMYFUNCTION("GoogleTranslate(C152, ""en"", ""sl"")"),"Naslednja mlada luna")</f>
        <v>Naslednja mlada luna</v>
      </c>
      <c r="BE152" s="7" t="str">
        <f>IFERROR(__xludf.DUMMYFUNCTION("GoogleTranslate(C152, ""en"", ""es"")"),"Próxima Luna Nueva")</f>
        <v>Próxima Luna Nueva</v>
      </c>
      <c r="BF152" s="7" t="str">
        <f>IFERROR(__xludf.DUMMYFUNCTION("GoogleTranslate(C152, ""en"", ""sw"")"),"Mwezi Mpya Ujao")</f>
        <v>Mwezi Mpya Ujao</v>
      </c>
      <c r="BG152" s="7" t="str">
        <f>IFERROR(__xludf.DUMMYFUNCTION("GoogleTranslate(C152, ""en"", ""sv"")"),"Nästa nymåne")</f>
        <v>Nästa nymåne</v>
      </c>
      <c r="BH152" s="7" t="str">
        <f>IFERROR(__xludf.DUMMYFUNCTION("GoogleTranslate(C152, ""en"", ""te"")"),"తదుపరి అమావాస్య")</f>
        <v>తదుపరి అమావాస్య</v>
      </c>
      <c r="BI152" s="7" t="str">
        <f>IFERROR(__xludf.DUMMYFUNCTION("GoogleTranslate(C152, ""en"", ""th"")"),"พระจันทร์ใหม่ถัดไป")</f>
        <v>พระจันทร์ใหม่ถัดไป</v>
      </c>
      <c r="BJ152" s="7" t="str">
        <f>IFERROR(__xludf.DUMMYFUNCTION("GoogleTranslate(C152, ""en"", ""tr"")"),"Sonraki Yeni Ay")</f>
        <v>Sonraki Yeni Ay</v>
      </c>
      <c r="BK152" s="7" t="str">
        <f>IFERROR(__xludf.DUMMYFUNCTION("GoogleTranslate(C152, ""en"", ""uk"")"),"Наступний молодий місяць")</f>
        <v>Наступний молодий місяць</v>
      </c>
      <c r="BL152" s="7" t="str">
        <f>IFERROR(__xludf.DUMMYFUNCTION("GoogleTranslate(C152, ""en"", ""zu"")"),"Inyanga Entsha Elandelayo")</f>
        <v>Inyanga Entsha Elandelayo</v>
      </c>
    </row>
    <row r="153">
      <c r="A153" s="5" t="str">
        <f t="shared" si="1"/>
        <v>Distance</v>
      </c>
      <c r="B153" s="6" t="s">
        <v>209</v>
      </c>
      <c r="C153" s="5" t="str">
        <f t="shared" si="2"/>
        <v>Distance</v>
      </c>
      <c r="D153" s="7" t="str">
        <f>IFERROR(__xludf.DUMMYFUNCTION("GoogleTranslate(C153, ""en"", ""es"")"),"Distancia")</f>
        <v>Distancia</v>
      </c>
      <c r="E153" s="7" t="str">
        <f>IFERROR(__xludf.DUMMYFUNCTION("GoogleTranslate(C153, ""en"", ""ar"")"),"مسافة")</f>
        <v>مسافة</v>
      </c>
      <c r="F153" s="7" t="str">
        <f>IFERROR(__xludf.DUMMYFUNCTION("GoogleTranslate(C153, ""en"", ""hy"")"),"Հեռավորությունը")</f>
        <v>Հեռավորությունը</v>
      </c>
      <c r="G153" s="7" t="str">
        <f>IFERROR(__xludf.DUMMYFUNCTION("GoogleTranslate(C153, ""en"", ""vi"")"),"Khoảng cách")</f>
        <v>Khoảng cách</v>
      </c>
      <c r="H153" s="7" t="str">
        <f>IFERROR(__xludf.DUMMYFUNCTION("GoogleTranslate(C153, ""en"", ""az"")"),"Məsafə")</f>
        <v>Məsafə</v>
      </c>
      <c r="I153" s="7" t="str">
        <f>IFERROR(__xludf.DUMMYFUNCTION("GoogleTranslate(C153, ""en"", ""eu"")"),"Distantzia")</f>
        <v>Distantzia</v>
      </c>
      <c r="J153" s="7" t="str">
        <f>IFERROR(__xludf.DUMMYFUNCTION("GoogleTranslate(C153, ""en"", ""be"")"),"Дыстанцыя")</f>
        <v>Дыстанцыя</v>
      </c>
      <c r="K153" s="7" t="str">
        <f>IFERROR(__xludf.DUMMYFUNCTION("GoogleTranslate(C153, ""en"", ""bn"")"),"দূরত্ব")</f>
        <v>দূরত্ব</v>
      </c>
      <c r="L153" s="7" t="str">
        <f>IFERROR(__xludf.DUMMYFUNCTION("GoogleTranslate(C153, ""en"", ""bg"")"),"Разстояние")</f>
        <v>Разстояние</v>
      </c>
      <c r="M153" s="7" t="str">
        <f>IFERROR(__xludf.DUMMYFUNCTION("GoogleTranslate(C153, ""en"", ""my"")"),"အကွာအဝေး")</f>
        <v>အကွာအဝေး</v>
      </c>
      <c r="N153" s="7" t="str">
        <f>IFERROR(__xludf.DUMMYFUNCTION("GoogleTranslate(C153, ""en"", ""ca"")"),"Distància")</f>
        <v>Distància</v>
      </c>
      <c r="O153" s="7" t="str">
        <f>IFERROR(__xludf.DUMMYFUNCTION("GoogleTranslate(C153, ""en"", ""zh-cn"")"),"距离")</f>
        <v>距离</v>
      </c>
      <c r="P153" s="7" t="str">
        <f>IFERROR(__xludf.DUMMYFUNCTION("GoogleTranslate(C153, ""en"", ""zh-TW"")"),"距離")</f>
        <v>距離</v>
      </c>
      <c r="Q153" s="7" t="str">
        <f>IFERROR(__xludf.DUMMYFUNCTION("GoogleTranslate(C153, ""en"", ""hr"")"),"Udaljenost")</f>
        <v>Udaljenost</v>
      </c>
      <c r="R153" s="7" t="str">
        <f>IFERROR(__xludf.DUMMYFUNCTION("GoogleTranslate(C153, ""en"", ""cs"")"),"Vzdálenost")</f>
        <v>Vzdálenost</v>
      </c>
      <c r="S153" s="7" t="str">
        <f>IFERROR(__xludf.DUMMYFUNCTION("GoogleTranslate(C153, ""en"", ""da"")"),"Afstand")</f>
        <v>Afstand</v>
      </c>
      <c r="T153" s="7" t="str">
        <f>IFERROR(__xludf.DUMMYFUNCTION("GoogleTranslate(C153, ""en"", ""nl"")"),"Afstand")</f>
        <v>Afstand</v>
      </c>
      <c r="U153" s="7" t="str">
        <f>IFERROR(__xludf.DUMMYFUNCTION("GoogleTranslate(C153, ""en"", ""et"")"),"Kaugus")</f>
        <v>Kaugus</v>
      </c>
      <c r="V153" s="5" t="str">
        <f t="shared" si="3"/>
        <v>Distance</v>
      </c>
      <c r="W153" s="7" t="str">
        <f>IFERROR(__xludf.DUMMYFUNCTION("GoogleTranslate(C153, ""en"", ""fi"")"),"Etäisyys")</f>
        <v>Etäisyys</v>
      </c>
      <c r="X153" s="7" t="str">
        <f>IFERROR(__xludf.DUMMYFUNCTION("GoogleTranslate(C153, ""en"", ""fr"")"),"Distance")</f>
        <v>Distance</v>
      </c>
      <c r="Y153" s="7" t="str">
        <f>IFERROR(__xludf.DUMMYFUNCTION("GoogleTranslate(C153, ""en"", ""de"")"),"Distanz")</f>
        <v>Distanz</v>
      </c>
      <c r="Z153" s="7" t="str">
        <f>IFERROR(__xludf.DUMMYFUNCTION("GoogleTranslate(C153, ""en"", ""el"")"),"Απόσταση")</f>
        <v>Απόσταση</v>
      </c>
      <c r="AA153" s="7" t="str">
        <f>IFERROR(__xludf.DUMMYFUNCTION("GoogleTranslate(C153, ""en"", ""iw"")"),"מֶרְחָק")</f>
        <v>מֶרְחָק</v>
      </c>
      <c r="AB153" s="7" t="str">
        <f>IFERROR(__xludf.DUMMYFUNCTION("GoogleTranslate(C153, ""en"", ""hi"")"),"दूरी")</f>
        <v>दूरी</v>
      </c>
      <c r="AC153" s="7" t="str">
        <f>IFERROR(__xludf.DUMMYFUNCTION("GoogleTranslate(C153, ""en"", ""hu"")"),"Távolság")</f>
        <v>Távolság</v>
      </c>
      <c r="AD153" s="7" t="str">
        <f>IFERROR(__xludf.DUMMYFUNCTION("GoogleTranslate(C153, ""en"", ""is"")"),"Fjarlægð")</f>
        <v>Fjarlægð</v>
      </c>
      <c r="AE153" s="7" t="str">
        <f>IFERROR(__xludf.DUMMYFUNCTION("GoogleTranslate(C153, ""en"", ""id"")"),"Jarak")</f>
        <v>Jarak</v>
      </c>
      <c r="AF153" s="7" t="str">
        <f>IFERROR(__xludf.DUMMYFUNCTION("GoogleTranslate(C153, ""en"", ""in"")"),"Jarak")</f>
        <v>Jarak</v>
      </c>
      <c r="AG153" s="7" t="str">
        <f>IFERROR(__xludf.DUMMYFUNCTION("GoogleTranslate(C153, ""en"", ""it"")"),"Distanza")</f>
        <v>Distanza</v>
      </c>
      <c r="AH153" s="7" t="str">
        <f>IFERROR(__xludf.DUMMYFUNCTION("GoogleTranslate(C153, ""en"", ""ja"")"),"距離")</f>
        <v>距離</v>
      </c>
      <c r="AI153" s="7" t="str">
        <f>IFERROR(__xludf.DUMMYFUNCTION("GoogleTranslate(C153, ""en"", ""kn"")"),"ದೂರ")</f>
        <v>ದೂರ</v>
      </c>
      <c r="AJ153" s="7" t="str">
        <f>IFERROR(__xludf.DUMMYFUNCTION("GoogleTranslate(C153, ""en"", ""km"")"),"ចម្ងាយ")</f>
        <v>ចម្ងាយ</v>
      </c>
      <c r="AK153" s="7" t="str">
        <f>IFERROR(__xludf.DUMMYFUNCTION("GoogleTranslate(C153, ""en"", ""ko"")"),"거리")</f>
        <v>거리</v>
      </c>
      <c r="AL153" s="7" t="str">
        <f>IFERROR(__xludf.DUMMYFUNCTION("GoogleTranslate(C153, ""en"", ""lo"")"),"ໄລຍະທາງ")</f>
        <v>ໄລຍະທາງ</v>
      </c>
      <c r="AM153" s="7" t="str">
        <f>IFERROR(__xludf.DUMMYFUNCTION("GoogleTranslate(C153, ""en"", ""lv"")"),"Attālums")</f>
        <v>Attālums</v>
      </c>
      <c r="AN153" s="7" t="str">
        <f>IFERROR(__xludf.DUMMYFUNCTION("GoogleTranslate(C153, ""en"", ""lt"")"),"Atstumas")</f>
        <v>Atstumas</v>
      </c>
      <c r="AO153" s="7" t="str">
        <f>IFERROR(__xludf.DUMMYFUNCTION("GoogleTranslate(C153, ""en"", ""mk"")"),"Растојание")</f>
        <v>Растојание</v>
      </c>
      <c r="AP153" s="7" t="str">
        <f>IFERROR(__xludf.DUMMYFUNCTION("GoogleTranslate(C153, ""en"", ""ms"")"),"Jarak")</f>
        <v>Jarak</v>
      </c>
      <c r="AQ153" s="7" t="str">
        <f>IFERROR(__xludf.DUMMYFUNCTION("GoogleTranslate(C153, ""en"", ""ml"")"),"ദൂരം")</f>
        <v>ദൂരം</v>
      </c>
      <c r="AR153" s="7" t="str">
        <f>IFERROR(__xludf.DUMMYFUNCTION("GoogleTranslate(C153, ""en"", ""mr"")"),"अंतर")</f>
        <v>अंतर</v>
      </c>
      <c r="AS153" s="7" t="str">
        <f>IFERROR(__xludf.DUMMYFUNCTION("GoogleTranslate(C153, ""en"", ""mn"")"),"Зай")</f>
        <v>Зай</v>
      </c>
      <c r="AT153" s="7" t="str">
        <f>IFERROR(__xludf.DUMMYFUNCTION("GoogleTranslate(C153, ""en"", ""ne"")"),"दूरी")</f>
        <v>दूरी</v>
      </c>
      <c r="AU153" s="7" t="str">
        <f>IFERROR(__xludf.DUMMYFUNCTION("GoogleTranslate(C153, ""en"", ""nb"")"),"Avstand")</f>
        <v>Avstand</v>
      </c>
      <c r="AV153" s="7" t="str">
        <f>IFERROR(__xludf.DUMMYFUNCTION("GoogleTranslate(C153, ""en"", ""fa"")"),"فاصله")</f>
        <v>فاصله</v>
      </c>
      <c r="AW153" s="7" t="str">
        <f>IFERROR(__xludf.DUMMYFUNCTION("GoogleTranslate(C153, ""en"", ""pl"")"),"Dystans")</f>
        <v>Dystans</v>
      </c>
      <c r="AX153" s="7" t="str">
        <f>IFERROR(__xludf.DUMMYFUNCTION("GoogleTranslate(C153, ""en"", ""pt"")"),"Distância")</f>
        <v>Distância</v>
      </c>
      <c r="AY153" s="7" t="str">
        <f>IFERROR(__xludf.DUMMYFUNCTION("GoogleTranslate(C153, ""en"", ""ro"")"),"Distanţă")</f>
        <v>Distanţă</v>
      </c>
      <c r="AZ153" s="7" t="str">
        <f>IFERROR(__xludf.DUMMYFUNCTION("GoogleTranslate(C153, ""en"", ""ru"")"),"Расстояние")</f>
        <v>Расстояние</v>
      </c>
      <c r="BA153" s="7" t="str">
        <f>IFERROR(__xludf.DUMMYFUNCTION("GoogleTranslate(C153, ""en"", ""sr"")"),"Удаљеност")</f>
        <v>Удаљеност</v>
      </c>
      <c r="BB153" s="7" t="str">
        <f>IFERROR(__xludf.DUMMYFUNCTION("GoogleTranslate(C153, ""en"", ""si"")"),"දුර")</f>
        <v>දුර</v>
      </c>
      <c r="BC153" s="7" t="str">
        <f>IFERROR(__xludf.DUMMYFUNCTION("GoogleTranslate(C153, ""en"", ""sk"")"),"Vzdialenosť")</f>
        <v>Vzdialenosť</v>
      </c>
      <c r="BD153" s="7" t="str">
        <f>IFERROR(__xludf.DUMMYFUNCTION("GoogleTranslate(C153, ""en"", ""sl"")"),"Razdalja")</f>
        <v>Razdalja</v>
      </c>
      <c r="BE153" s="7" t="str">
        <f>IFERROR(__xludf.DUMMYFUNCTION("GoogleTranslate(C153, ""en"", ""es"")"),"Distancia")</f>
        <v>Distancia</v>
      </c>
      <c r="BF153" s="7" t="str">
        <f>IFERROR(__xludf.DUMMYFUNCTION("GoogleTranslate(C153, ""en"", ""sw"")"),"Umbali")</f>
        <v>Umbali</v>
      </c>
      <c r="BG153" s="7" t="str">
        <f>IFERROR(__xludf.DUMMYFUNCTION("GoogleTranslate(C153, ""en"", ""sv"")"),"Avstånd")</f>
        <v>Avstånd</v>
      </c>
      <c r="BH153" s="7" t="str">
        <f>IFERROR(__xludf.DUMMYFUNCTION("GoogleTranslate(C153, ""en"", ""te"")"),"దూరం")</f>
        <v>దూరం</v>
      </c>
      <c r="BI153" s="7" t="str">
        <f>IFERROR(__xludf.DUMMYFUNCTION("GoogleTranslate(C153, ""en"", ""th"")"),"ระยะทาง")</f>
        <v>ระยะทาง</v>
      </c>
      <c r="BJ153" s="7" t="str">
        <f>IFERROR(__xludf.DUMMYFUNCTION("GoogleTranslate(C153, ""en"", ""tr"")"),"Mesafe")</f>
        <v>Mesafe</v>
      </c>
      <c r="BK153" s="7" t="str">
        <f>IFERROR(__xludf.DUMMYFUNCTION("GoogleTranslate(C153, ""en"", ""uk"")"),"Відстань")</f>
        <v>Відстань</v>
      </c>
      <c r="BL153" s="7" t="str">
        <f>IFERROR(__xludf.DUMMYFUNCTION("GoogleTranslate(C153, ""en"", ""zu"")"),"Ibanga")</f>
        <v>Ibanga</v>
      </c>
    </row>
    <row r="154">
      <c r="A154" s="5" t="str">
        <f t="shared" si="1"/>
        <v>New_Moon</v>
      </c>
      <c r="B154" s="6" t="s">
        <v>210</v>
      </c>
      <c r="C154" s="5" t="str">
        <f t="shared" si="2"/>
        <v>New Moon</v>
      </c>
      <c r="D154" s="7" t="str">
        <f>IFERROR(__xludf.DUMMYFUNCTION("GoogleTranslate(C154, ""en"", ""es"")"),"Luna nueva")</f>
        <v>Luna nueva</v>
      </c>
      <c r="E154" s="7" t="str">
        <f>IFERROR(__xludf.DUMMYFUNCTION("GoogleTranslate(C154, ""en"", ""ar"")"),"القمر الجديد")</f>
        <v>القمر الجديد</v>
      </c>
      <c r="F154" s="7" t="str">
        <f>IFERROR(__xludf.DUMMYFUNCTION("GoogleTranslate(C154, ""en"", ""hy"")"),"Նոր Լուսին")</f>
        <v>Նոր Լուսին</v>
      </c>
      <c r="G154" s="7" t="str">
        <f>IFERROR(__xludf.DUMMYFUNCTION("GoogleTranslate(C154, ""en"", ""vi"")"),"Trăng non")</f>
        <v>Trăng non</v>
      </c>
      <c r="H154" s="7" t="str">
        <f>IFERROR(__xludf.DUMMYFUNCTION("GoogleTranslate(C154, ""en"", ""az"")"),"Yeni Ay")</f>
        <v>Yeni Ay</v>
      </c>
      <c r="I154" s="7" t="str">
        <f>IFERROR(__xludf.DUMMYFUNCTION("GoogleTranslate(C154, ""en"", ""eu"")"),"Ilberria")</f>
        <v>Ilberria</v>
      </c>
      <c r="J154" s="7" t="str">
        <f>IFERROR(__xludf.DUMMYFUNCTION("GoogleTranslate(C154, ""en"", ""be"")"),"Маладзік")</f>
        <v>Маладзік</v>
      </c>
      <c r="K154" s="7" t="str">
        <f>IFERROR(__xludf.DUMMYFUNCTION("GoogleTranslate(C154, ""en"", ""bn"")"),"অমাবস্যা")</f>
        <v>অমাবস্যা</v>
      </c>
      <c r="L154" s="7" t="str">
        <f>IFERROR(__xludf.DUMMYFUNCTION("GoogleTranslate(C154, ""en"", ""bg"")"),"Новолуние")</f>
        <v>Новолуние</v>
      </c>
      <c r="M154" s="7" t="str">
        <f>IFERROR(__xludf.DUMMYFUNCTION("GoogleTranslate(C154, ""en"", ""my"")"),"လဆန်း")</f>
        <v>လဆန်း</v>
      </c>
      <c r="N154" s="7" t="str">
        <f>IFERROR(__xludf.DUMMYFUNCTION("GoogleTranslate(C154, ""en"", ""ca"")"),"Lluna nova")</f>
        <v>Lluna nova</v>
      </c>
      <c r="O154" s="7" t="str">
        <f>IFERROR(__xludf.DUMMYFUNCTION("GoogleTranslate(C154, ""en"", ""zh-cn"")"),"新月")</f>
        <v>新月</v>
      </c>
      <c r="P154" s="7" t="str">
        <f>IFERROR(__xludf.DUMMYFUNCTION("GoogleTranslate(C154, ""en"", ""zh-TW"")"),"新月")</f>
        <v>新月</v>
      </c>
      <c r="Q154" s="7" t="str">
        <f>IFERROR(__xludf.DUMMYFUNCTION("GoogleTranslate(C154, ""en"", ""hr"")"),"mladi mjesec")</f>
        <v>mladi mjesec</v>
      </c>
      <c r="R154" s="7" t="str">
        <f>IFERROR(__xludf.DUMMYFUNCTION("GoogleTranslate(C154, ""en"", ""cs"")"),"Novoluní")</f>
        <v>Novoluní</v>
      </c>
      <c r="S154" s="7" t="str">
        <f>IFERROR(__xludf.DUMMYFUNCTION("GoogleTranslate(C154, ""en"", ""da"")"),"Nymåne")</f>
        <v>Nymåne</v>
      </c>
      <c r="T154" s="7" t="str">
        <f>IFERROR(__xludf.DUMMYFUNCTION("GoogleTranslate(C154, ""en"", ""nl"")"),"Nieuwe maan")</f>
        <v>Nieuwe maan</v>
      </c>
      <c r="U154" s="7" t="str">
        <f>IFERROR(__xludf.DUMMYFUNCTION("GoogleTranslate(C154, ""en"", ""et"")"),"Noorkuu")</f>
        <v>Noorkuu</v>
      </c>
      <c r="V154" s="5" t="str">
        <f t="shared" si="3"/>
        <v>New Moon</v>
      </c>
      <c r="W154" s="7" t="str">
        <f>IFERROR(__xludf.DUMMYFUNCTION("GoogleTranslate(C154, ""en"", ""fi"")"),"Uusi kuu")</f>
        <v>Uusi kuu</v>
      </c>
      <c r="X154" s="7" t="str">
        <f>IFERROR(__xludf.DUMMYFUNCTION("GoogleTranslate(C154, ""en"", ""fr"")"),"Nouvelle lune")</f>
        <v>Nouvelle lune</v>
      </c>
      <c r="Y154" s="7" t="str">
        <f>IFERROR(__xludf.DUMMYFUNCTION("GoogleTranslate(C154, ""en"", ""de"")"),"Neumond")</f>
        <v>Neumond</v>
      </c>
      <c r="Z154" s="7" t="str">
        <f>IFERROR(__xludf.DUMMYFUNCTION("GoogleTranslate(C154, ""en"", ""el"")"),"Νέα Σελήνη")</f>
        <v>Νέα Σελήνη</v>
      </c>
      <c r="AA154" s="7" t="str">
        <f>IFERROR(__xludf.DUMMYFUNCTION("GoogleTranslate(C154, ""en"", ""iw"")"),"רֹאשׁ חוֹדֶשׁ")</f>
        <v>רֹאשׁ חוֹדֶשׁ</v>
      </c>
      <c r="AB154" s="7" t="str">
        <f>IFERROR(__xludf.DUMMYFUNCTION("GoogleTranslate(C154, ""en"", ""hi"")"),"अमावस्या")</f>
        <v>अमावस्या</v>
      </c>
      <c r="AC154" s="7" t="str">
        <f>IFERROR(__xludf.DUMMYFUNCTION("GoogleTranslate(C154, ""en"", ""hu"")"),"Újhold")</f>
        <v>Újhold</v>
      </c>
      <c r="AD154" s="7" t="str">
        <f>IFERROR(__xludf.DUMMYFUNCTION("GoogleTranslate(C154, ""en"", ""is"")"),"Nýtt tungl")</f>
        <v>Nýtt tungl</v>
      </c>
      <c r="AE154" s="7" t="str">
        <f>IFERROR(__xludf.DUMMYFUNCTION("GoogleTranslate(C154, ""en"", ""id"")"),"Bulan Baru")</f>
        <v>Bulan Baru</v>
      </c>
      <c r="AF154" s="7" t="str">
        <f>IFERROR(__xludf.DUMMYFUNCTION("GoogleTranslate(C154, ""en"", ""in"")"),"Bulan Baru")</f>
        <v>Bulan Baru</v>
      </c>
      <c r="AG154" s="7" t="str">
        <f>IFERROR(__xludf.DUMMYFUNCTION("GoogleTranslate(C154, ""en"", ""it"")"),"Luna Nuova")</f>
        <v>Luna Nuova</v>
      </c>
      <c r="AH154" s="7" t="str">
        <f>IFERROR(__xludf.DUMMYFUNCTION("GoogleTranslate(C154, ""en"", ""ja"")"),"新月")</f>
        <v>新月</v>
      </c>
      <c r="AI154" s="7" t="str">
        <f>IFERROR(__xludf.DUMMYFUNCTION("GoogleTranslate(C154, ""en"", ""kn"")"),"ಅಮಾವಾಸ್ಯೆ")</f>
        <v>ಅಮಾವಾಸ್ಯೆ</v>
      </c>
      <c r="AJ154" s="7" t="str">
        <f>IFERROR(__xludf.DUMMYFUNCTION("GoogleTranslate(C154, ""en"", ""km"")"),"ព្រះច័ន្ទថ្មី។")</f>
        <v>ព្រះច័ន្ទថ្មី។</v>
      </c>
      <c r="AK154" s="7" t="str">
        <f>IFERROR(__xludf.DUMMYFUNCTION("GoogleTranslate(C154, ""en"", ""ko"")"),"초승달")</f>
        <v>초승달</v>
      </c>
      <c r="AL154" s="7" t="str">
        <f>IFERROR(__xludf.DUMMYFUNCTION("GoogleTranslate(C154, ""en"", ""lo"")"),"ເດືອນໃໝ່")</f>
        <v>ເດືອນໃໝ່</v>
      </c>
      <c r="AM154" s="7" t="str">
        <f>IFERROR(__xludf.DUMMYFUNCTION("GoogleTranslate(C154, ""en"", ""lv"")"),"Jauns Mēness")</f>
        <v>Jauns Mēness</v>
      </c>
      <c r="AN154" s="7" t="str">
        <f>IFERROR(__xludf.DUMMYFUNCTION("GoogleTranslate(C154, ""en"", ""lt"")"),"Jaunatis")</f>
        <v>Jaunatis</v>
      </c>
      <c r="AO154" s="7" t="str">
        <f>IFERROR(__xludf.DUMMYFUNCTION("GoogleTranslate(C154, ""en"", ""mk"")"),"млада месечина")</f>
        <v>млада месечина</v>
      </c>
      <c r="AP154" s="7" t="str">
        <f>IFERROR(__xludf.DUMMYFUNCTION("GoogleTranslate(C154, ""en"", ""ms"")"),"Bulan Baru")</f>
        <v>Bulan Baru</v>
      </c>
      <c r="AQ154" s="7" t="str">
        <f>IFERROR(__xludf.DUMMYFUNCTION("GoogleTranslate(C154, ""en"", ""ml"")"),"അമാവാസി")</f>
        <v>അമാവാസി</v>
      </c>
      <c r="AR154" s="7" t="str">
        <f>IFERROR(__xludf.DUMMYFUNCTION("GoogleTranslate(C154, ""en"", ""mr"")"),"अमावस्या")</f>
        <v>अमावस्या</v>
      </c>
      <c r="AS154" s="7" t="str">
        <f>IFERROR(__xludf.DUMMYFUNCTION("GoogleTranslate(C154, ""en"", ""mn"")"),"Шинэ сар")</f>
        <v>Шинэ сар</v>
      </c>
      <c r="AT154" s="7" t="str">
        <f>IFERROR(__xludf.DUMMYFUNCTION("GoogleTranslate(C154, ""en"", ""ne"")"),"नयाँ चन्द्र")</f>
        <v>नयाँ चन्द्र</v>
      </c>
      <c r="AU154" s="7" t="str">
        <f>IFERROR(__xludf.DUMMYFUNCTION("GoogleTranslate(C154, ""en"", ""nb"")"),"Nymåne")</f>
        <v>Nymåne</v>
      </c>
      <c r="AV154" s="7" t="str">
        <f>IFERROR(__xludf.DUMMYFUNCTION("GoogleTranslate(C154, ""en"", ""fa"")"),"ماه نو")</f>
        <v>ماه نو</v>
      </c>
      <c r="AW154" s="7" t="str">
        <f>IFERROR(__xludf.DUMMYFUNCTION("GoogleTranslate(C154, ""en"", ""pl"")"),"Nówy księżyc")</f>
        <v>Nówy księżyc</v>
      </c>
      <c r="AX154" s="7" t="str">
        <f>IFERROR(__xludf.DUMMYFUNCTION("GoogleTranslate(C154, ""en"", ""pt"")"),"Lua nova")</f>
        <v>Lua nova</v>
      </c>
      <c r="AY154" s="7" t="str">
        <f>IFERROR(__xludf.DUMMYFUNCTION("GoogleTranslate(C154, ""en"", ""ro"")"),"Lună nouă")</f>
        <v>Lună nouă</v>
      </c>
      <c r="AZ154" s="7" t="str">
        <f>IFERROR(__xludf.DUMMYFUNCTION("GoogleTranslate(C154, ""en"", ""ru"")"),"Новолуние")</f>
        <v>Новолуние</v>
      </c>
      <c r="BA154" s="7" t="str">
        <f>IFERROR(__xludf.DUMMYFUNCTION("GoogleTranslate(C154, ""en"", ""sr"")"),"Млад Месец")</f>
        <v>Млад Месец</v>
      </c>
      <c r="BB154" s="7" t="str">
        <f>IFERROR(__xludf.DUMMYFUNCTION("GoogleTranslate(C154, ""en"", ""si"")"),"නව සඳ")</f>
        <v>නව සඳ</v>
      </c>
      <c r="BC154" s="7" t="str">
        <f>IFERROR(__xludf.DUMMYFUNCTION("GoogleTranslate(C154, ""en"", ""sk"")"),"Nový Mesiac")</f>
        <v>Nový Mesiac</v>
      </c>
      <c r="BD154" s="7" t="str">
        <f>IFERROR(__xludf.DUMMYFUNCTION("GoogleTranslate(C154, ""en"", ""sl"")"),"Nova luna")</f>
        <v>Nova luna</v>
      </c>
      <c r="BE154" s="7" t="str">
        <f>IFERROR(__xludf.DUMMYFUNCTION("GoogleTranslate(C154, ""en"", ""es"")"),"Luna nueva")</f>
        <v>Luna nueva</v>
      </c>
      <c r="BF154" s="7" t="str">
        <f>IFERROR(__xludf.DUMMYFUNCTION("GoogleTranslate(C154, ""en"", ""sw"")"),"Mwezi Mpya")</f>
        <v>Mwezi Mpya</v>
      </c>
      <c r="BG154" s="7" t="str">
        <f>IFERROR(__xludf.DUMMYFUNCTION("GoogleTranslate(C154, ""en"", ""sv"")"),"Nymåne")</f>
        <v>Nymåne</v>
      </c>
      <c r="BH154" s="7" t="str">
        <f>IFERROR(__xludf.DUMMYFUNCTION("GoogleTranslate(C154, ""en"", ""te"")"),"అమావాస్య")</f>
        <v>అమావాస్య</v>
      </c>
      <c r="BI154" s="7" t="str">
        <f>IFERROR(__xludf.DUMMYFUNCTION("GoogleTranslate(C154, ""en"", ""th"")"),"นิวมูน")</f>
        <v>นิวมูน</v>
      </c>
      <c r="BJ154" s="7" t="str">
        <f>IFERROR(__xludf.DUMMYFUNCTION("GoogleTranslate(C154, ""en"", ""tr"")"),"Yeni ay")</f>
        <v>Yeni ay</v>
      </c>
      <c r="BK154" s="7" t="str">
        <f>IFERROR(__xludf.DUMMYFUNCTION("GoogleTranslate(C154, ""en"", ""uk"")"),"Молодик")</f>
        <v>Молодик</v>
      </c>
      <c r="BL154" s="7" t="str">
        <f>IFERROR(__xludf.DUMMYFUNCTION("GoogleTranslate(C154, ""en"", ""zu"")"),"Inyanga Entsha")</f>
        <v>Inyanga Entsha</v>
      </c>
    </row>
    <row r="155">
      <c r="A155" s="5" t="str">
        <f t="shared" si="1"/>
        <v>Waxing_Crescent</v>
      </c>
      <c r="B155" s="6" t="s">
        <v>211</v>
      </c>
      <c r="C155" s="5" t="str">
        <f t="shared" si="2"/>
        <v>Waxing Crescent</v>
      </c>
      <c r="D155" s="7" t="str">
        <f>IFERROR(__xludf.DUMMYFUNCTION("GoogleTranslate(C155, ""en"", ""es"")"),"Media luna creciente")</f>
        <v>Media luna creciente</v>
      </c>
      <c r="E155" s="7" t="str">
        <f>IFERROR(__xludf.DUMMYFUNCTION("GoogleTranslate(C155, ""en"", ""ar"")"),"الهلال المصبح")</f>
        <v>الهلال المصبح</v>
      </c>
      <c r="F155" s="7" t="str">
        <f>IFERROR(__xludf.DUMMYFUNCTION("GoogleTranslate(C155, ""en"", ""hy"")"),"Էպիլյացիոն կիսալուսին")</f>
        <v>Էպիլյացիոն կիսալուսին</v>
      </c>
      <c r="G155" s="7" t="str">
        <f>IFERROR(__xludf.DUMMYFUNCTION("GoogleTranslate(C155, ""en"", ""vi"")"),"Lưỡi liềm sáp")</f>
        <v>Lưỡi liềm sáp</v>
      </c>
      <c r="H155" s="7" t="str">
        <f>IFERROR(__xludf.DUMMYFUNCTION("GoogleTranslate(C155, ""en"", ""az"")"),"Balmumu Aypara")</f>
        <v>Balmumu Aypara</v>
      </c>
      <c r="I155" s="7" t="str">
        <f>IFERROR(__xludf.DUMMYFUNCTION("GoogleTranslate(C155, ""en"", ""eu"")"),"Argizari Ilargia")</f>
        <v>Argizari Ilargia</v>
      </c>
      <c r="J155" s="7" t="str">
        <f>IFERROR(__xludf.DUMMYFUNCTION("GoogleTranslate(C155, ""en"", ""be"")"),"Нарастаючы паўмесяц")</f>
        <v>Нарастаючы паўмесяц</v>
      </c>
      <c r="K155" s="7" t="str">
        <f>IFERROR(__xludf.DUMMYFUNCTION("GoogleTranslate(C155, ""en"", ""bn"")"),"ওয়াক্সিং ক্রিসেন্ট")</f>
        <v>ওয়াক্সিং ক্রিসেন্ট</v>
      </c>
      <c r="L155" s="7" t="str">
        <f>IFERROR(__xludf.DUMMYFUNCTION("GoogleTranslate(C155, ""en"", ""bg"")"),"Нарастващ полумесец")</f>
        <v>Нарастващ полумесец</v>
      </c>
      <c r="M155" s="7" t="str">
        <f>IFERROR(__xludf.DUMMYFUNCTION("GoogleTranslate(C155, ""en"", ""my"")"),"Waxing လခြမ်း")</f>
        <v>Waxing လခြမ်း</v>
      </c>
      <c r="N155" s="7" t="str">
        <f>IFERROR(__xludf.DUMMYFUNCTION("GoogleTranslate(C155, ""en"", ""ca"")"),"Creixent Creixent")</f>
        <v>Creixent Creixent</v>
      </c>
      <c r="O155" s="7" t="str">
        <f>IFERROR(__xludf.DUMMYFUNCTION("GoogleTranslate(C155, ""en"", ""zh-cn"")"),"打蜡新月形")</f>
        <v>打蜡新月形</v>
      </c>
      <c r="P155" s="7" t="str">
        <f>IFERROR(__xludf.DUMMYFUNCTION("GoogleTranslate(C155, ""en"", ""zh-TW"")"),"打蠟新月形")</f>
        <v>打蠟新月形</v>
      </c>
      <c r="Q155" s="7" t="str">
        <f>IFERROR(__xludf.DUMMYFUNCTION("GoogleTranslate(C155, ""en"", ""hr"")"),"Rastući polumjesec")</f>
        <v>Rastući polumjesec</v>
      </c>
      <c r="R155" s="7" t="str">
        <f>IFERROR(__xludf.DUMMYFUNCTION("GoogleTranslate(C155, ""en"", ""cs"")"),"Dorůstající půlměsíc")</f>
        <v>Dorůstající půlměsíc</v>
      </c>
      <c r="S155" s="7" t="str">
        <f>IFERROR(__xludf.DUMMYFUNCTION("GoogleTranslate(C155, ""en"", ""da"")"),"Voksende halvmåne")</f>
        <v>Voksende halvmåne</v>
      </c>
      <c r="T155" s="7" t="str">
        <f>IFERROR(__xludf.DUMMYFUNCTION("GoogleTranslate(C155, ""en"", ""nl"")"),"Wassende halve maan")</f>
        <v>Wassende halve maan</v>
      </c>
      <c r="U155" s="7" t="str">
        <f>IFERROR(__xludf.DUMMYFUNCTION("GoogleTranslate(C155, ""en"", ""et"")"),"Kasvav poolkuu")</f>
        <v>Kasvav poolkuu</v>
      </c>
      <c r="V155" s="5" t="str">
        <f t="shared" si="3"/>
        <v>Waxing Crescent</v>
      </c>
      <c r="W155" s="7" t="str">
        <f>IFERROR(__xludf.DUMMYFUNCTION("GoogleTranslate(C155, ""en"", ""fi"")"),"Kasvava Crescent")</f>
        <v>Kasvava Crescent</v>
      </c>
      <c r="X155" s="7" t="str">
        <f>IFERROR(__xludf.DUMMYFUNCTION("GoogleTranslate(C155, ""en"", ""fr"")"),"Croissant d'épilation")</f>
        <v>Croissant d'épilation</v>
      </c>
      <c r="Y155" s="7" t="str">
        <f>IFERROR(__xludf.DUMMYFUNCTION("GoogleTranslate(C155, ""en"", ""de"")"),"Wachsender Halbmond")</f>
        <v>Wachsender Halbmond</v>
      </c>
      <c r="Z155" s="7" t="str">
        <f>IFERROR(__xludf.DUMMYFUNCTION("GoogleTranslate(C155, ""en"", ""el"")"),"Ημισέληνος με κερί")</f>
        <v>Ημισέληνος με κερί</v>
      </c>
      <c r="AA155" s="7" t="str">
        <f>IFERROR(__xludf.DUMMYFUNCTION("GoogleTranslate(C155, ""en"", ""iw"")"),"סהר שעווה")</f>
        <v>סהר שעווה</v>
      </c>
      <c r="AB155" s="7" t="str">
        <f>IFERROR(__xludf.DUMMYFUNCTION("GoogleTranslate(C155, ""en"", ""hi"")"),"वर्धमान अर्धचंद्र")</f>
        <v>वर्धमान अर्धचंद्र</v>
      </c>
      <c r="AC155" s="7" t="str">
        <f>IFERROR(__xludf.DUMMYFUNCTION("GoogleTranslate(C155, ""en"", ""hu"")"),"Gyászoló Félhold")</f>
        <v>Gyászoló Félhold</v>
      </c>
      <c r="AD155" s="7" t="str">
        <f>IFERROR(__xludf.DUMMYFUNCTION("GoogleTranslate(C155, ""en"", ""is"")"),"Vaxandi hálfmáni")</f>
        <v>Vaxandi hálfmáni</v>
      </c>
      <c r="AE155" s="7" t="str">
        <f>IFERROR(__xludf.DUMMYFUNCTION("GoogleTranslate(C155, ""en"", ""id"")"),"Bulan Sabit Lilin")</f>
        <v>Bulan Sabit Lilin</v>
      </c>
      <c r="AF155" s="7" t="str">
        <f>IFERROR(__xludf.DUMMYFUNCTION("GoogleTranslate(C155, ""en"", ""in"")"),"Bulan Sabit Lilin")</f>
        <v>Bulan Sabit Lilin</v>
      </c>
      <c r="AG155" s="7" t="str">
        <f>IFERROR(__xludf.DUMMYFUNCTION("GoogleTranslate(C155, ""en"", ""it"")"),"Mezzaluna ceretta")</f>
        <v>Mezzaluna ceretta</v>
      </c>
      <c r="AH155" s="7" t="str">
        <f>IFERROR(__xludf.DUMMYFUNCTION("GoogleTranslate(C155, ""en"", ""ja"")"),"ワックスがけの三日月")</f>
        <v>ワックスがけの三日月</v>
      </c>
      <c r="AI155" s="7" t="str">
        <f>IFERROR(__xludf.DUMMYFUNCTION("GoogleTranslate(C155, ""en"", ""kn"")"),"ವ್ಯಾಕ್ಸಿಂಗ್ ಕ್ರೆಸೆಂಟ್")</f>
        <v>ವ್ಯಾಕ್ಸಿಂಗ್ ಕ್ರೆಸೆಂಟ್</v>
      </c>
      <c r="AJ155" s="7" t="str">
        <f>IFERROR(__xludf.DUMMYFUNCTION("GoogleTranslate(C155, ""en"", ""km"")"),"Waxing អឌ្ឍចន្ទ")</f>
        <v>Waxing អឌ្ឍចន្ទ</v>
      </c>
      <c r="AK155" s="7" t="str">
        <f>IFERROR(__xludf.DUMMYFUNCTION("GoogleTranslate(C155, ""en"", ""ko"")"),"왁싱 초승달")</f>
        <v>왁싱 초승달</v>
      </c>
      <c r="AL155" s="7" t="str">
        <f>IFERROR(__xludf.DUMMYFUNCTION("GoogleTranslate(C155, ""en"", ""lo"")"),"ຂີ້ເຜີ້ງ Crescent")</f>
        <v>ຂີ້ເຜີ້ງ Crescent</v>
      </c>
      <c r="AM155" s="7" t="str">
        <f>IFERROR(__xludf.DUMMYFUNCTION("GoogleTranslate(C155, ""en"", ""lv"")"),"Augošs pusmēness")</f>
        <v>Augošs pusmēness</v>
      </c>
      <c r="AN155" s="7" t="str">
        <f>IFERROR(__xludf.DUMMYFUNCTION("GoogleTranslate(C155, ""en"", ""lt"")"),"Dylantis pusmėnulis")</f>
        <v>Dylantis pusmėnulis</v>
      </c>
      <c r="AO155" s="7" t="str">
        <f>IFERROR(__xludf.DUMMYFUNCTION("GoogleTranslate(C155, ""en"", ""mk"")"),"Депилација полумесечина")</f>
        <v>Депилација полумесечина</v>
      </c>
      <c r="AP155" s="7" t="str">
        <f>IFERROR(__xludf.DUMMYFUNCTION("GoogleTranslate(C155, ""en"", ""ms"")"),"Waxing Crescent")</f>
        <v>Waxing Crescent</v>
      </c>
      <c r="AQ155" s="7" t="str">
        <f>IFERROR(__xludf.DUMMYFUNCTION("GoogleTranslate(C155, ""en"", ""ml"")"),"വാക്സിംഗ് ക്രസൻ്റ്")</f>
        <v>വാക്സിംഗ് ക്രസൻ്റ്</v>
      </c>
      <c r="AR155" s="7" t="str">
        <f>IFERROR(__xludf.DUMMYFUNCTION("GoogleTranslate(C155, ""en"", ""mr"")"),"वॅक्सिंग क्रेसेंट")</f>
        <v>वॅक्सिंग क्रेसेंट</v>
      </c>
      <c r="AS155" s="7" t="str">
        <f>IFERROR(__xludf.DUMMYFUNCTION("GoogleTranslate(C155, ""en"", ""mn"")"),"Хавирган сар")</f>
        <v>Хавирган сар</v>
      </c>
      <c r="AT155" s="7" t="str">
        <f>IFERROR(__xludf.DUMMYFUNCTION("GoogleTranslate(C155, ""en"", ""ne"")"),"वेक्सिङ क्रिसेन्ट")</f>
        <v>वेक्सिङ क्रिसेन्ट</v>
      </c>
      <c r="AU155" s="7" t="str">
        <f>IFERROR(__xludf.DUMMYFUNCTION("GoogleTranslate(C155, ""en"", ""nb"")"),"Voksende halvmåne")</f>
        <v>Voksende halvmåne</v>
      </c>
      <c r="AV155" s="7" t="str">
        <f>IFERROR(__xludf.DUMMYFUNCTION("GoogleTranslate(C155, ""en"", ""fa"")"),"هلال اپیلاسیون")</f>
        <v>هلال اپیلاسیون</v>
      </c>
      <c r="AW155" s="7" t="str">
        <f>IFERROR(__xludf.DUMMYFUNCTION("GoogleTranslate(C155, ""en"", ""pl"")"),"Woskujący Półksiężyc")</f>
        <v>Woskujący Półksiężyc</v>
      </c>
      <c r="AX155" s="7" t="str">
        <f>IFERROR(__xludf.DUMMYFUNCTION("GoogleTranslate(C155, ""en"", ""pt"")"),"Crescente Crescente")</f>
        <v>Crescente Crescente</v>
      </c>
      <c r="AY155" s="7" t="str">
        <f>IFERROR(__xludf.DUMMYFUNCTION("GoogleTranslate(C155, ""en"", ""ro"")"),"Semiluna în ceară")</f>
        <v>Semiluna în ceară</v>
      </c>
      <c r="AZ155" s="7" t="str">
        <f>IFERROR(__xludf.DUMMYFUNCTION("GoogleTranslate(C155, ""en"", ""ru"")"),"Растущий полумесяц")</f>
        <v>Растущий полумесяц</v>
      </c>
      <c r="BA155" s="7" t="str">
        <f>IFERROR(__xludf.DUMMYFUNCTION("GoogleTranslate(C155, ""en"", ""sr"")"),"Вакинг Цресцент")</f>
        <v>Вакинг Цресцент</v>
      </c>
      <c r="BB155" s="7" t="str">
        <f>IFERROR(__xludf.DUMMYFUNCTION("GoogleTranslate(C155, ""en"", ""si"")"),"Waxing Crescent")</f>
        <v>Waxing Crescent</v>
      </c>
      <c r="BC155" s="7" t="str">
        <f>IFERROR(__xludf.DUMMYFUNCTION("GoogleTranslate(C155, ""en"", ""sk"")"),"Voskový polmesiac")</f>
        <v>Voskový polmesiac</v>
      </c>
      <c r="BD155" s="7" t="str">
        <f>IFERROR(__xludf.DUMMYFUNCTION("GoogleTranslate(C155, ""en"", ""sl"")"),"Rastoči polmesec")</f>
        <v>Rastoči polmesec</v>
      </c>
      <c r="BE155" s="7" t="str">
        <f>IFERROR(__xludf.DUMMYFUNCTION("GoogleTranslate(C155, ""en"", ""es"")"),"Media luna creciente")</f>
        <v>Media luna creciente</v>
      </c>
      <c r="BF155" s="7" t="str">
        <f>IFERROR(__xludf.DUMMYFUNCTION("GoogleTranslate(C155, ""en"", ""sw"")"),"Mvua inayoongezeka")</f>
        <v>Mvua inayoongezeka</v>
      </c>
      <c r="BG155" s="7" t="str">
        <f>IFERROR(__xludf.DUMMYFUNCTION("GoogleTranslate(C155, ""en"", ""sv"")"),"Vaxande Crescent")</f>
        <v>Vaxande Crescent</v>
      </c>
      <c r="BH155" s="7" t="str">
        <f>IFERROR(__xludf.DUMMYFUNCTION("GoogleTranslate(C155, ""en"", ""te"")"),"వాక్సింగ్ చంద్రవంక")</f>
        <v>వాక్సింగ్ చంద్రవంక</v>
      </c>
      <c r="BI155" s="7" t="str">
        <f>IFERROR(__xludf.DUMMYFUNCTION("GoogleTranslate(C155, ""en"", ""th"")"),"แว็กซ์เสี้ยว")</f>
        <v>แว็กซ์เสี้ยว</v>
      </c>
      <c r="BJ155" s="7" t="str">
        <f>IFERROR(__xludf.DUMMYFUNCTION("GoogleTranslate(C155, ""en"", ""tr"")"),"Ağda Hilal")</f>
        <v>Ağda Hilal</v>
      </c>
      <c r="BK155" s="7" t="str">
        <f>IFERROR(__xludf.DUMMYFUNCTION("GoogleTranslate(C155, ""en"", ""uk"")"),"Зростаючий півмісяць")</f>
        <v>Зростаючий півмісяць</v>
      </c>
      <c r="BL155" s="7" t="str">
        <f>IFERROR(__xludf.DUMMYFUNCTION("GoogleTranslate(C155, ""en"", ""zu"")"),"I-Waxing Crescent")</f>
        <v>I-Waxing Crescent</v>
      </c>
    </row>
    <row r="156">
      <c r="A156" s="5" t="str">
        <f t="shared" si="1"/>
        <v>First_Quarter</v>
      </c>
      <c r="B156" s="6" t="s">
        <v>212</v>
      </c>
      <c r="C156" s="5" t="str">
        <f t="shared" si="2"/>
        <v>First Quarter</v>
      </c>
      <c r="D156" s="7" t="str">
        <f>IFERROR(__xludf.DUMMYFUNCTION("GoogleTranslate(C156, ""en"", ""es"")"),"Primer trimestre")</f>
        <v>Primer trimestre</v>
      </c>
      <c r="E156" s="7" t="str">
        <f>IFERROR(__xludf.DUMMYFUNCTION("GoogleTranslate(C156, ""en"", ""ar"")"),"الربع الأول")</f>
        <v>الربع الأول</v>
      </c>
      <c r="F156" s="7" t="str">
        <f>IFERROR(__xludf.DUMMYFUNCTION("GoogleTranslate(C156, ""en"", ""hy"")"),"Առաջին եռամսյակ")</f>
        <v>Առաջին եռամսյակ</v>
      </c>
      <c r="G156" s="7" t="str">
        <f>IFERROR(__xludf.DUMMYFUNCTION("GoogleTranslate(C156, ""en"", ""vi"")"),"Quý I")</f>
        <v>Quý I</v>
      </c>
      <c r="H156" s="7" t="str">
        <f>IFERROR(__xludf.DUMMYFUNCTION("GoogleTranslate(C156, ""en"", ""az"")"),"Birinci rüb")</f>
        <v>Birinci rüb</v>
      </c>
      <c r="I156" s="7" t="str">
        <f>IFERROR(__xludf.DUMMYFUNCTION("GoogleTranslate(C156, ""en"", ""eu"")"),"Lehen Hiruhilekoa")</f>
        <v>Lehen Hiruhilekoa</v>
      </c>
      <c r="J156" s="7" t="str">
        <f>IFERROR(__xludf.DUMMYFUNCTION("GoogleTranslate(C156, ""en"", ""be"")"),"Першая чвэрць")</f>
        <v>Першая чвэрць</v>
      </c>
      <c r="K156" s="7" t="str">
        <f>IFERROR(__xludf.DUMMYFUNCTION("GoogleTranslate(C156, ""en"", ""bn"")"),"প্রথম কোয়ার্টার")</f>
        <v>প্রথম কোয়ার্টার</v>
      </c>
      <c r="L156" s="7" t="str">
        <f>IFERROR(__xludf.DUMMYFUNCTION("GoogleTranslate(C156, ""en"", ""bg"")"),"Първа четвърт")</f>
        <v>Първа четвърт</v>
      </c>
      <c r="M156" s="7" t="str">
        <f>IFERROR(__xludf.DUMMYFUNCTION("GoogleTranslate(C156, ""en"", ""my"")"),"ပထမရပ်ကွက်")</f>
        <v>ပထမရပ်ကွက်</v>
      </c>
      <c r="N156" s="7" t="str">
        <f>IFERROR(__xludf.DUMMYFUNCTION("GoogleTranslate(C156, ""en"", ""ca"")"),"Primer trimestre")</f>
        <v>Primer trimestre</v>
      </c>
      <c r="O156" s="7" t="str">
        <f>IFERROR(__xludf.DUMMYFUNCTION("GoogleTranslate(C156, ""en"", ""zh-cn"")"),"第一季度")</f>
        <v>第一季度</v>
      </c>
      <c r="P156" s="7" t="str">
        <f>IFERROR(__xludf.DUMMYFUNCTION("GoogleTranslate(C156, ""en"", ""zh-TW"")"),"第一季")</f>
        <v>第一季</v>
      </c>
      <c r="Q156" s="7" t="str">
        <f>IFERROR(__xludf.DUMMYFUNCTION("GoogleTranslate(C156, ""en"", ""hr"")"),"Prva četvrtina")</f>
        <v>Prva četvrtina</v>
      </c>
      <c r="R156" s="7" t="str">
        <f>IFERROR(__xludf.DUMMYFUNCTION("GoogleTranslate(C156, ""en"", ""cs"")"),"První čtvrtletí")</f>
        <v>První čtvrtletí</v>
      </c>
      <c r="S156" s="7" t="str">
        <f>IFERROR(__xludf.DUMMYFUNCTION("GoogleTranslate(C156, ""en"", ""da"")"),"Første kvartal")</f>
        <v>Første kvartal</v>
      </c>
      <c r="T156" s="7" t="str">
        <f>IFERROR(__xludf.DUMMYFUNCTION("GoogleTranslate(C156, ""en"", ""nl"")"),"Eerste kwartaal")</f>
        <v>Eerste kwartaal</v>
      </c>
      <c r="U156" s="7" t="str">
        <f>IFERROR(__xludf.DUMMYFUNCTION("GoogleTranslate(C156, ""en"", ""et"")"),"Esimene kvartal")</f>
        <v>Esimene kvartal</v>
      </c>
      <c r="V156" s="5" t="str">
        <f t="shared" si="3"/>
        <v>First Quarter</v>
      </c>
      <c r="W156" s="7" t="str">
        <f>IFERROR(__xludf.DUMMYFUNCTION("GoogleTranslate(C156, ""en"", ""fi"")"),"Ensimmäinen vuosineljännes")</f>
        <v>Ensimmäinen vuosineljännes</v>
      </c>
      <c r="X156" s="7" t="str">
        <f>IFERROR(__xludf.DUMMYFUNCTION("GoogleTranslate(C156, ""en"", ""fr"")"),"Premier trimestre")</f>
        <v>Premier trimestre</v>
      </c>
      <c r="Y156" s="7" t="str">
        <f>IFERROR(__xludf.DUMMYFUNCTION("GoogleTranslate(C156, ""en"", ""de"")"),"Erstes Viertel")</f>
        <v>Erstes Viertel</v>
      </c>
      <c r="Z156" s="7" t="str">
        <f>IFERROR(__xludf.DUMMYFUNCTION("GoogleTranslate(C156, ""en"", ""el"")"),"Πρώτο τρίμηνο")</f>
        <v>Πρώτο τρίμηνο</v>
      </c>
      <c r="AA156" s="7" t="str">
        <f>IFERROR(__xludf.DUMMYFUNCTION("GoogleTranslate(C156, ""en"", ""iw"")"),"רבעון ראשון")</f>
        <v>רבעון ראשון</v>
      </c>
      <c r="AB156" s="7" t="str">
        <f>IFERROR(__xludf.DUMMYFUNCTION("GoogleTranslate(C156, ""en"", ""hi"")"),"पहली तिमाही")</f>
        <v>पहली तिमाही</v>
      </c>
      <c r="AC156" s="7" t="str">
        <f>IFERROR(__xludf.DUMMYFUNCTION("GoogleTranslate(C156, ""en"", ""hu"")"),"Első negyed")</f>
        <v>Első negyed</v>
      </c>
      <c r="AD156" s="7" t="str">
        <f>IFERROR(__xludf.DUMMYFUNCTION("GoogleTranslate(C156, ""en"", ""is"")"),"Fyrsta ársfjórðung")</f>
        <v>Fyrsta ársfjórðung</v>
      </c>
      <c r="AE156" s="7" t="str">
        <f>IFERROR(__xludf.DUMMYFUNCTION("GoogleTranslate(C156, ""en"", ""id"")"),"Kuartal Pertama")</f>
        <v>Kuartal Pertama</v>
      </c>
      <c r="AF156" s="7" t="str">
        <f>IFERROR(__xludf.DUMMYFUNCTION("GoogleTranslate(C156, ""en"", ""in"")"),"Kuartal Pertama")</f>
        <v>Kuartal Pertama</v>
      </c>
      <c r="AG156" s="7" t="str">
        <f>IFERROR(__xludf.DUMMYFUNCTION("GoogleTranslate(C156, ""en"", ""it"")"),"Primo quarto")</f>
        <v>Primo quarto</v>
      </c>
      <c r="AH156" s="7" t="str">
        <f>IFERROR(__xludf.DUMMYFUNCTION("GoogleTranslate(C156, ""en"", ""ja"")"),"第 1 四半期")</f>
        <v>第 1 四半期</v>
      </c>
      <c r="AI156" s="7" t="str">
        <f>IFERROR(__xludf.DUMMYFUNCTION("GoogleTranslate(C156, ""en"", ""kn"")"),"ಮೊದಲ ತ್ರೈಮಾಸಿಕ")</f>
        <v>ಮೊದಲ ತ್ರೈಮಾಸಿಕ</v>
      </c>
      <c r="AJ156" s="7" t="str">
        <f>IFERROR(__xludf.DUMMYFUNCTION("GoogleTranslate(C156, ""en"", ""km"")"),"ត្រីមាសទីមួយ")</f>
        <v>ត្រីមាសទីមួយ</v>
      </c>
      <c r="AK156" s="7" t="str">
        <f>IFERROR(__xludf.DUMMYFUNCTION("GoogleTranslate(C156, ""en"", ""ko"")"),"1분기")</f>
        <v>1분기</v>
      </c>
      <c r="AL156" s="7" t="str">
        <f>IFERROR(__xludf.DUMMYFUNCTION("GoogleTranslate(C156, ""en"", ""lo"")"),"ໄຕມາດທໍາອິດ")</f>
        <v>ໄຕມາດທໍາອິດ</v>
      </c>
      <c r="AM156" s="7" t="str">
        <f>IFERROR(__xludf.DUMMYFUNCTION("GoogleTranslate(C156, ""en"", ""lv"")"),"Pirmais ceturksnis")</f>
        <v>Pirmais ceturksnis</v>
      </c>
      <c r="AN156" s="7" t="str">
        <f>IFERROR(__xludf.DUMMYFUNCTION("GoogleTranslate(C156, ""en"", ""lt"")"),"Pirmas ketvirtis")</f>
        <v>Pirmas ketvirtis</v>
      </c>
      <c r="AO156" s="7" t="str">
        <f>IFERROR(__xludf.DUMMYFUNCTION("GoogleTranslate(C156, ""en"", ""mk"")"),"Прв квартал")</f>
        <v>Прв квартал</v>
      </c>
      <c r="AP156" s="7" t="str">
        <f>IFERROR(__xludf.DUMMYFUNCTION("GoogleTranslate(C156, ""en"", ""ms"")"),"Suku Pertama")</f>
        <v>Suku Pertama</v>
      </c>
      <c r="AQ156" s="7" t="str">
        <f>IFERROR(__xludf.DUMMYFUNCTION("GoogleTranslate(C156, ""en"", ""ml"")"),"ആദ്യ പാദം")</f>
        <v>ആദ്യ പാദം</v>
      </c>
      <c r="AR156" s="7" t="str">
        <f>IFERROR(__xludf.DUMMYFUNCTION("GoogleTranslate(C156, ""en"", ""mr"")"),"पहिल्या तिमाहीत")</f>
        <v>पहिल्या तिमाहीत</v>
      </c>
      <c r="AS156" s="7" t="str">
        <f>IFERROR(__xludf.DUMMYFUNCTION("GoogleTranslate(C156, ""en"", ""mn"")"),"Эхний улирал")</f>
        <v>Эхний улирал</v>
      </c>
      <c r="AT156" s="7" t="str">
        <f>IFERROR(__xludf.DUMMYFUNCTION("GoogleTranslate(C156, ""en"", ""ne"")"),"पहिलो क्वार्टर")</f>
        <v>पहिलो क्वार्टर</v>
      </c>
      <c r="AU156" s="7" t="str">
        <f>IFERROR(__xludf.DUMMYFUNCTION("GoogleTranslate(C156, ""en"", ""nb"")"),"Første kvartal")</f>
        <v>Første kvartal</v>
      </c>
      <c r="AV156" s="7" t="str">
        <f>IFERROR(__xludf.DUMMYFUNCTION("GoogleTranslate(C156, ""en"", ""fa"")"),"سه ماهه اول")</f>
        <v>سه ماهه اول</v>
      </c>
      <c r="AW156" s="7" t="str">
        <f>IFERROR(__xludf.DUMMYFUNCTION("GoogleTranslate(C156, ""en"", ""pl"")"),"Pierwsza kwarta")</f>
        <v>Pierwsza kwarta</v>
      </c>
      <c r="AX156" s="7" t="str">
        <f>IFERROR(__xludf.DUMMYFUNCTION("GoogleTranslate(C156, ""en"", ""pt"")"),"Primeiro Trimestre")</f>
        <v>Primeiro Trimestre</v>
      </c>
      <c r="AY156" s="7" t="str">
        <f>IFERROR(__xludf.DUMMYFUNCTION("GoogleTranslate(C156, ""en"", ""ro"")"),"Primul trimestru")</f>
        <v>Primul trimestru</v>
      </c>
      <c r="AZ156" s="7" t="str">
        <f>IFERROR(__xludf.DUMMYFUNCTION("GoogleTranslate(C156, ""en"", ""ru"")"),"Первый квартал")</f>
        <v>Первый квартал</v>
      </c>
      <c r="BA156" s="7" t="str">
        <f>IFERROR(__xludf.DUMMYFUNCTION("GoogleTranslate(C156, ""en"", ""sr"")"),"Фирст Куартер")</f>
        <v>Фирст Куартер</v>
      </c>
      <c r="BB156" s="7" t="str">
        <f>IFERROR(__xludf.DUMMYFUNCTION("GoogleTranslate(C156, ""en"", ""si"")"),"පළමු කාර්තුව")</f>
        <v>පළමු කාර්තුව</v>
      </c>
      <c r="BC156" s="7" t="str">
        <f>IFERROR(__xludf.DUMMYFUNCTION("GoogleTranslate(C156, ""en"", ""sk"")"),"Prvý štvrťrok")</f>
        <v>Prvý štvrťrok</v>
      </c>
      <c r="BD156" s="7" t="str">
        <f>IFERROR(__xludf.DUMMYFUNCTION("GoogleTranslate(C156, ""en"", ""sl"")"),"Prva četrtina")</f>
        <v>Prva četrtina</v>
      </c>
      <c r="BE156" s="7" t="str">
        <f>IFERROR(__xludf.DUMMYFUNCTION("GoogleTranslate(C156, ""en"", ""es"")"),"Primer trimestre")</f>
        <v>Primer trimestre</v>
      </c>
      <c r="BF156" s="7" t="str">
        <f>IFERROR(__xludf.DUMMYFUNCTION("GoogleTranslate(C156, ""en"", ""sw"")"),"Robo ya Kwanza")</f>
        <v>Robo ya Kwanza</v>
      </c>
      <c r="BG156" s="7" t="str">
        <f>IFERROR(__xludf.DUMMYFUNCTION("GoogleTranslate(C156, ""en"", ""sv"")"),"Första kvartalet")</f>
        <v>Första kvartalet</v>
      </c>
      <c r="BH156" s="7" t="str">
        <f>IFERROR(__xludf.DUMMYFUNCTION("GoogleTranslate(C156, ""en"", ""te"")"),"మొదటి త్రైమాసికం")</f>
        <v>మొదటి త్రైమాసికం</v>
      </c>
      <c r="BI156" s="7" t="str">
        <f>IFERROR(__xludf.DUMMYFUNCTION("GoogleTranslate(C156, ""en"", ""th"")"),"ไตรมาสแรก")</f>
        <v>ไตรมาสแรก</v>
      </c>
      <c r="BJ156" s="7" t="str">
        <f>IFERROR(__xludf.DUMMYFUNCTION("GoogleTranslate(C156, ""en"", ""tr"")"),"İlk Çeyrek")</f>
        <v>İlk Çeyrek</v>
      </c>
      <c r="BK156" s="7" t="str">
        <f>IFERROR(__xludf.DUMMYFUNCTION("GoogleTranslate(C156, ""en"", ""uk"")"),"Перша чверть")</f>
        <v>Перша чверть</v>
      </c>
      <c r="BL156" s="7" t="str">
        <f>IFERROR(__xludf.DUMMYFUNCTION("GoogleTranslate(C156, ""en"", ""zu"")"),"Ikota yokuqala")</f>
        <v>Ikota yokuqala</v>
      </c>
    </row>
    <row r="157">
      <c r="A157" s="5" t="str">
        <f t="shared" si="1"/>
        <v>Waxing_Gibbous</v>
      </c>
      <c r="B157" s="6" t="s">
        <v>213</v>
      </c>
      <c r="C157" s="5" t="str">
        <f t="shared" si="2"/>
        <v>Waxing Gibbous</v>
      </c>
      <c r="D157" s="7" t="str">
        <f>IFERROR(__xludf.DUMMYFUNCTION("GoogleTranslate(C157, ""en"", ""es"")"),"Gibosa creciente")</f>
        <v>Gibosa creciente</v>
      </c>
      <c r="E157" s="7" t="str">
        <f>IFERROR(__xludf.DUMMYFUNCTION("GoogleTranslate(C157, ""en"", ""ar"")"),"الصبح جيبوس")</f>
        <v>الصبح جيبوس</v>
      </c>
      <c r="F157" s="7" t="str">
        <f>IFERROR(__xludf.DUMMYFUNCTION("GoogleTranslate(C157, ""en"", ""hy"")"),"Էպիլյացիա Gibbous")</f>
        <v>Էպիլյացիա Gibbous</v>
      </c>
      <c r="G157" s="7" t="str">
        <f>IFERROR(__xludf.DUMMYFUNCTION("GoogleTranslate(C157, ""en"", ""vi"")"),"tẩy lông vượn")</f>
        <v>tẩy lông vượn</v>
      </c>
      <c r="H157" s="7" t="str">
        <f>IFERROR(__xludf.DUMMYFUNCTION("GoogleTranslate(C157, ""en"", ""az"")"),"Balmumu Gibbous")</f>
        <v>Balmumu Gibbous</v>
      </c>
      <c r="I157" s="7" t="str">
        <f>IFERROR(__xludf.DUMMYFUNCTION("GoogleTranslate(C157, ""en"", ""eu"")"),"Argizaria Gibosa")</f>
        <v>Argizaria Gibosa</v>
      </c>
      <c r="J157" s="7" t="str">
        <f>IFERROR(__xludf.DUMMYFUNCTION("GoogleTranslate(C157, ""en"", ""be"")"),"Ваксаванне Gibbous")</f>
        <v>Ваксаванне Gibbous</v>
      </c>
      <c r="K157" s="7" t="str">
        <f>IFERROR(__xludf.DUMMYFUNCTION("GoogleTranslate(C157, ""en"", ""bn"")"),"Waxing Gibbous")</f>
        <v>Waxing Gibbous</v>
      </c>
      <c r="L157" s="7" t="str">
        <f>IFERROR(__xludf.DUMMYFUNCTION("GoogleTranslate(C157, ""en"", ""bg"")"),"Нарастващ Gibbous")</f>
        <v>Нарастващ Gibbous</v>
      </c>
      <c r="M157" s="7" t="str">
        <f>IFERROR(__xludf.DUMMYFUNCTION("GoogleTranslate(C157, ""en"", ""my"")"),"Waxing Gibbous")</f>
        <v>Waxing Gibbous</v>
      </c>
      <c r="N157" s="7" t="str">
        <f>IFERROR(__xludf.DUMMYFUNCTION("GoogleTranslate(C157, ""en"", ""ca"")"),"Gibosa creixent")</f>
        <v>Gibosa creixent</v>
      </c>
      <c r="O157" s="7" t="str">
        <f>IFERROR(__xludf.DUMMYFUNCTION("GoogleTranslate(C157, ""en"", ""zh-cn"")"),"打蜡凸凸")</f>
        <v>打蜡凸凸</v>
      </c>
      <c r="P157" s="7" t="str">
        <f>IFERROR(__xludf.DUMMYFUNCTION("GoogleTranslate(C157, ""en"", ""zh-TW"")"),"打蠟凸凸")</f>
        <v>打蠟凸凸</v>
      </c>
      <c r="Q157" s="7" t="str">
        <f>IFERROR(__xludf.DUMMYFUNCTION("GoogleTranslate(C157, ""en"", ""hr"")"),"Waxing Gibbous")</f>
        <v>Waxing Gibbous</v>
      </c>
      <c r="R157" s="7" t="str">
        <f>IFERROR(__xludf.DUMMYFUNCTION("GoogleTranslate(C157, ""en"", ""cs"")"),"Voskování Gibbous")</f>
        <v>Voskování Gibbous</v>
      </c>
      <c r="S157" s="7" t="str">
        <f>IFERROR(__xludf.DUMMYFUNCTION("GoogleTranslate(C157, ""en"", ""da"")"),"Voksende Gibbous")</f>
        <v>Voksende Gibbous</v>
      </c>
      <c r="T157" s="7" t="str">
        <f>IFERROR(__xludf.DUMMYFUNCTION("GoogleTranslate(C157, ""en"", ""nl"")"),"Gibbous in de was zetten")</f>
        <v>Gibbous in de was zetten</v>
      </c>
      <c r="U157" s="7" t="str">
        <f>IFERROR(__xludf.DUMMYFUNCTION("GoogleTranslate(C157, ""en"", ""et"")"),"Vahatamine Gibbous")</f>
        <v>Vahatamine Gibbous</v>
      </c>
      <c r="V157" s="5" t="str">
        <f t="shared" si="3"/>
        <v>Waxing Gibbous</v>
      </c>
      <c r="W157" s="7" t="str">
        <f>IFERROR(__xludf.DUMMYFUNCTION("GoogleTranslate(C157, ""en"", ""fi"")"),"Vahaus Gibbous")</f>
        <v>Vahaus Gibbous</v>
      </c>
      <c r="X157" s="7" t="str">
        <f>IFERROR(__xludf.DUMMYFUNCTION("GoogleTranslate(C157, ""en"", ""fr"")"),"Épilation gibbeuse")</f>
        <v>Épilation gibbeuse</v>
      </c>
      <c r="Y157" s="7" t="str">
        <f>IFERROR(__xludf.DUMMYFUNCTION("GoogleTranslate(C157, ""en"", ""de"")"),"Wachsender Gibbous")</f>
        <v>Wachsender Gibbous</v>
      </c>
      <c r="Z157" s="7" t="str">
        <f>IFERROR(__xludf.DUMMYFUNCTION("GoogleTranslate(C157, ""en"", ""el"")"),"Αποτρίχωση Gibbous")</f>
        <v>Αποτρίχωση Gibbous</v>
      </c>
      <c r="AA157" s="7" t="str">
        <f>IFERROR(__xludf.DUMMYFUNCTION("GoogleTranslate(C157, ""en"", ""iw"")"),"שעווה Gibbous")</f>
        <v>שעווה Gibbous</v>
      </c>
      <c r="AB157" s="7" t="str">
        <f>IFERROR(__xludf.DUMMYFUNCTION("GoogleTranslate(C157, ""en"", ""hi"")"),"वैक्सिंग गिबयस")</f>
        <v>वैक्सिंग गिबयस</v>
      </c>
      <c r="AC157" s="7" t="str">
        <f>IFERROR(__xludf.DUMMYFUNCTION("GoogleTranslate(C157, ""en"", ""hu"")"),"Gyantázás Gibbous")</f>
        <v>Gyantázás Gibbous</v>
      </c>
      <c r="AD157" s="7" t="str">
        <f>IFERROR(__xludf.DUMMYFUNCTION("GoogleTranslate(C157, ""en"", ""is"")"),"Vaxandi Gibbous")</f>
        <v>Vaxandi Gibbous</v>
      </c>
      <c r="AE157" s="7" t="str">
        <f>IFERROR(__xludf.DUMMYFUNCTION("GoogleTranslate(C157, ""en"", ""id"")"),"Waxing Gibbous")</f>
        <v>Waxing Gibbous</v>
      </c>
      <c r="AF157" s="7" t="str">
        <f>IFERROR(__xludf.DUMMYFUNCTION("GoogleTranslate(C157, ""en"", ""in"")"),"Waxing Gibbous")</f>
        <v>Waxing Gibbous</v>
      </c>
      <c r="AG157" s="7" t="str">
        <f>IFERROR(__xludf.DUMMYFUNCTION("GoogleTranslate(C157, ""en"", ""it"")"),"Gibbosa ceretta")</f>
        <v>Gibbosa ceretta</v>
      </c>
      <c r="AH157" s="7" t="str">
        <f>IFERROR(__xludf.DUMMYFUNCTION("GoogleTranslate(C157, ""en"", ""ja"")"),"ギブスのワックスがけ")</f>
        <v>ギブスのワックスがけ</v>
      </c>
      <c r="AI157" s="7" t="str">
        <f>IFERROR(__xludf.DUMMYFUNCTION("GoogleTranslate(C157, ""en"", ""kn"")"),"ವ್ಯಾಕ್ಸಿಂಗ್ ಗಿಬ್ಬಸ್")</f>
        <v>ವ್ಯಾಕ್ಸಿಂಗ್ ಗಿಬ್ಬಸ್</v>
      </c>
      <c r="AJ157" s="7" t="str">
        <f>IFERROR(__xludf.DUMMYFUNCTION("GoogleTranslate(C157, ""en"", ""km"")"),"Waxing Gibbous")</f>
        <v>Waxing Gibbous</v>
      </c>
      <c r="AK157" s="7" t="str">
        <f>IFERROR(__xludf.DUMMYFUNCTION("GoogleTranslate(C157, ""en"", ""ko"")"),"왁싱")</f>
        <v>왁싱</v>
      </c>
      <c r="AL157" s="7" t="str">
        <f>IFERROR(__xludf.DUMMYFUNCTION("GoogleTranslate(C157, ""en"", ""lo"")"),"Waxing Gibbous")</f>
        <v>Waxing Gibbous</v>
      </c>
      <c r="AM157" s="7" t="str">
        <f>IFERROR(__xludf.DUMMYFUNCTION("GoogleTranslate(C157, ""en"", ""lv"")"),"Vaksācija Gibbous")</f>
        <v>Vaksācija Gibbous</v>
      </c>
      <c r="AN157" s="7" t="str">
        <f>IFERROR(__xludf.DUMMYFUNCTION("GoogleTranslate(C157, ""en"", ""lt"")"),"Gibbous vaškavimas")</f>
        <v>Gibbous vaškavimas</v>
      </c>
      <c r="AO157" s="7" t="str">
        <f>IFERROR(__xludf.DUMMYFUNCTION("GoogleTranslate(C157, ""en"", ""mk"")"),"Депилација на Gibbous")</f>
        <v>Депилација на Gibbous</v>
      </c>
      <c r="AP157" s="7" t="str">
        <f>IFERROR(__xludf.DUMMYFUNCTION("GoogleTranslate(C157, ""en"", ""ms"")"),"Waxing Gibbous")</f>
        <v>Waxing Gibbous</v>
      </c>
      <c r="AQ157" s="7" t="str">
        <f>IFERROR(__xludf.DUMMYFUNCTION("GoogleTranslate(C157, ""en"", ""ml"")"),"വാക്സിംഗ് ഗിബ്ബസ്")</f>
        <v>വാക്സിംഗ് ഗിബ്ബസ്</v>
      </c>
      <c r="AR157" s="7" t="str">
        <f>IFERROR(__xludf.DUMMYFUNCTION("GoogleTranslate(C157, ""en"", ""mr"")"),"वॅक्सिंग गिबस")</f>
        <v>वॅक्सिंग गिबस</v>
      </c>
      <c r="AS157" s="7" t="str">
        <f>IFERROR(__xludf.DUMMYFUNCTION("GoogleTranslate(C157, ""en"", ""mn"")"),"Waxing Gibbous")</f>
        <v>Waxing Gibbous</v>
      </c>
      <c r="AT157" s="7" t="str">
        <f>IFERROR(__xludf.DUMMYFUNCTION("GoogleTranslate(C157, ""en"", ""ne"")"),"Waxing Gibbous")</f>
        <v>Waxing Gibbous</v>
      </c>
      <c r="AU157" s="7" t="str">
        <f>IFERROR(__xludf.DUMMYFUNCTION("GoogleTranslate(C157, ""en"", ""nb"")"),"Voksende Gibbous")</f>
        <v>Voksende Gibbous</v>
      </c>
      <c r="AV157" s="7" t="str">
        <f>IFERROR(__xludf.DUMMYFUNCTION("GoogleTranslate(C157, ""en"", ""fa"")"),"اپیلاسیون گیبوس")</f>
        <v>اپیلاسیون گیبوس</v>
      </c>
      <c r="AW157" s="7" t="str">
        <f>IFERROR(__xludf.DUMMYFUNCTION("GoogleTranslate(C157, ""en"", ""pl"")"),"Woskowanie Gibbousa")</f>
        <v>Woskowanie Gibbousa</v>
      </c>
      <c r="AX157" s="7" t="str">
        <f>IFERROR(__xludf.DUMMYFUNCTION("GoogleTranslate(C157, ""en"", ""pt"")"),"Depilação Gibosa")</f>
        <v>Depilação Gibosa</v>
      </c>
      <c r="AY157" s="7" t="str">
        <f>IFERROR(__xludf.DUMMYFUNCTION("GoogleTranslate(C157, ""en"", ""ro"")"),"Gibbous în ceară")</f>
        <v>Gibbous în ceară</v>
      </c>
      <c r="AZ157" s="7" t="str">
        <f>IFERROR(__xludf.DUMMYFUNCTION("GoogleTranslate(C157, ""en"", ""ru"")"),"Растущая луна")</f>
        <v>Растущая луна</v>
      </c>
      <c r="BA157" s="7" t="str">
        <f>IFERROR(__xludf.DUMMYFUNCTION("GoogleTranslate(C157, ""en"", ""sr"")"),"Вакинг Гиббоус")</f>
        <v>Вакинг Гиббоус</v>
      </c>
      <c r="BB157" s="7" t="str">
        <f>IFERROR(__xludf.DUMMYFUNCTION("GoogleTranslate(C157, ""en"", ""si"")"),"Waxing Gibbous")</f>
        <v>Waxing Gibbous</v>
      </c>
      <c r="BC157" s="7" t="str">
        <f>IFERROR(__xludf.DUMMYFUNCTION("GoogleTranslate(C157, ""en"", ""sk"")"),"Voskovanie Gibbous")</f>
        <v>Voskovanie Gibbous</v>
      </c>
      <c r="BD157" s="7" t="str">
        <f>IFERROR(__xludf.DUMMYFUNCTION("GoogleTranslate(C157, ""en"", ""sl"")"),"Voskanje Gibbous")</f>
        <v>Voskanje Gibbous</v>
      </c>
      <c r="BE157" s="7" t="str">
        <f>IFERROR(__xludf.DUMMYFUNCTION("GoogleTranslate(C157, ""en"", ""es"")"),"Gibosa creciente")</f>
        <v>Gibosa creciente</v>
      </c>
      <c r="BF157" s="7" t="str">
        <f>IFERROR(__xludf.DUMMYFUNCTION("GoogleTranslate(C157, ""en"", ""sw"")"),"Mng'aro Gibbous")</f>
        <v>Mng'aro Gibbous</v>
      </c>
      <c r="BG157" s="7" t="str">
        <f>IFERROR(__xludf.DUMMYFUNCTION("GoogleTranslate(C157, ""en"", ""sv"")"),"Vaxande Gibbous")</f>
        <v>Vaxande Gibbous</v>
      </c>
      <c r="BH157" s="7" t="str">
        <f>IFERROR(__xludf.DUMMYFUNCTION("GoogleTranslate(C157, ""en"", ""te"")"),"వాక్సింగ్ గిబ్బస్")</f>
        <v>వాక్సింగ్ గిబ్బస్</v>
      </c>
      <c r="BI157" s="7" t="str">
        <f>IFERROR(__xludf.DUMMYFUNCTION("GoogleTranslate(C157, ""en"", ""th"")"),"แว็กซ์ Gibbous")</f>
        <v>แว็กซ์ Gibbous</v>
      </c>
      <c r="BJ157" s="7" t="str">
        <f>IFERROR(__xludf.DUMMYFUNCTION("GoogleTranslate(C157, ""en"", ""tr"")"),"Ağdalı Kambur")</f>
        <v>Ağdalı Kambur</v>
      </c>
      <c r="BK157" s="7" t="str">
        <f>IFERROR(__xludf.DUMMYFUNCTION("GoogleTranslate(C157, ""en"", ""uk"")"),"Восковий Гіббус")</f>
        <v>Восковий Гіббус</v>
      </c>
      <c r="BL157" s="7" t="str">
        <f>IFERROR(__xludf.DUMMYFUNCTION("GoogleTranslate(C157, ""en"", ""zu"")"),"I-Waxing Gibbous")</f>
        <v>I-Waxing Gibbous</v>
      </c>
    </row>
    <row r="158">
      <c r="A158" s="5" t="str">
        <f t="shared" si="1"/>
        <v>Full_Moon</v>
      </c>
      <c r="B158" s="6" t="s">
        <v>214</v>
      </c>
      <c r="C158" s="5" t="str">
        <f t="shared" si="2"/>
        <v>Full Moon</v>
      </c>
      <c r="D158" s="7" t="str">
        <f>IFERROR(__xludf.DUMMYFUNCTION("GoogleTranslate(C158, ""en"", ""es"")"),"Luna llena")</f>
        <v>Luna llena</v>
      </c>
      <c r="E158" s="7" t="str">
        <f>IFERROR(__xludf.DUMMYFUNCTION("GoogleTranslate(C158, ""en"", ""ar"")"),"اكتمال القمر")</f>
        <v>اكتمال القمر</v>
      </c>
      <c r="F158" s="7" t="str">
        <f>IFERROR(__xludf.DUMMYFUNCTION("GoogleTranslate(C158, ""en"", ""hy"")"),"Լիալուսին")</f>
        <v>Լիալուսին</v>
      </c>
      <c r="G158" s="7" t="str">
        <f>IFERROR(__xludf.DUMMYFUNCTION("GoogleTranslate(C158, ""en"", ""vi"")"),"Trăng tròn")</f>
        <v>Trăng tròn</v>
      </c>
      <c r="H158" s="7" t="str">
        <f>IFERROR(__xludf.DUMMYFUNCTION("GoogleTranslate(C158, ""en"", ""az"")"),"Tam ay")</f>
        <v>Tam ay</v>
      </c>
      <c r="I158" s="7" t="str">
        <f>IFERROR(__xludf.DUMMYFUNCTION("GoogleTranslate(C158, ""en"", ""eu"")"),"Ilargi betea")</f>
        <v>Ilargi betea</v>
      </c>
      <c r="J158" s="7" t="str">
        <f>IFERROR(__xludf.DUMMYFUNCTION("GoogleTranslate(C158, ""en"", ""be"")"),"Поўня")</f>
        <v>Поўня</v>
      </c>
      <c r="K158" s="7" t="str">
        <f>IFERROR(__xludf.DUMMYFUNCTION("GoogleTranslate(C158, ""en"", ""bn"")"),"পূর্ণিমা")</f>
        <v>পূর্ণিমা</v>
      </c>
      <c r="L158" s="7" t="str">
        <f>IFERROR(__xludf.DUMMYFUNCTION("GoogleTranslate(C158, ""en"", ""bg"")"),"Пълнолуние")</f>
        <v>Пълнолуние</v>
      </c>
      <c r="M158" s="7" t="str">
        <f>IFERROR(__xludf.DUMMYFUNCTION("GoogleTranslate(C158, ""en"", ""my"")"),"ဝါဆိုလပြည့်")</f>
        <v>ဝါဆိုလပြည့်</v>
      </c>
      <c r="N158" s="7" t="str">
        <f>IFERROR(__xludf.DUMMYFUNCTION("GoogleTranslate(C158, ""en"", ""ca"")"),"Lluna plena")</f>
        <v>Lluna plena</v>
      </c>
      <c r="O158" s="7" t="str">
        <f>IFERROR(__xludf.DUMMYFUNCTION("GoogleTranslate(C158, ""en"", ""zh-cn"")"),"满月")</f>
        <v>满月</v>
      </c>
      <c r="P158" s="7" t="str">
        <f>IFERROR(__xludf.DUMMYFUNCTION("GoogleTranslate(C158, ""en"", ""zh-TW"")"),"滿月")</f>
        <v>滿月</v>
      </c>
      <c r="Q158" s="7" t="str">
        <f>IFERROR(__xludf.DUMMYFUNCTION("GoogleTranslate(C158, ""en"", ""hr"")"),"Pun mjesec")</f>
        <v>Pun mjesec</v>
      </c>
      <c r="R158" s="7" t="str">
        <f>IFERROR(__xludf.DUMMYFUNCTION("GoogleTranslate(C158, ""en"", ""cs"")"),"Úplněk")</f>
        <v>Úplněk</v>
      </c>
      <c r="S158" s="7" t="str">
        <f>IFERROR(__xludf.DUMMYFUNCTION("GoogleTranslate(C158, ""en"", ""da"")"),"Fuldmåne")</f>
        <v>Fuldmåne</v>
      </c>
      <c r="T158" s="7" t="str">
        <f>IFERROR(__xludf.DUMMYFUNCTION("GoogleTranslate(C158, ""en"", ""nl"")"),"Volle maan")</f>
        <v>Volle maan</v>
      </c>
      <c r="U158" s="7" t="str">
        <f>IFERROR(__xludf.DUMMYFUNCTION("GoogleTranslate(C158, ""en"", ""et"")"),"Täiskuu")</f>
        <v>Täiskuu</v>
      </c>
      <c r="V158" s="5" t="str">
        <f t="shared" si="3"/>
        <v>Full Moon</v>
      </c>
      <c r="W158" s="7" t="str">
        <f>IFERROR(__xludf.DUMMYFUNCTION("GoogleTranslate(C158, ""en"", ""fi"")"),"Täysikuu")</f>
        <v>Täysikuu</v>
      </c>
      <c r="X158" s="7" t="str">
        <f>IFERROR(__xludf.DUMMYFUNCTION("GoogleTranslate(C158, ""en"", ""fr"")"),"Pleine lune")</f>
        <v>Pleine lune</v>
      </c>
      <c r="Y158" s="7" t="str">
        <f>IFERROR(__xludf.DUMMYFUNCTION("GoogleTranslate(C158, ""en"", ""de"")"),"Vollmond")</f>
        <v>Vollmond</v>
      </c>
      <c r="Z158" s="7" t="str">
        <f>IFERROR(__xludf.DUMMYFUNCTION("GoogleTranslate(C158, ""en"", ""el"")"),"Πανσέληνος")</f>
        <v>Πανσέληνος</v>
      </c>
      <c r="AA158" s="7" t="str">
        <f>IFERROR(__xludf.DUMMYFUNCTION("GoogleTranslate(C158, ""en"", ""iw"")"),"אַגַן הַסַהַר")</f>
        <v>אַגַן הַסַהַר</v>
      </c>
      <c r="AB158" s="7" t="str">
        <f>IFERROR(__xludf.DUMMYFUNCTION("GoogleTranslate(C158, ""en"", ""hi"")"),"पूर्णचंद्र")</f>
        <v>पूर्णचंद्र</v>
      </c>
      <c r="AC158" s="7" t="str">
        <f>IFERROR(__xludf.DUMMYFUNCTION("GoogleTranslate(C158, ""en"", ""hu"")"),"Telihold")</f>
        <v>Telihold</v>
      </c>
      <c r="AD158" s="7" t="str">
        <f>IFERROR(__xludf.DUMMYFUNCTION("GoogleTranslate(C158, ""en"", ""is"")"),"Fullt tungl")</f>
        <v>Fullt tungl</v>
      </c>
      <c r="AE158" s="7" t="str">
        <f>IFERROR(__xludf.DUMMYFUNCTION("GoogleTranslate(C158, ""en"", ""id"")"),"Bulan purnama")</f>
        <v>Bulan purnama</v>
      </c>
      <c r="AF158" s="7" t="str">
        <f>IFERROR(__xludf.DUMMYFUNCTION("GoogleTranslate(C158, ""en"", ""in"")"),"Bulan purnama")</f>
        <v>Bulan purnama</v>
      </c>
      <c r="AG158" s="7" t="str">
        <f>IFERROR(__xludf.DUMMYFUNCTION("GoogleTranslate(C158, ""en"", ""it"")"),"Luna piena")</f>
        <v>Luna piena</v>
      </c>
      <c r="AH158" s="7" t="str">
        <f>IFERROR(__xludf.DUMMYFUNCTION("GoogleTranslate(C158, ""en"", ""ja"")"),"満月")</f>
        <v>満月</v>
      </c>
      <c r="AI158" s="7" t="str">
        <f>IFERROR(__xludf.DUMMYFUNCTION("GoogleTranslate(C158, ""en"", ""kn"")"),"ಹುಣ್ಣಿಮೆ")</f>
        <v>ಹುಣ್ಣಿಮೆ</v>
      </c>
      <c r="AJ158" s="7" t="str">
        <f>IFERROR(__xludf.DUMMYFUNCTION("GoogleTranslate(C158, ""en"", ""km"")"),"ព្រះច័ន្ទពេញ")</f>
        <v>ព្រះច័ន្ទពេញ</v>
      </c>
      <c r="AK158" s="7" t="str">
        <f>IFERROR(__xludf.DUMMYFUNCTION("GoogleTranslate(C158, ""en"", ""ko"")"),"만월")</f>
        <v>만월</v>
      </c>
      <c r="AL158" s="7" t="str">
        <f>IFERROR(__xludf.DUMMYFUNCTION("GoogleTranslate(C158, ""en"", ""lo"")"),"ເດືອນເຕັມ")</f>
        <v>ເດືອນເຕັມ</v>
      </c>
      <c r="AM158" s="7" t="str">
        <f>IFERROR(__xludf.DUMMYFUNCTION("GoogleTranslate(C158, ""en"", ""lv"")"),"Pilnmēness")</f>
        <v>Pilnmēness</v>
      </c>
      <c r="AN158" s="7" t="str">
        <f>IFERROR(__xludf.DUMMYFUNCTION("GoogleTranslate(C158, ""en"", ""lt"")"),"Pilnatis")</f>
        <v>Pilnatis</v>
      </c>
      <c r="AO158" s="7" t="str">
        <f>IFERROR(__xludf.DUMMYFUNCTION("GoogleTranslate(C158, ""en"", ""mk"")"),"Полна месечина")</f>
        <v>Полна месечина</v>
      </c>
      <c r="AP158" s="7" t="str">
        <f>IFERROR(__xludf.DUMMYFUNCTION("GoogleTranslate(C158, ""en"", ""ms"")"),"Bulan Penuh")</f>
        <v>Bulan Penuh</v>
      </c>
      <c r="AQ158" s="7" t="str">
        <f>IFERROR(__xludf.DUMMYFUNCTION("GoogleTranslate(C158, ""en"", ""ml"")"),"പൂർണ്ണ ചന്ദ്രൻ")</f>
        <v>പൂർണ്ണ ചന്ദ്രൻ</v>
      </c>
      <c r="AR158" s="7" t="str">
        <f>IFERROR(__xludf.DUMMYFUNCTION("GoogleTranslate(C158, ""en"", ""mr"")"),"पौर्णिमा")</f>
        <v>पौर्णिमा</v>
      </c>
      <c r="AS158" s="7" t="str">
        <f>IFERROR(__xludf.DUMMYFUNCTION("GoogleTranslate(C158, ""en"", ""mn"")"),"Бүтэн сар")</f>
        <v>Бүтэн сар</v>
      </c>
      <c r="AT158" s="7" t="str">
        <f>IFERROR(__xludf.DUMMYFUNCTION("GoogleTranslate(C158, ""en"", ""ne"")"),"पूर्णिमा")</f>
        <v>पूर्णिमा</v>
      </c>
      <c r="AU158" s="7" t="str">
        <f>IFERROR(__xludf.DUMMYFUNCTION("GoogleTranslate(C158, ""en"", ""nb"")"),"Fullmåne")</f>
        <v>Fullmåne</v>
      </c>
      <c r="AV158" s="7" t="str">
        <f>IFERROR(__xludf.DUMMYFUNCTION("GoogleTranslate(C158, ""en"", ""fa"")"),"ماه کامل")</f>
        <v>ماه کامل</v>
      </c>
      <c r="AW158" s="7" t="str">
        <f>IFERROR(__xludf.DUMMYFUNCTION("GoogleTranslate(C158, ""en"", ""pl"")"),"Pełnia księżyca")</f>
        <v>Pełnia księżyca</v>
      </c>
      <c r="AX158" s="7" t="str">
        <f>IFERROR(__xludf.DUMMYFUNCTION("GoogleTranslate(C158, ""en"", ""pt"")"),"Lua Cheia")</f>
        <v>Lua Cheia</v>
      </c>
      <c r="AY158" s="7" t="str">
        <f>IFERROR(__xludf.DUMMYFUNCTION("GoogleTranslate(C158, ""en"", ""ro"")"),"Lună plină")</f>
        <v>Lună plină</v>
      </c>
      <c r="AZ158" s="7" t="str">
        <f>IFERROR(__xludf.DUMMYFUNCTION("GoogleTranslate(C158, ""en"", ""ru"")"),"Полнолуние")</f>
        <v>Полнолуние</v>
      </c>
      <c r="BA158" s="7" t="str">
        <f>IFERROR(__xludf.DUMMYFUNCTION("GoogleTranslate(C158, ""en"", ""sr"")"),"Фулл Моон")</f>
        <v>Фулл Моон</v>
      </c>
      <c r="BB158" s="7" t="str">
        <f>IFERROR(__xludf.DUMMYFUNCTION("GoogleTranslate(C158, ""en"", ""si"")"),"පූර්ණ චන්ද්රයා")</f>
        <v>පූර්ණ චන්ද්රයා</v>
      </c>
      <c r="BC158" s="7" t="str">
        <f>IFERROR(__xludf.DUMMYFUNCTION("GoogleTranslate(C158, ""en"", ""sk"")"),"Spln mesiaca")</f>
        <v>Spln mesiaca</v>
      </c>
      <c r="BD158" s="7" t="str">
        <f>IFERROR(__xludf.DUMMYFUNCTION("GoogleTranslate(C158, ""en"", ""sl"")"),"polna luna")</f>
        <v>polna luna</v>
      </c>
      <c r="BE158" s="7" t="str">
        <f>IFERROR(__xludf.DUMMYFUNCTION("GoogleTranslate(C158, ""en"", ""es"")"),"Luna llena")</f>
        <v>Luna llena</v>
      </c>
      <c r="BF158" s="7" t="str">
        <f>IFERROR(__xludf.DUMMYFUNCTION("GoogleTranslate(C158, ""en"", ""sw"")"),"Mwezi Kamili")</f>
        <v>Mwezi Kamili</v>
      </c>
      <c r="BG158" s="7" t="str">
        <f>IFERROR(__xludf.DUMMYFUNCTION("GoogleTranslate(C158, ""en"", ""sv"")"),"Fullmåne")</f>
        <v>Fullmåne</v>
      </c>
      <c r="BH158" s="7" t="str">
        <f>IFERROR(__xludf.DUMMYFUNCTION("GoogleTranslate(C158, ""en"", ""te"")"),"పౌర్ణమి")</f>
        <v>పౌర్ణమి</v>
      </c>
      <c r="BI158" s="7" t="str">
        <f>IFERROR(__xludf.DUMMYFUNCTION("GoogleTranslate(C158, ""en"", ""th"")"),"พระจันทร์เต็มดวง")</f>
        <v>พระจันทร์เต็มดวง</v>
      </c>
      <c r="BJ158" s="7" t="str">
        <f>IFERROR(__xludf.DUMMYFUNCTION("GoogleTranslate(C158, ""en"", ""tr"")"),"Dolunay")</f>
        <v>Dolunay</v>
      </c>
      <c r="BK158" s="7" t="str">
        <f>IFERROR(__xludf.DUMMYFUNCTION("GoogleTranslate(C158, ""en"", ""uk"")"),"повний місяць")</f>
        <v>повний місяць</v>
      </c>
      <c r="BL158" s="7" t="str">
        <f>IFERROR(__xludf.DUMMYFUNCTION("GoogleTranslate(C158, ""en"", ""zu"")"),"Inyanga egcwele")</f>
        <v>Inyanga egcwele</v>
      </c>
    </row>
    <row r="159">
      <c r="A159" s="5" t="str">
        <f t="shared" si="1"/>
        <v>Waning_Gibbous</v>
      </c>
      <c r="B159" s="6" t="s">
        <v>215</v>
      </c>
      <c r="C159" s="5" t="str">
        <f t="shared" si="2"/>
        <v>Waning Gibbous</v>
      </c>
      <c r="D159" s="7" t="str">
        <f>IFERROR(__xludf.DUMMYFUNCTION("GoogleTranslate(C159, ""en"", ""es"")"),"Gibosa menguante")</f>
        <v>Gibosa menguante</v>
      </c>
      <c r="E159" s="7" t="str">
        <f>IFERROR(__xludf.DUMMYFUNCTION("GoogleTranslate(C159, ""en"", ""ar"")"),"يتضاءل جيبوس")</f>
        <v>يتضاءل جيبوس</v>
      </c>
      <c r="F159" s="7" t="str">
        <f>IFERROR(__xludf.DUMMYFUNCTION("GoogleTranslate(C159, ""en"", ""hy"")"),"Ունինգ Գիբուս")</f>
        <v>Ունինգ Գիբուս</v>
      </c>
      <c r="G159" s="7" t="str">
        <f>IFERROR(__xludf.DUMMYFUNCTION("GoogleTranslate(C159, ""en"", ""vi"")"),"Vượn suy yếu")</f>
        <v>Vượn suy yếu</v>
      </c>
      <c r="H159" s="7" t="str">
        <f>IFERROR(__xludf.DUMMYFUNCTION("GoogleTranslate(C159, ""en"", ""az"")"),"Gibbous zəifləyir")</f>
        <v>Gibbous zəifləyir</v>
      </c>
      <c r="I159" s="7" t="str">
        <f>IFERROR(__xludf.DUMMYFUNCTION("GoogleTranslate(C159, ""en"", ""eu"")"),"Gibosa galtzen")</f>
        <v>Gibosa galtzen</v>
      </c>
      <c r="J159" s="7" t="str">
        <f>IFERROR(__xludf.DUMMYFUNCTION("GoogleTranslate(C159, ""en"", ""be"")"),"Змяншэнне Gibbous")</f>
        <v>Змяншэнне Gibbous</v>
      </c>
      <c r="K159" s="7" t="str">
        <f>IFERROR(__xludf.DUMMYFUNCTION("GoogleTranslate(C159, ""en"", ""bn"")"),"ওয়েনিং গিবস")</f>
        <v>ওয়েনিং গিবস</v>
      </c>
      <c r="L159" s="7" t="str">
        <f>IFERROR(__xludf.DUMMYFUNCTION("GoogleTranslate(C159, ""en"", ""bg"")"),"Намаляващ Гибъс")</f>
        <v>Намаляващ Гибъс</v>
      </c>
      <c r="M159" s="7" t="str">
        <f>IFERROR(__xludf.DUMMYFUNCTION("GoogleTranslate(C159, ""en"", ""my"")"),"လဆုတ်လဆုတ်")</f>
        <v>လဆုတ်လဆုတ်</v>
      </c>
      <c r="N159" s="7" t="str">
        <f>IFERROR(__xludf.DUMMYFUNCTION("GoogleTranslate(C159, ""en"", ""ca"")"),"Gibós minvant")</f>
        <v>Gibós minvant</v>
      </c>
      <c r="O159" s="7" t="str">
        <f>IFERROR(__xludf.DUMMYFUNCTION("GoogleTranslate(C159, ""en"", ""zh-cn"")"),"渐亏凸月")</f>
        <v>渐亏凸月</v>
      </c>
      <c r="P159" s="7" t="str">
        <f>IFERROR(__xludf.DUMMYFUNCTION("GoogleTranslate(C159, ""en"", ""zh-TW"")"),"漸虧凸月")</f>
        <v>漸虧凸月</v>
      </c>
      <c r="Q159" s="7" t="str">
        <f>IFERROR(__xludf.DUMMYFUNCTION("GoogleTranslate(C159, ""en"", ""hr"")"),"Opadajući Gibbous")</f>
        <v>Opadajući Gibbous</v>
      </c>
      <c r="R159" s="7" t="str">
        <f>IFERROR(__xludf.DUMMYFUNCTION("GoogleTranslate(C159, ""en"", ""cs"")"),"Ubývající Gibbous")</f>
        <v>Ubývající Gibbous</v>
      </c>
      <c r="S159" s="7" t="str">
        <f>IFERROR(__xludf.DUMMYFUNCTION("GoogleTranslate(C159, ""en"", ""da"")"),"Aftagende Gibbous")</f>
        <v>Aftagende Gibbous</v>
      </c>
      <c r="T159" s="7" t="str">
        <f>IFERROR(__xludf.DUMMYFUNCTION("GoogleTranslate(C159, ""en"", ""nl"")"),"Afnemende Gibbous")</f>
        <v>Afnemende Gibbous</v>
      </c>
      <c r="U159" s="7" t="str">
        <f>IFERROR(__xludf.DUMMYFUNCTION("GoogleTranslate(C159, ""en"", ""et"")"),"Kahanev Gibbous")</f>
        <v>Kahanev Gibbous</v>
      </c>
      <c r="V159" s="5" t="str">
        <f t="shared" si="3"/>
        <v>Waning Gibbous</v>
      </c>
      <c r="W159" s="7" t="str">
        <f>IFERROR(__xludf.DUMMYFUNCTION("GoogleTranslate(C159, ""en"", ""fi"")"),"Hiipuva Gibbous")</f>
        <v>Hiipuva Gibbous</v>
      </c>
      <c r="X159" s="7" t="str">
        <f>IFERROR(__xludf.DUMMYFUNCTION("GoogleTranslate(C159, ""en"", ""fr"")"),"Gibbeux décroissant")</f>
        <v>Gibbeux décroissant</v>
      </c>
      <c r="Y159" s="7" t="str">
        <f>IFERROR(__xludf.DUMMYFUNCTION("GoogleTranslate(C159, ""en"", ""de"")"),"Abnehmender Gibbous")</f>
        <v>Abnehmender Gibbous</v>
      </c>
      <c r="Z159" s="7" t="str">
        <f>IFERROR(__xludf.DUMMYFUNCTION("GoogleTranslate(C159, ""en"", ""el"")"),"Waning Gibbous")</f>
        <v>Waning Gibbous</v>
      </c>
      <c r="AA159" s="7" t="str">
        <f>IFERROR(__xludf.DUMMYFUNCTION("GoogleTranslate(C159, ""en"", ""iw"")"),"גיבוס דועך")</f>
        <v>גיבוס דועך</v>
      </c>
      <c r="AB159" s="7" t="str">
        <f>IFERROR(__xludf.DUMMYFUNCTION("GoogleTranslate(C159, ""en"", ""hi"")"),"वैनिंग गिबस")</f>
        <v>वैनिंग गिबस</v>
      </c>
      <c r="AC159" s="7" t="str">
        <f>IFERROR(__xludf.DUMMYFUNCTION("GoogleTranslate(C159, ""en"", ""hu"")"),"Hanyatló Gibbous")</f>
        <v>Hanyatló Gibbous</v>
      </c>
      <c r="AD159" s="7" t="str">
        <f>IFERROR(__xludf.DUMMYFUNCTION("GoogleTranslate(C159, ""en"", ""is"")"),"Dvínandi Gibbous")</f>
        <v>Dvínandi Gibbous</v>
      </c>
      <c r="AE159" s="7" t="str">
        <f>IFERROR(__xludf.DUMMYFUNCTION("GoogleTranslate(C159, ""en"", ""id"")"),"Memudarnya Gibbous")</f>
        <v>Memudarnya Gibbous</v>
      </c>
      <c r="AF159" s="7" t="str">
        <f>IFERROR(__xludf.DUMMYFUNCTION("GoogleTranslate(C159, ""en"", ""in"")"),"Memudarnya Gibbous")</f>
        <v>Memudarnya Gibbous</v>
      </c>
      <c r="AG159" s="7" t="str">
        <f>IFERROR(__xludf.DUMMYFUNCTION("GoogleTranslate(C159, ""en"", ""it"")"),"Gibbous calante")</f>
        <v>Gibbous calante</v>
      </c>
      <c r="AH159" s="7" t="str">
        <f>IFERROR(__xludf.DUMMYFUNCTION("GoogleTranslate(C159, ""en"", ""ja"")"),"衰退するギブス")</f>
        <v>衰退するギブス</v>
      </c>
      <c r="AI159" s="7" t="str">
        <f>IFERROR(__xludf.DUMMYFUNCTION("GoogleTranslate(C159, ""en"", ""kn"")"),"ಕ್ಷೀಣಿಸುತ್ತಿರುವ ಗಿಬ್ಬಸ್")</f>
        <v>ಕ್ಷೀಣಿಸುತ್ತಿರುವ ಗಿಬ್ಬಸ್</v>
      </c>
      <c r="AJ159" s="7" t="str">
        <f>IFERROR(__xludf.DUMMYFUNCTION("GoogleTranslate(C159, ""en"", ""km"")"),"Waning Gibbous")</f>
        <v>Waning Gibbous</v>
      </c>
      <c r="AK159" s="7" t="str">
        <f>IFERROR(__xludf.DUMMYFUNCTION("GoogleTranslate(C159, ""en"", ""ko"")"),"쇠퇴하는 기버스")</f>
        <v>쇠퇴하는 기버스</v>
      </c>
      <c r="AL159" s="7" t="str">
        <f>IFERROR(__xludf.DUMMYFUNCTION("GoogleTranslate(C159, ""en"", ""lo"")"),"Waning Gibbous")</f>
        <v>Waning Gibbous</v>
      </c>
      <c r="AM159" s="7" t="str">
        <f>IFERROR(__xludf.DUMMYFUNCTION("GoogleTranslate(C159, ""en"", ""lv"")"),"Dilstošs Gibbous")</f>
        <v>Dilstošs Gibbous</v>
      </c>
      <c r="AN159" s="7" t="str">
        <f>IFERROR(__xludf.DUMMYFUNCTION("GoogleTranslate(C159, ""en"", ""lt"")"),"Mažėjantis Gibbousas")</f>
        <v>Mažėjantis Gibbousas</v>
      </c>
      <c r="AO159" s="7" t="str">
        <f>IFERROR(__xludf.DUMMYFUNCTION("GoogleTranslate(C159, ""en"", ""mk"")"),"Вангинг Гибус")</f>
        <v>Вангинг Гибус</v>
      </c>
      <c r="AP159" s="7" t="str">
        <f>IFERROR(__xludf.DUMMYFUNCTION("GoogleTranslate(C159, ""en"", ""ms"")"),"Waning Gibbous")</f>
        <v>Waning Gibbous</v>
      </c>
      <c r="AQ159" s="7" t="str">
        <f>IFERROR(__xludf.DUMMYFUNCTION("GoogleTranslate(C159, ""en"", ""ml"")"),"ക്ഷയിച്ചുപോകുന്ന ഗിബ്ബസ്")</f>
        <v>ക്ഷയിച്ചുപോകുന്ന ഗിബ്ബസ്</v>
      </c>
      <c r="AR159" s="7" t="str">
        <f>IFERROR(__xludf.DUMMYFUNCTION("GoogleTranslate(C159, ""en"", ""mr"")"),"वानिंग गिबस")</f>
        <v>वानिंग गिबस</v>
      </c>
      <c r="AS159" s="7" t="str">
        <f>IFERROR(__xludf.DUMMYFUNCTION("GoogleTranslate(C159, ""en"", ""mn"")"),"Усан Гиббоус")</f>
        <v>Усан Гиббоус</v>
      </c>
      <c r="AT159" s="7" t="str">
        <f>IFERROR(__xludf.DUMMYFUNCTION("GoogleTranslate(C159, ""en"", ""ne"")"),"Waning Gibbous")</f>
        <v>Waning Gibbous</v>
      </c>
      <c r="AU159" s="7" t="str">
        <f>IFERROR(__xludf.DUMMYFUNCTION("GoogleTranslate(C159, ""en"", ""nb"")"),"Avtagende Gibbous")</f>
        <v>Avtagende Gibbous</v>
      </c>
      <c r="AV159" s="7" t="str">
        <f>IFERROR(__xludf.DUMMYFUNCTION("GoogleTranslate(C159, ""en"", ""fa"")"),"گیبوس ونینگ")</f>
        <v>گیبوس ونینگ</v>
      </c>
      <c r="AW159" s="7" t="str">
        <f>IFERROR(__xludf.DUMMYFUNCTION("GoogleTranslate(C159, ""en"", ""pl"")"),"Ubywający Gibbous")</f>
        <v>Ubywający Gibbous</v>
      </c>
      <c r="AX159" s="7" t="str">
        <f>IFERROR(__xludf.DUMMYFUNCTION("GoogleTranslate(C159, ""en"", ""pt"")"),"Minguante Giboso")</f>
        <v>Minguante Giboso</v>
      </c>
      <c r="AY159" s="7" t="str">
        <f>IFERROR(__xludf.DUMMYFUNCTION("GoogleTranslate(C159, ""en"", ""ro"")"),"Waning Gibbous")</f>
        <v>Waning Gibbous</v>
      </c>
      <c r="AZ159" s="7" t="str">
        <f>IFERROR(__xludf.DUMMYFUNCTION("GoogleTranslate(C159, ""en"", ""ru"")"),"Убывающая Луна")</f>
        <v>Убывающая Луна</v>
      </c>
      <c r="BA159" s="7" t="str">
        <f>IFERROR(__xludf.DUMMYFUNCTION("GoogleTranslate(C159, ""en"", ""sr"")"),"Ванинг Гиббоус")</f>
        <v>Ванинг Гиббоус</v>
      </c>
      <c r="BB159" s="7" t="str">
        <f>IFERROR(__xludf.DUMMYFUNCTION("GoogleTranslate(C159, ""en"", ""si"")"),"ගිලිහෙන ගිබස්")</f>
        <v>ගිලිහෙන ගිබස්</v>
      </c>
      <c r="BC159" s="7" t="str">
        <f>IFERROR(__xludf.DUMMYFUNCTION("GoogleTranslate(C159, ""en"", ""sk"")"),"Ubúdajúci Gibbous")</f>
        <v>Ubúdajúci Gibbous</v>
      </c>
      <c r="BD159" s="7" t="str">
        <f>IFERROR(__xludf.DUMMYFUNCTION("GoogleTranslate(C159, ""en"", ""sl"")"),"Pojemajoči Gibbous")</f>
        <v>Pojemajoči Gibbous</v>
      </c>
      <c r="BE159" s="7" t="str">
        <f>IFERROR(__xludf.DUMMYFUNCTION("GoogleTranslate(C159, ""en"", ""es"")"),"Gibosa menguante")</f>
        <v>Gibosa menguante</v>
      </c>
      <c r="BF159" s="7" t="str">
        <f>IFERROR(__xludf.DUMMYFUNCTION("GoogleTranslate(C159, ""en"", ""sw"")"),"Gibbous anayepungua")</f>
        <v>Gibbous anayepungua</v>
      </c>
      <c r="BG159" s="7" t="str">
        <f>IFERROR(__xludf.DUMMYFUNCTION("GoogleTranslate(C159, ""en"", ""sv"")"),"Avtagande Gibbous")</f>
        <v>Avtagande Gibbous</v>
      </c>
      <c r="BH159" s="7" t="str">
        <f>IFERROR(__xludf.DUMMYFUNCTION("GoogleTranslate(C159, ""en"", ""te"")"),"క్షీణిస్తున్న గిబ్బస్")</f>
        <v>క్షీణిస్తున్న గిబ్బస్</v>
      </c>
      <c r="BI159" s="7" t="str">
        <f>IFERROR(__xludf.DUMMYFUNCTION("GoogleTranslate(C159, ""en"", ""th"")"),"จางหายไป Gibbous")</f>
        <v>จางหายไป Gibbous</v>
      </c>
      <c r="BJ159" s="7" t="str">
        <f>IFERROR(__xludf.DUMMYFUNCTION("GoogleTranslate(C159, ""en"", ""tr"")"),"Zayıflayan Kambur")</f>
        <v>Zayıflayan Kambur</v>
      </c>
      <c r="BK159" s="7" t="str">
        <f>IFERROR(__xludf.DUMMYFUNCTION("GoogleTranslate(C159, ""en"", ""uk"")"),"Згасаючий Гіббус")</f>
        <v>Згасаючий Гіббус</v>
      </c>
      <c r="BL159" s="7" t="str">
        <f>IFERROR(__xludf.DUMMYFUNCTION("GoogleTranslate(C159, ""en"", ""zu"")"),"Ehleka uGibbous")</f>
        <v>Ehleka uGibbous</v>
      </c>
    </row>
    <row r="160">
      <c r="A160" s="5" t="str">
        <f t="shared" si="1"/>
        <v>Third_Quarter</v>
      </c>
      <c r="B160" s="6" t="s">
        <v>216</v>
      </c>
      <c r="C160" s="5" t="str">
        <f t="shared" si="2"/>
        <v>Third Quarter</v>
      </c>
      <c r="D160" s="7" t="str">
        <f>IFERROR(__xludf.DUMMYFUNCTION("GoogleTranslate(C160, ""en"", ""es"")"),"Tercer trimestre")</f>
        <v>Tercer trimestre</v>
      </c>
      <c r="E160" s="7" t="str">
        <f>IFERROR(__xludf.DUMMYFUNCTION("GoogleTranslate(C160, ""en"", ""ar"")"),"الربع الثالث")</f>
        <v>الربع الثالث</v>
      </c>
      <c r="F160" s="7" t="str">
        <f>IFERROR(__xludf.DUMMYFUNCTION("GoogleTranslate(C160, ""en"", ""hy"")"),"Երրորդ եռամսյակ")</f>
        <v>Երրորդ եռամսյակ</v>
      </c>
      <c r="G160" s="7" t="str">
        <f>IFERROR(__xludf.DUMMYFUNCTION("GoogleTranslate(C160, ""en"", ""vi"")"),"Quý 3")</f>
        <v>Quý 3</v>
      </c>
      <c r="H160" s="7" t="str">
        <f>IFERROR(__xludf.DUMMYFUNCTION("GoogleTranslate(C160, ""en"", ""az"")"),"Üçüncü rüb")</f>
        <v>Üçüncü rüb</v>
      </c>
      <c r="I160" s="7" t="str">
        <f>IFERROR(__xludf.DUMMYFUNCTION("GoogleTranslate(C160, ""en"", ""eu"")"),"Hirugarren Hiruhilekoa")</f>
        <v>Hirugarren Hiruhilekoa</v>
      </c>
      <c r="J160" s="7" t="str">
        <f>IFERROR(__xludf.DUMMYFUNCTION("GoogleTranslate(C160, ""en"", ""be"")"),"Трэцяя чвэрць")</f>
        <v>Трэцяя чвэрць</v>
      </c>
      <c r="K160" s="7" t="str">
        <f>IFERROR(__xludf.DUMMYFUNCTION("GoogleTranslate(C160, ""en"", ""bn"")"),"তৃতীয় ত্রৈমাসিক")</f>
        <v>তৃতীয় ত্রৈমাসিক</v>
      </c>
      <c r="L160" s="7" t="str">
        <f>IFERROR(__xludf.DUMMYFUNCTION("GoogleTranslate(C160, ""en"", ""bg"")"),"Трета четвърт")</f>
        <v>Трета четвърт</v>
      </c>
      <c r="M160" s="7" t="str">
        <f>IFERROR(__xludf.DUMMYFUNCTION("GoogleTranslate(C160, ""en"", ""my"")"),"တတိယရပ်ကွက်")</f>
        <v>တတိယရပ်ကွက်</v>
      </c>
      <c r="N160" s="7" t="str">
        <f>IFERROR(__xludf.DUMMYFUNCTION("GoogleTranslate(C160, ""en"", ""ca"")"),"Tercer trimestre")</f>
        <v>Tercer trimestre</v>
      </c>
      <c r="O160" s="7" t="str">
        <f>IFERROR(__xludf.DUMMYFUNCTION("GoogleTranslate(C160, ""en"", ""zh-cn"")"),"第三季度")</f>
        <v>第三季度</v>
      </c>
      <c r="P160" s="7" t="str">
        <f>IFERROR(__xludf.DUMMYFUNCTION("GoogleTranslate(C160, ""en"", ""zh-TW"")"),"第三季")</f>
        <v>第三季</v>
      </c>
      <c r="Q160" s="7" t="str">
        <f>IFERROR(__xludf.DUMMYFUNCTION("GoogleTranslate(C160, ""en"", ""hr"")"),"Treća četvrtina")</f>
        <v>Treća četvrtina</v>
      </c>
      <c r="R160" s="7" t="str">
        <f>IFERROR(__xludf.DUMMYFUNCTION("GoogleTranslate(C160, ""en"", ""cs"")"),"Třetí čtvrtletí")</f>
        <v>Třetí čtvrtletí</v>
      </c>
      <c r="S160" s="7" t="str">
        <f>IFERROR(__xludf.DUMMYFUNCTION("GoogleTranslate(C160, ""en"", ""da"")"),"Tredje kvartal")</f>
        <v>Tredje kvartal</v>
      </c>
      <c r="T160" s="7" t="str">
        <f>IFERROR(__xludf.DUMMYFUNCTION("GoogleTranslate(C160, ""en"", ""nl"")"),"Derde kwartaal")</f>
        <v>Derde kwartaal</v>
      </c>
      <c r="U160" s="7" t="str">
        <f>IFERROR(__xludf.DUMMYFUNCTION("GoogleTranslate(C160, ""en"", ""et"")"),"Kolmas kvartal")</f>
        <v>Kolmas kvartal</v>
      </c>
      <c r="V160" s="5" t="str">
        <f t="shared" si="3"/>
        <v>Third Quarter</v>
      </c>
      <c r="W160" s="7" t="str">
        <f>IFERROR(__xludf.DUMMYFUNCTION("GoogleTranslate(C160, ""en"", ""fi"")"),"Kolmas vuosineljännes")</f>
        <v>Kolmas vuosineljännes</v>
      </c>
      <c r="X160" s="7" t="str">
        <f>IFERROR(__xludf.DUMMYFUNCTION("GoogleTranslate(C160, ""en"", ""fr"")"),"Troisième trimestre")</f>
        <v>Troisième trimestre</v>
      </c>
      <c r="Y160" s="7" t="str">
        <f>IFERROR(__xludf.DUMMYFUNCTION("GoogleTranslate(C160, ""en"", ""de"")"),"Drittes Viertel")</f>
        <v>Drittes Viertel</v>
      </c>
      <c r="Z160" s="7" t="str">
        <f>IFERROR(__xludf.DUMMYFUNCTION("GoogleTranslate(C160, ""en"", ""el"")"),"Τρίτο Τρίμηνο")</f>
        <v>Τρίτο Τρίμηνο</v>
      </c>
      <c r="AA160" s="7" t="str">
        <f>IFERROR(__xludf.DUMMYFUNCTION("GoogleTranslate(C160, ""en"", ""iw"")"),"רבעון שלישי")</f>
        <v>רבעון שלישי</v>
      </c>
      <c r="AB160" s="7" t="str">
        <f>IFERROR(__xludf.DUMMYFUNCTION("GoogleTranslate(C160, ""en"", ""hi"")"),"तीसरी तिमाही")</f>
        <v>तीसरी तिमाही</v>
      </c>
      <c r="AC160" s="7" t="str">
        <f>IFERROR(__xludf.DUMMYFUNCTION("GoogleTranslate(C160, ""en"", ""hu"")"),"Harmadik Negyed")</f>
        <v>Harmadik Negyed</v>
      </c>
      <c r="AD160" s="7" t="str">
        <f>IFERROR(__xludf.DUMMYFUNCTION("GoogleTranslate(C160, ""en"", ""is"")"),"Þriðji ársfjórðungur")</f>
        <v>Þriðji ársfjórðungur</v>
      </c>
      <c r="AE160" s="7" t="str">
        <f>IFERROR(__xludf.DUMMYFUNCTION("GoogleTranslate(C160, ""en"", ""id"")"),"Kuartal Ketiga")</f>
        <v>Kuartal Ketiga</v>
      </c>
      <c r="AF160" s="7" t="str">
        <f>IFERROR(__xludf.DUMMYFUNCTION("GoogleTranslate(C160, ""en"", ""in"")"),"Kuartal Ketiga")</f>
        <v>Kuartal Ketiga</v>
      </c>
      <c r="AG160" s="7" t="str">
        <f>IFERROR(__xludf.DUMMYFUNCTION("GoogleTranslate(C160, ""en"", ""it"")"),"Terzo quarto")</f>
        <v>Terzo quarto</v>
      </c>
      <c r="AH160" s="7" t="str">
        <f>IFERROR(__xludf.DUMMYFUNCTION("GoogleTranslate(C160, ""en"", ""ja"")"),"第3四半期")</f>
        <v>第3四半期</v>
      </c>
      <c r="AI160" s="7" t="str">
        <f>IFERROR(__xludf.DUMMYFUNCTION("GoogleTranslate(C160, ""en"", ""kn"")"),"ಮೂರನೇ ತ್ರೈಮಾಸಿಕ")</f>
        <v>ಮೂರನೇ ತ್ರೈಮಾಸಿಕ</v>
      </c>
      <c r="AJ160" s="7" t="str">
        <f>IFERROR(__xludf.DUMMYFUNCTION("GoogleTranslate(C160, ""en"", ""km"")"),"ត្រីមាសទីបី")</f>
        <v>ត្រីមាសទីបី</v>
      </c>
      <c r="AK160" s="7" t="str">
        <f>IFERROR(__xludf.DUMMYFUNCTION("GoogleTranslate(C160, ""en"", ""ko"")"),"3분기")</f>
        <v>3분기</v>
      </c>
      <c r="AL160" s="7" t="str">
        <f>IFERROR(__xludf.DUMMYFUNCTION("GoogleTranslate(C160, ""en"", ""lo"")"),"ໄຕມາດທີສາມ")</f>
        <v>ໄຕມາດທີສາມ</v>
      </c>
      <c r="AM160" s="7" t="str">
        <f>IFERROR(__xludf.DUMMYFUNCTION("GoogleTranslate(C160, ""en"", ""lv"")"),"Trešais ceturksnis")</f>
        <v>Trešais ceturksnis</v>
      </c>
      <c r="AN160" s="7" t="str">
        <f>IFERROR(__xludf.DUMMYFUNCTION("GoogleTranslate(C160, ""en"", ""lt"")"),"Trečiasis ketvirtis")</f>
        <v>Trečiasis ketvirtis</v>
      </c>
      <c r="AO160" s="7" t="str">
        <f>IFERROR(__xludf.DUMMYFUNCTION("GoogleTranslate(C160, ""en"", ""mk"")"),"Третиот квартал")</f>
        <v>Третиот квартал</v>
      </c>
      <c r="AP160" s="7" t="str">
        <f>IFERROR(__xludf.DUMMYFUNCTION("GoogleTranslate(C160, ""en"", ""ms"")"),"Suku Ketiga")</f>
        <v>Suku Ketiga</v>
      </c>
      <c r="AQ160" s="7" t="str">
        <f>IFERROR(__xludf.DUMMYFUNCTION("GoogleTranslate(C160, ""en"", ""ml"")"),"മൂന്നാം പാദം")</f>
        <v>മൂന്നാം പാദം</v>
      </c>
      <c r="AR160" s="7" t="str">
        <f>IFERROR(__xludf.DUMMYFUNCTION("GoogleTranslate(C160, ""en"", ""mr"")"),"तिसरा तिमाही")</f>
        <v>तिसरा तिमाही</v>
      </c>
      <c r="AS160" s="7" t="str">
        <f>IFERROR(__xludf.DUMMYFUNCTION("GoogleTranslate(C160, ""en"", ""mn"")"),"Гуравдугаар улирал")</f>
        <v>Гуравдугаар улирал</v>
      </c>
      <c r="AT160" s="7" t="str">
        <f>IFERROR(__xludf.DUMMYFUNCTION("GoogleTranslate(C160, ""en"", ""ne"")"),"तेस्रो क्वार्टर")</f>
        <v>तेस्रो क्वार्टर</v>
      </c>
      <c r="AU160" s="7" t="str">
        <f>IFERROR(__xludf.DUMMYFUNCTION("GoogleTranslate(C160, ""en"", ""nb"")"),"Tredje kvartal")</f>
        <v>Tredje kvartal</v>
      </c>
      <c r="AV160" s="7" t="str">
        <f>IFERROR(__xludf.DUMMYFUNCTION("GoogleTranslate(C160, ""en"", ""fa"")"),"سه ماهه سوم")</f>
        <v>سه ماهه سوم</v>
      </c>
      <c r="AW160" s="7" t="str">
        <f>IFERROR(__xludf.DUMMYFUNCTION("GoogleTranslate(C160, ""en"", ""pl"")"),"Trzeci kwartał")</f>
        <v>Trzeci kwartał</v>
      </c>
      <c r="AX160" s="7" t="str">
        <f>IFERROR(__xludf.DUMMYFUNCTION("GoogleTranslate(C160, ""en"", ""pt"")"),"Terceiro Trimestre")</f>
        <v>Terceiro Trimestre</v>
      </c>
      <c r="AY160" s="7" t="str">
        <f>IFERROR(__xludf.DUMMYFUNCTION("GoogleTranslate(C160, ""en"", ""ro"")"),"Al treilea trimestru")</f>
        <v>Al treilea trimestru</v>
      </c>
      <c r="AZ160" s="7" t="str">
        <f>IFERROR(__xludf.DUMMYFUNCTION("GoogleTranslate(C160, ""en"", ""ru"")"),"Третья четверть")</f>
        <v>Третья четверть</v>
      </c>
      <c r="BA160" s="7" t="str">
        <f>IFERROR(__xludf.DUMMYFUNCTION("GoogleTranslate(C160, ""en"", ""sr"")"),"Трећа четвртина")</f>
        <v>Трећа четвртина</v>
      </c>
      <c r="BB160" s="7" t="str">
        <f>IFERROR(__xludf.DUMMYFUNCTION("GoogleTranslate(C160, ""en"", ""si"")"),"තුන්වන කාර්තුව")</f>
        <v>තුන්වන කාර්තුව</v>
      </c>
      <c r="BC160" s="7" t="str">
        <f>IFERROR(__xludf.DUMMYFUNCTION("GoogleTranslate(C160, ""en"", ""sk"")"),"Tretí štvrťrok")</f>
        <v>Tretí štvrťrok</v>
      </c>
      <c r="BD160" s="7" t="str">
        <f>IFERROR(__xludf.DUMMYFUNCTION("GoogleTranslate(C160, ""en"", ""sl"")"),"Tretja četrtina")</f>
        <v>Tretja četrtina</v>
      </c>
      <c r="BE160" s="7" t="str">
        <f>IFERROR(__xludf.DUMMYFUNCTION("GoogleTranslate(C160, ""en"", ""es"")"),"Tercer trimestre")</f>
        <v>Tercer trimestre</v>
      </c>
      <c r="BF160" s="7" t="str">
        <f>IFERROR(__xludf.DUMMYFUNCTION("GoogleTranslate(C160, ""en"", ""sw"")"),"Robo ya Tatu")</f>
        <v>Robo ya Tatu</v>
      </c>
      <c r="BG160" s="7" t="str">
        <f>IFERROR(__xludf.DUMMYFUNCTION("GoogleTranslate(C160, ""en"", ""sv"")"),"Tredje kvartalet")</f>
        <v>Tredje kvartalet</v>
      </c>
      <c r="BH160" s="7" t="str">
        <f>IFERROR(__xludf.DUMMYFUNCTION("GoogleTranslate(C160, ""en"", ""te"")"),"మూడవ త్రైమాసికం")</f>
        <v>మూడవ త్రైమాసికం</v>
      </c>
      <c r="BI160" s="7" t="str">
        <f>IFERROR(__xludf.DUMMYFUNCTION("GoogleTranslate(C160, ""en"", ""th"")"),"ไตรมาสที่สาม")</f>
        <v>ไตรมาสที่สาม</v>
      </c>
      <c r="BJ160" s="7" t="str">
        <f>IFERROR(__xludf.DUMMYFUNCTION("GoogleTranslate(C160, ""en"", ""tr"")"),"Üçüncü Çeyrek")</f>
        <v>Üçüncü Çeyrek</v>
      </c>
      <c r="BK160" s="7" t="str">
        <f>IFERROR(__xludf.DUMMYFUNCTION("GoogleTranslate(C160, ""en"", ""uk"")"),"Третя чверть")</f>
        <v>Третя чверть</v>
      </c>
      <c r="BL160" s="7" t="str">
        <f>IFERROR(__xludf.DUMMYFUNCTION("GoogleTranslate(C160, ""en"", ""zu"")"),"Ikota Yesithathu")</f>
        <v>Ikota Yesithathu</v>
      </c>
    </row>
    <row r="161">
      <c r="A161" s="5" t="str">
        <f t="shared" si="1"/>
        <v>Waning_Crescent</v>
      </c>
      <c r="B161" s="6" t="s">
        <v>217</v>
      </c>
      <c r="C161" s="5" t="str">
        <f t="shared" si="2"/>
        <v>Waning Crescent</v>
      </c>
      <c r="D161" s="7" t="str">
        <f>IFERROR(__xludf.DUMMYFUNCTION("GoogleTranslate(C161, ""en"", ""es"")"),"Media luna menguante")</f>
        <v>Media luna menguante</v>
      </c>
      <c r="E161" s="7" t="str">
        <f>IFERROR(__xludf.DUMMYFUNCTION("GoogleTranslate(C161, ""en"", ""ar"")"),"الهلال المتضاءل")</f>
        <v>الهلال المتضاءل</v>
      </c>
      <c r="F161" s="7" t="str">
        <f>IFERROR(__xludf.DUMMYFUNCTION("GoogleTranslate(C161, ""en"", ""hy"")"),"Թուլացող կիսալուսին")</f>
        <v>Թուլացող կիսալուսին</v>
      </c>
      <c r="G161" s="7" t="str">
        <f>IFERROR(__xludf.DUMMYFUNCTION("GoogleTranslate(C161, ""en"", ""vi"")"),"Lưỡi liềm suy yếu")</f>
        <v>Lưỡi liềm suy yếu</v>
      </c>
      <c r="H161" s="7" t="str">
        <f>IFERROR(__xludf.DUMMYFUNCTION("GoogleTranslate(C161, ""en"", ""az"")"),"Sönən Aypara")</f>
        <v>Sönən Aypara</v>
      </c>
      <c r="I161" s="7" t="str">
        <f>IFERROR(__xludf.DUMMYFUNCTION("GoogleTranslate(C161, ""en"", ""eu"")"),"Ilargierdi beherakorra")</f>
        <v>Ilargierdi beherakorra</v>
      </c>
      <c r="J161" s="7" t="str">
        <f>IFERROR(__xludf.DUMMYFUNCTION("GoogleTranslate(C161, ""en"", ""be"")"),"Змяншальны паўмесяц")</f>
        <v>Змяншальны паўмесяц</v>
      </c>
      <c r="K161" s="7" t="str">
        <f>IFERROR(__xludf.DUMMYFUNCTION("GoogleTranslate(C161, ""en"", ""bn"")"),"ক্ষয়প্রাপ্ত ক্রিসেন্ট")</f>
        <v>ক্ষয়প্রাপ্ত ক্রিসেন্ট</v>
      </c>
      <c r="L161" s="7" t="str">
        <f>IFERROR(__xludf.DUMMYFUNCTION("GoogleTranslate(C161, ""en"", ""bg"")"),"Намаляващ полумесец")</f>
        <v>Намаляващ полумесец</v>
      </c>
      <c r="M161" s="7" t="str">
        <f>IFERROR(__xludf.DUMMYFUNCTION("GoogleTranslate(C161, ""en"", ""my"")"),"လဆုတ်လခြမ်း")</f>
        <v>လဆုတ်လခြမ်း</v>
      </c>
      <c r="N161" s="7" t="str">
        <f>IFERROR(__xludf.DUMMYFUNCTION("GoogleTranslate(C161, ""en"", ""ca"")"),"Creixent minvant")</f>
        <v>Creixent minvant</v>
      </c>
      <c r="O161" s="7" t="str">
        <f>IFERROR(__xludf.DUMMYFUNCTION("GoogleTranslate(C161, ""en"", ""zh-cn"")"),"渐亏新月")</f>
        <v>渐亏新月</v>
      </c>
      <c r="P161" s="7" t="str">
        <f>IFERROR(__xludf.DUMMYFUNCTION("GoogleTranslate(C161, ""en"", ""zh-TW"")"),"漸虧新月")</f>
        <v>漸虧新月</v>
      </c>
      <c r="Q161" s="7" t="str">
        <f>IFERROR(__xludf.DUMMYFUNCTION("GoogleTranslate(C161, ""en"", ""hr"")"),"Opadajući polumjesec")</f>
        <v>Opadajući polumjesec</v>
      </c>
      <c r="R161" s="7" t="str">
        <f>IFERROR(__xludf.DUMMYFUNCTION("GoogleTranslate(C161, ""en"", ""cs"")"),"Ubývající půlměsíc")</f>
        <v>Ubývající půlměsíc</v>
      </c>
      <c r="S161" s="7" t="str">
        <f>IFERROR(__xludf.DUMMYFUNCTION("GoogleTranslate(C161, ""en"", ""da"")"),"Aftagende halvmåne")</f>
        <v>Aftagende halvmåne</v>
      </c>
      <c r="T161" s="7" t="str">
        <f>IFERROR(__xludf.DUMMYFUNCTION("GoogleTranslate(C161, ""en"", ""nl"")"),"Afnemende halve maan")</f>
        <v>Afnemende halve maan</v>
      </c>
      <c r="U161" s="7" t="str">
        <f>IFERROR(__xludf.DUMMYFUNCTION("GoogleTranslate(C161, ""en"", ""et"")"),"Kahanev poolkuu")</f>
        <v>Kahanev poolkuu</v>
      </c>
      <c r="V161" s="5" t="str">
        <f t="shared" si="3"/>
        <v>Waning Crescent</v>
      </c>
      <c r="W161" s="7" t="str">
        <f>IFERROR(__xludf.DUMMYFUNCTION("GoogleTranslate(C161, ""en"", ""fi"")"),"Hiipuva Crescent")</f>
        <v>Hiipuva Crescent</v>
      </c>
      <c r="X161" s="7" t="str">
        <f>IFERROR(__xludf.DUMMYFUNCTION("GoogleTranslate(C161, ""en"", ""fr"")"),"Croissant décroissant")</f>
        <v>Croissant décroissant</v>
      </c>
      <c r="Y161" s="7" t="str">
        <f>IFERROR(__xludf.DUMMYFUNCTION("GoogleTranslate(C161, ""en"", ""de"")"),"Abnehmender Halbmond")</f>
        <v>Abnehmender Halbmond</v>
      </c>
      <c r="Z161" s="7" t="str">
        <f>IFERROR(__xludf.DUMMYFUNCTION("GoogleTranslate(C161, ""en"", ""el"")"),"Ημισέληνος που εξαφανίζεται")</f>
        <v>Ημισέληνος που εξαφανίζεται</v>
      </c>
      <c r="AA161" s="7" t="str">
        <f>IFERROR(__xludf.DUMMYFUNCTION("GoogleTranslate(C161, ""en"", ""iw"")"),"סהר הולך ופוחת")</f>
        <v>סהר הולך ופוחת</v>
      </c>
      <c r="AB161" s="7" t="str">
        <f>IFERROR(__xludf.DUMMYFUNCTION("GoogleTranslate(C161, ""en"", ""hi"")"),"नवचंद्र का घटाव")</f>
        <v>नवचंद्र का घटाव</v>
      </c>
      <c r="AC161" s="7" t="str">
        <f>IFERROR(__xludf.DUMMYFUNCTION("GoogleTranslate(C161, ""en"", ""hu"")"),"Csökkenő Félhold")</f>
        <v>Csökkenő Félhold</v>
      </c>
      <c r="AD161" s="7" t="str">
        <f>IFERROR(__xludf.DUMMYFUNCTION("GoogleTranslate(C161, ""en"", ""is"")"),"Dvínandi hálfmáni")</f>
        <v>Dvínandi hálfmáni</v>
      </c>
      <c r="AE161" s="7" t="str">
        <f>IFERROR(__xludf.DUMMYFUNCTION("GoogleTranslate(C161, ""en"", ""id"")"),"Bulan Sabit yang Memudar")</f>
        <v>Bulan Sabit yang Memudar</v>
      </c>
      <c r="AF161" s="7" t="str">
        <f>IFERROR(__xludf.DUMMYFUNCTION("GoogleTranslate(C161, ""en"", ""in"")"),"Bulan Sabit yang Memudar")</f>
        <v>Bulan Sabit yang Memudar</v>
      </c>
      <c r="AG161" s="7" t="str">
        <f>IFERROR(__xludf.DUMMYFUNCTION("GoogleTranslate(C161, ""en"", ""it"")"),"Mezzaluna calante")</f>
        <v>Mezzaluna calante</v>
      </c>
      <c r="AH161" s="7" t="str">
        <f>IFERROR(__xludf.DUMMYFUNCTION("GoogleTranslate(C161, ""en"", ""ja"")"),"下弦の三日月")</f>
        <v>下弦の三日月</v>
      </c>
      <c r="AI161" s="7" t="str">
        <f>IFERROR(__xludf.DUMMYFUNCTION("GoogleTranslate(C161, ""en"", ""kn"")"),"ಕ್ಷೀಣಿಸುತ್ತಿರುವ ಕ್ರೆಸೆಂಟ್")</f>
        <v>ಕ್ಷೀಣಿಸುತ್ತಿರುವ ಕ್ರೆಸೆಂಟ್</v>
      </c>
      <c r="AJ161" s="7" t="str">
        <f>IFERROR(__xludf.DUMMYFUNCTION("GoogleTranslate(C161, ""en"", ""km"")"),"អឌ្ឍចន្ទចន្ទន៍")</f>
        <v>អឌ្ឍចន្ទចន្ទន៍</v>
      </c>
      <c r="AK161" s="7" t="str">
        <f>IFERROR(__xludf.DUMMYFUNCTION("GoogleTranslate(C161, ""en"", ""ko"")"),"쇠퇴하는 초승달")</f>
        <v>쇠퇴하는 초승달</v>
      </c>
      <c r="AL161" s="7" t="str">
        <f>IFERROR(__xludf.DUMMYFUNCTION("GoogleTranslate(C161, ""en"", ""lo"")"),"ວົງເດືອນຂ້າງ")</f>
        <v>ວົງເດືອນຂ້າງ</v>
      </c>
      <c r="AM161" s="7" t="str">
        <f>IFERROR(__xludf.DUMMYFUNCTION("GoogleTranslate(C161, ""en"", ""lv"")"),"Dilstošs pusmēness")</f>
        <v>Dilstošs pusmēness</v>
      </c>
      <c r="AN161" s="7" t="str">
        <f>IFERROR(__xludf.DUMMYFUNCTION("GoogleTranslate(C161, ""en"", ""lt"")"),"Mažėjantis pusmėnulis")</f>
        <v>Mažėjantis pusmėnulis</v>
      </c>
      <c r="AO161" s="7" t="str">
        <f>IFERROR(__xludf.DUMMYFUNCTION("GoogleTranslate(C161, ""en"", ""mk"")"),"Слаба полумесечина")</f>
        <v>Слаба полумесечина</v>
      </c>
      <c r="AP161" s="7" t="str">
        <f>IFERROR(__xludf.DUMMYFUNCTION("GoogleTranslate(C161, ""en"", ""ms"")"),"Bulan Sabit Memudar")</f>
        <v>Bulan Sabit Memudar</v>
      </c>
      <c r="AQ161" s="7" t="str">
        <f>IFERROR(__xludf.DUMMYFUNCTION("GoogleTranslate(C161, ""en"", ""ml"")"),"ക്ഷയിക്കുന്ന ചന്ദ്രക്കല")</f>
        <v>ക്ഷയിക്കുന്ന ചന്ദ്രക്കല</v>
      </c>
      <c r="AR161" s="7" t="str">
        <f>IFERROR(__xludf.DUMMYFUNCTION("GoogleTranslate(C161, ""en"", ""mr"")"),"क्षीण चंद्रकोर")</f>
        <v>क्षीण चंद्रकोर</v>
      </c>
      <c r="AS161" s="7" t="str">
        <f>IFERROR(__xludf.DUMMYFUNCTION("GoogleTranslate(C161, ""en"", ""mn"")"),"Хагас сар")</f>
        <v>Хагас сар</v>
      </c>
      <c r="AT161" s="7" t="str">
        <f>IFERROR(__xludf.DUMMYFUNCTION("GoogleTranslate(C161, ""en"", ""ne"")"),"झर्ने क्रिसेन्ट")</f>
        <v>झर्ने क्रिसेन्ट</v>
      </c>
      <c r="AU161" s="7" t="str">
        <f>IFERROR(__xludf.DUMMYFUNCTION("GoogleTranslate(C161, ""en"", ""nb"")"),"Avtagende halvmåne")</f>
        <v>Avtagende halvmåne</v>
      </c>
      <c r="AV161" s="7" t="str">
        <f>IFERROR(__xludf.DUMMYFUNCTION("GoogleTranslate(C161, ""en"", ""fa"")"),"هلال رو به زوال")</f>
        <v>هلال رو به زوال</v>
      </c>
      <c r="AW161" s="7" t="str">
        <f>IFERROR(__xludf.DUMMYFUNCTION("GoogleTranslate(C161, ""en"", ""pl"")"),"Ubywający Półksiężyc")</f>
        <v>Ubywający Półksiężyc</v>
      </c>
      <c r="AX161" s="7" t="str">
        <f>IFERROR(__xludf.DUMMYFUNCTION("GoogleTranslate(C161, ""en"", ""pt"")"),"Crescente Minguante")</f>
        <v>Crescente Minguante</v>
      </c>
      <c r="AY161" s="7" t="str">
        <f>IFERROR(__xludf.DUMMYFUNCTION("GoogleTranslate(C161, ""en"", ""ro"")"),"Semiluna în scădere")</f>
        <v>Semiluna în scădere</v>
      </c>
      <c r="AZ161" s="7" t="str">
        <f>IFERROR(__xludf.DUMMYFUNCTION("GoogleTranslate(C161, ""en"", ""ru"")"),"Убывающий полумесяц")</f>
        <v>Убывающий полумесяц</v>
      </c>
      <c r="BA161" s="7" t="str">
        <f>IFERROR(__xludf.DUMMYFUNCTION("GoogleTranslate(C161, ""en"", ""sr"")"),"Ванинг Цресцент")</f>
        <v>Ванинг Цресцент</v>
      </c>
      <c r="BB161" s="7" t="str">
        <f>IFERROR(__xludf.DUMMYFUNCTION("GoogleTranslate(C161, ""en"", ""si"")"),"ක්‍රෙසන්ට් ක්ෂය වෙමින් පවතී")</f>
        <v>ක්‍රෙසන්ට් ක්ෂය වෙමින් පවතී</v>
      </c>
      <c r="BC161" s="7" t="str">
        <f>IFERROR(__xludf.DUMMYFUNCTION("GoogleTranslate(C161, ""en"", ""sk"")"),"Ubúdajúci polmesiac")</f>
        <v>Ubúdajúci polmesiac</v>
      </c>
      <c r="BD161" s="7" t="str">
        <f>IFERROR(__xludf.DUMMYFUNCTION("GoogleTranslate(C161, ""en"", ""sl"")"),"Padajoči polmesec")</f>
        <v>Padajoči polmesec</v>
      </c>
      <c r="BE161" s="7" t="str">
        <f>IFERROR(__xludf.DUMMYFUNCTION("GoogleTranslate(C161, ""en"", ""es"")"),"Media luna menguante")</f>
        <v>Media luna menguante</v>
      </c>
      <c r="BF161" s="7" t="str">
        <f>IFERROR(__xludf.DUMMYFUNCTION("GoogleTranslate(C161, ""en"", ""sw"")"),"Mpevu unaopungua")</f>
        <v>Mpevu unaopungua</v>
      </c>
      <c r="BG161" s="7" t="str">
        <f>IFERROR(__xludf.DUMMYFUNCTION("GoogleTranslate(C161, ""en"", ""sv"")"),"Avtagande halvmåne")</f>
        <v>Avtagande halvmåne</v>
      </c>
      <c r="BH161" s="7" t="str">
        <f>IFERROR(__xludf.DUMMYFUNCTION("GoogleTranslate(C161, ""en"", ""te"")"),"క్షీణిస్తున్న చంద్రవంక")</f>
        <v>క్షీణిస్తున్న చంద్రవంక</v>
      </c>
      <c r="BI161" s="7" t="str">
        <f>IFERROR(__xludf.DUMMYFUNCTION("GoogleTranslate(C161, ""en"", ""th"")"),"จันทร์เสี้ยวข้างแรม")</f>
        <v>จันทร์เสี้ยวข้างแรม</v>
      </c>
      <c r="BJ161" s="7" t="str">
        <f>IFERROR(__xludf.DUMMYFUNCTION("GoogleTranslate(C161, ""en"", ""tr"")"),"Azalan Hilal")</f>
        <v>Azalan Hilal</v>
      </c>
      <c r="BK161" s="7" t="str">
        <f>IFERROR(__xludf.DUMMYFUNCTION("GoogleTranslate(C161, ""en"", ""uk"")"),"Згасаючий півмісяць")</f>
        <v>Згасаючий півмісяць</v>
      </c>
      <c r="BL161" s="7" t="str">
        <f>IFERROR(__xludf.DUMMYFUNCTION("GoogleTranslate(C161, ""en"", ""zu"")"),"I-Crescent Eyehlayo")</f>
        <v>I-Crescent Eyehlayo</v>
      </c>
    </row>
    <row r="162">
      <c r="A162" s="5" t="str">
        <f t="shared" si="1"/>
        <v>New_Moon</v>
      </c>
      <c r="B162" s="6" t="s">
        <v>210</v>
      </c>
      <c r="C162" s="5" t="str">
        <f t="shared" si="2"/>
        <v>New Moon</v>
      </c>
      <c r="D162" s="7" t="str">
        <f>IFERROR(__xludf.DUMMYFUNCTION("GoogleTranslate(C162, ""en"", ""es"")"),"Luna nueva")</f>
        <v>Luna nueva</v>
      </c>
      <c r="E162" s="7" t="str">
        <f>IFERROR(__xludf.DUMMYFUNCTION("GoogleTranslate(C162, ""en"", ""ar"")"),"القمر الجديد")</f>
        <v>القمر الجديد</v>
      </c>
      <c r="F162" s="7" t="str">
        <f>IFERROR(__xludf.DUMMYFUNCTION("GoogleTranslate(C162, ""en"", ""hy"")"),"Նոր Լուսին")</f>
        <v>Նոր Լուսին</v>
      </c>
      <c r="G162" s="7" t="str">
        <f>IFERROR(__xludf.DUMMYFUNCTION("GoogleTranslate(C162, ""en"", ""vi"")"),"Trăng non")</f>
        <v>Trăng non</v>
      </c>
      <c r="H162" s="7" t="str">
        <f>IFERROR(__xludf.DUMMYFUNCTION("GoogleTranslate(C162, ""en"", ""az"")"),"Yeni Ay")</f>
        <v>Yeni Ay</v>
      </c>
      <c r="I162" s="7" t="str">
        <f>IFERROR(__xludf.DUMMYFUNCTION("GoogleTranslate(C162, ""en"", ""eu"")"),"Ilberria")</f>
        <v>Ilberria</v>
      </c>
      <c r="J162" s="7" t="str">
        <f>IFERROR(__xludf.DUMMYFUNCTION("GoogleTranslate(C162, ""en"", ""be"")"),"Маладзік")</f>
        <v>Маладзік</v>
      </c>
      <c r="K162" s="7" t="str">
        <f>IFERROR(__xludf.DUMMYFUNCTION("GoogleTranslate(C162, ""en"", ""bn"")"),"অমাবস্যা")</f>
        <v>অমাবস্যা</v>
      </c>
      <c r="L162" s="7" t="str">
        <f>IFERROR(__xludf.DUMMYFUNCTION("GoogleTranslate(C162, ""en"", ""bg"")"),"Новолуние")</f>
        <v>Новолуние</v>
      </c>
      <c r="M162" s="7" t="str">
        <f>IFERROR(__xludf.DUMMYFUNCTION("GoogleTranslate(C162, ""en"", ""my"")"),"လဆန်း")</f>
        <v>လဆန်း</v>
      </c>
      <c r="N162" s="7" t="str">
        <f>IFERROR(__xludf.DUMMYFUNCTION("GoogleTranslate(C162, ""en"", ""ca"")"),"Lluna nova")</f>
        <v>Lluna nova</v>
      </c>
      <c r="O162" s="7" t="str">
        <f>IFERROR(__xludf.DUMMYFUNCTION("GoogleTranslate(C162, ""en"", ""zh-cn"")"),"新月")</f>
        <v>新月</v>
      </c>
      <c r="P162" s="7" t="str">
        <f>IFERROR(__xludf.DUMMYFUNCTION("GoogleTranslate(C162, ""en"", ""zh-TW"")"),"新月")</f>
        <v>新月</v>
      </c>
      <c r="Q162" s="7" t="str">
        <f>IFERROR(__xludf.DUMMYFUNCTION("GoogleTranslate(C162, ""en"", ""hr"")"),"mladi mjesec")</f>
        <v>mladi mjesec</v>
      </c>
      <c r="R162" s="7" t="str">
        <f>IFERROR(__xludf.DUMMYFUNCTION("GoogleTranslate(C162, ""en"", ""cs"")"),"Novoluní")</f>
        <v>Novoluní</v>
      </c>
      <c r="S162" s="7" t="str">
        <f>IFERROR(__xludf.DUMMYFUNCTION("GoogleTranslate(C162, ""en"", ""da"")"),"Nymåne")</f>
        <v>Nymåne</v>
      </c>
      <c r="T162" s="7" t="str">
        <f>IFERROR(__xludf.DUMMYFUNCTION("GoogleTranslate(C162, ""en"", ""nl"")"),"Nieuwe maan")</f>
        <v>Nieuwe maan</v>
      </c>
      <c r="U162" s="7" t="str">
        <f>IFERROR(__xludf.DUMMYFUNCTION("GoogleTranslate(C162, ""en"", ""et"")"),"Noorkuu")</f>
        <v>Noorkuu</v>
      </c>
      <c r="V162" s="5" t="str">
        <f t="shared" si="3"/>
        <v>New Moon</v>
      </c>
      <c r="W162" s="7" t="str">
        <f>IFERROR(__xludf.DUMMYFUNCTION("GoogleTranslate(C162, ""en"", ""fi"")"),"Uusi kuu")</f>
        <v>Uusi kuu</v>
      </c>
      <c r="X162" s="7" t="str">
        <f>IFERROR(__xludf.DUMMYFUNCTION("GoogleTranslate(C162, ""en"", ""fr"")"),"Nouvelle lune")</f>
        <v>Nouvelle lune</v>
      </c>
      <c r="Y162" s="7" t="str">
        <f>IFERROR(__xludf.DUMMYFUNCTION("GoogleTranslate(C162, ""en"", ""de"")"),"Neumond")</f>
        <v>Neumond</v>
      </c>
      <c r="Z162" s="7" t="str">
        <f>IFERROR(__xludf.DUMMYFUNCTION("GoogleTranslate(C162, ""en"", ""el"")"),"Νέα Σελήνη")</f>
        <v>Νέα Σελήνη</v>
      </c>
      <c r="AA162" s="7" t="str">
        <f>IFERROR(__xludf.DUMMYFUNCTION("GoogleTranslate(C162, ""en"", ""iw"")"),"רֹאשׁ חוֹדֶשׁ")</f>
        <v>רֹאשׁ חוֹדֶשׁ</v>
      </c>
      <c r="AB162" s="7" t="str">
        <f>IFERROR(__xludf.DUMMYFUNCTION("GoogleTranslate(C162, ""en"", ""hi"")"),"अमावस्या")</f>
        <v>अमावस्या</v>
      </c>
      <c r="AC162" s="7" t="str">
        <f>IFERROR(__xludf.DUMMYFUNCTION("GoogleTranslate(C162, ""en"", ""hu"")"),"Újhold")</f>
        <v>Újhold</v>
      </c>
      <c r="AD162" s="7" t="str">
        <f>IFERROR(__xludf.DUMMYFUNCTION("GoogleTranslate(C162, ""en"", ""is"")"),"Nýtt tungl")</f>
        <v>Nýtt tungl</v>
      </c>
      <c r="AE162" s="7" t="str">
        <f>IFERROR(__xludf.DUMMYFUNCTION("GoogleTranslate(C162, ""en"", ""id"")"),"Bulan Baru")</f>
        <v>Bulan Baru</v>
      </c>
      <c r="AF162" s="7" t="str">
        <f>IFERROR(__xludf.DUMMYFUNCTION("GoogleTranslate(C162, ""en"", ""in"")"),"Bulan Baru")</f>
        <v>Bulan Baru</v>
      </c>
      <c r="AG162" s="7" t="str">
        <f>IFERROR(__xludf.DUMMYFUNCTION("GoogleTranslate(C162, ""en"", ""it"")"),"Luna Nuova")</f>
        <v>Luna Nuova</v>
      </c>
      <c r="AH162" s="7" t="str">
        <f>IFERROR(__xludf.DUMMYFUNCTION("GoogleTranslate(C162, ""en"", ""ja"")"),"新月")</f>
        <v>新月</v>
      </c>
      <c r="AI162" s="7" t="str">
        <f>IFERROR(__xludf.DUMMYFUNCTION("GoogleTranslate(C162, ""en"", ""kn"")"),"ಅಮಾವಾಸ್ಯೆ")</f>
        <v>ಅಮಾವಾಸ್ಯೆ</v>
      </c>
      <c r="AJ162" s="7" t="str">
        <f>IFERROR(__xludf.DUMMYFUNCTION("GoogleTranslate(C162, ""en"", ""km"")"),"ព្រះច័ន្ទថ្មី។")</f>
        <v>ព្រះច័ន្ទថ្មី។</v>
      </c>
      <c r="AK162" s="7" t="str">
        <f>IFERROR(__xludf.DUMMYFUNCTION("GoogleTranslate(C162, ""en"", ""ko"")"),"초승달")</f>
        <v>초승달</v>
      </c>
      <c r="AL162" s="7" t="str">
        <f>IFERROR(__xludf.DUMMYFUNCTION("GoogleTranslate(C162, ""en"", ""lo"")"),"ເດືອນໃໝ່")</f>
        <v>ເດືອນໃໝ່</v>
      </c>
      <c r="AM162" s="7" t="str">
        <f>IFERROR(__xludf.DUMMYFUNCTION("GoogleTranslate(C162, ""en"", ""lv"")"),"Jauns Mēness")</f>
        <v>Jauns Mēness</v>
      </c>
      <c r="AN162" s="7" t="str">
        <f>IFERROR(__xludf.DUMMYFUNCTION("GoogleTranslate(C162, ""en"", ""lt"")"),"Jaunatis")</f>
        <v>Jaunatis</v>
      </c>
      <c r="AO162" s="7" t="str">
        <f>IFERROR(__xludf.DUMMYFUNCTION("GoogleTranslate(C162, ""en"", ""mk"")"),"млада месечина")</f>
        <v>млада месечина</v>
      </c>
      <c r="AP162" s="7" t="str">
        <f>IFERROR(__xludf.DUMMYFUNCTION("GoogleTranslate(C162, ""en"", ""ms"")"),"Bulan Baru")</f>
        <v>Bulan Baru</v>
      </c>
      <c r="AQ162" s="7" t="str">
        <f>IFERROR(__xludf.DUMMYFUNCTION("GoogleTranslate(C162, ""en"", ""ml"")"),"അമാവാസി")</f>
        <v>അമാവാസി</v>
      </c>
      <c r="AR162" s="7" t="str">
        <f>IFERROR(__xludf.DUMMYFUNCTION("GoogleTranslate(C162, ""en"", ""mr"")"),"अमावस्या")</f>
        <v>अमावस्या</v>
      </c>
      <c r="AS162" s="7" t="str">
        <f>IFERROR(__xludf.DUMMYFUNCTION("GoogleTranslate(C162, ""en"", ""mn"")"),"Шинэ сар")</f>
        <v>Шинэ сар</v>
      </c>
      <c r="AT162" s="7" t="str">
        <f>IFERROR(__xludf.DUMMYFUNCTION("GoogleTranslate(C162, ""en"", ""ne"")"),"नयाँ चन्द्र")</f>
        <v>नयाँ चन्द्र</v>
      </c>
      <c r="AU162" s="7" t="str">
        <f>IFERROR(__xludf.DUMMYFUNCTION("GoogleTranslate(C162, ""en"", ""nb"")"),"Nymåne")</f>
        <v>Nymåne</v>
      </c>
      <c r="AV162" s="7" t="str">
        <f>IFERROR(__xludf.DUMMYFUNCTION("GoogleTranslate(C162, ""en"", ""fa"")"),"ماه نو")</f>
        <v>ماه نو</v>
      </c>
      <c r="AW162" s="7" t="str">
        <f>IFERROR(__xludf.DUMMYFUNCTION("GoogleTranslate(C162, ""en"", ""pl"")"),"Nówy księżyc")</f>
        <v>Nówy księżyc</v>
      </c>
      <c r="AX162" s="7" t="str">
        <f>IFERROR(__xludf.DUMMYFUNCTION("GoogleTranslate(C162, ""en"", ""pt"")"),"Lua nova")</f>
        <v>Lua nova</v>
      </c>
      <c r="AY162" s="7" t="str">
        <f>IFERROR(__xludf.DUMMYFUNCTION("GoogleTranslate(C162, ""en"", ""ro"")"),"Lună nouă")</f>
        <v>Lună nouă</v>
      </c>
      <c r="AZ162" s="7" t="str">
        <f>IFERROR(__xludf.DUMMYFUNCTION("GoogleTranslate(C162, ""en"", ""ru"")"),"Новолуние")</f>
        <v>Новолуние</v>
      </c>
      <c r="BA162" s="7" t="str">
        <f>IFERROR(__xludf.DUMMYFUNCTION("GoogleTranslate(C162, ""en"", ""sr"")"),"Млад Месец")</f>
        <v>Млад Месец</v>
      </c>
      <c r="BB162" s="7" t="str">
        <f>IFERROR(__xludf.DUMMYFUNCTION("GoogleTranslate(C162, ""en"", ""si"")"),"නව සඳ")</f>
        <v>නව සඳ</v>
      </c>
      <c r="BC162" s="7" t="str">
        <f>IFERROR(__xludf.DUMMYFUNCTION("GoogleTranslate(C162, ""en"", ""sk"")"),"Nový Mesiac")</f>
        <v>Nový Mesiac</v>
      </c>
      <c r="BD162" s="7" t="str">
        <f>IFERROR(__xludf.DUMMYFUNCTION("GoogleTranslate(C162, ""en"", ""sl"")"),"Nova luna")</f>
        <v>Nova luna</v>
      </c>
      <c r="BE162" s="7" t="str">
        <f>IFERROR(__xludf.DUMMYFUNCTION("GoogleTranslate(C162, ""en"", ""es"")"),"Luna nueva")</f>
        <v>Luna nueva</v>
      </c>
      <c r="BF162" s="7" t="str">
        <f>IFERROR(__xludf.DUMMYFUNCTION("GoogleTranslate(C162, ""en"", ""sw"")"),"Mwezi Mpya")</f>
        <v>Mwezi Mpya</v>
      </c>
      <c r="BG162" s="7" t="str">
        <f>IFERROR(__xludf.DUMMYFUNCTION("GoogleTranslate(C162, ""en"", ""sv"")"),"Nymåne")</f>
        <v>Nymåne</v>
      </c>
      <c r="BH162" s="7" t="str">
        <f>IFERROR(__xludf.DUMMYFUNCTION("GoogleTranslate(C162, ""en"", ""te"")"),"అమావాస్య")</f>
        <v>అమావాస్య</v>
      </c>
      <c r="BI162" s="7" t="str">
        <f>IFERROR(__xludf.DUMMYFUNCTION("GoogleTranslate(C162, ""en"", ""th"")"),"นิวมูน")</f>
        <v>นิวมูน</v>
      </c>
      <c r="BJ162" s="7" t="str">
        <f>IFERROR(__xludf.DUMMYFUNCTION("GoogleTranslate(C162, ""en"", ""tr"")"),"Yeni ay")</f>
        <v>Yeni ay</v>
      </c>
      <c r="BK162" s="7" t="str">
        <f>IFERROR(__xludf.DUMMYFUNCTION("GoogleTranslate(C162, ""en"", ""uk"")"),"Молодик")</f>
        <v>Молодик</v>
      </c>
      <c r="BL162" s="7" t="str">
        <f>IFERROR(__xludf.DUMMYFUNCTION("GoogleTranslate(C162, ""en"", ""zu"")"),"Inyanga Entsha")</f>
        <v>Inyanga Entsha</v>
      </c>
    </row>
    <row r="163">
      <c r="A163" s="5" t="str">
        <f t="shared" si="1"/>
        <v>Uv_index_{name}_today</v>
      </c>
      <c r="B163" s="6" t="s">
        <v>218</v>
      </c>
      <c r="C163" s="5" t="str">
        <f t="shared" si="2"/>
        <v>Uv index {name} today</v>
      </c>
      <c r="D163" s="7" t="str">
        <f>IFERROR(__xludf.DUMMYFUNCTION("GoogleTranslate(C163, ""en"", ""es"")"),"Índice ultravioleta {nombre} hoy")</f>
        <v>Índice ultravioleta {nombre} hoy</v>
      </c>
      <c r="E163" s="7" t="str">
        <f>IFERROR(__xludf.DUMMYFUNCTION("GoogleTranslate(C163, ""en"", ""ar"")"),"مؤشر الأشعة فوق البنفسجية {name} اليوم")</f>
        <v>مؤشر الأشعة فوق البنفسجية {name} اليوم</v>
      </c>
      <c r="F163" s="7" t="str">
        <f>IFERROR(__xludf.DUMMYFUNCTION("GoogleTranslate(C163, ""en"", ""hy"")"),"Uv ինդեքս {name} այսօր")</f>
        <v>Uv ինդեքս {name} այսօր</v>
      </c>
      <c r="G163" s="7" t="str">
        <f>IFERROR(__xludf.DUMMYFUNCTION("GoogleTranslate(C163, ""en"", ""vi"")"),"Chỉ số UV {name} hôm nay")</f>
        <v>Chỉ số UV {name} hôm nay</v>
      </c>
      <c r="H163" s="7" t="str">
        <f>IFERROR(__xludf.DUMMYFUNCTION("GoogleTranslate(C163, ""en"", ""az"")"),"UV indeksi bu gün {name}")</f>
        <v>UV indeksi bu gün {name}</v>
      </c>
      <c r="I163" s="7" t="str">
        <f>IFERROR(__xludf.DUMMYFUNCTION("GoogleTranslate(C163, ""en"", ""eu"")"),"Uv indizea {izena} gaur")</f>
        <v>Uv indizea {izena} gaur</v>
      </c>
      <c r="J163" s="7" t="str">
        <f>IFERROR(__xludf.DUMMYFUNCTION("GoogleTranslate(C163, ""en"", ""be"")"),"УФ-індэкс {name} сёння")</f>
        <v>УФ-індэкс {name} сёння</v>
      </c>
      <c r="K163" s="7" t="str">
        <f>IFERROR(__xludf.DUMMYFUNCTION("GoogleTranslate(C163, ""en"", ""bn"")"),"Uv সূচক {name} আজ")</f>
        <v>Uv সূচক {name} আজ</v>
      </c>
      <c r="L163" s="7" t="str">
        <f>IFERROR(__xludf.DUMMYFUNCTION("GoogleTranslate(C163, ""en"", ""bg"")"),"Uv индекс {name} днес")</f>
        <v>Uv индекс {name} днес</v>
      </c>
      <c r="M163" s="7" t="str">
        <f>IFERROR(__xludf.DUMMYFUNCTION("GoogleTranslate(C163, ""en"", ""my"")"),"Uv အညွှန်း {name} ယနေ့")</f>
        <v>Uv အညွှန်း {name} ယနေ့</v>
      </c>
      <c r="N163" s="7" t="str">
        <f>IFERROR(__xludf.DUMMYFUNCTION("GoogleTranslate(C163, ""en"", ""ca"")"),"Índex UV {nom} avui")</f>
        <v>Índex UV {nom} avui</v>
      </c>
      <c r="O163" s="7" t="str">
        <f>IFERROR(__xludf.DUMMYFUNCTION("GoogleTranslate(C163, ""en"", ""zh-cn"")"),"今天紫外线指数 {name}")</f>
        <v>今天紫外线指数 {name}</v>
      </c>
      <c r="P163" s="7" t="str">
        <f>IFERROR(__xludf.DUMMYFUNCTION("GoogleTranslate(C163, ""en"", ""zh-TW"")"),"今天紫外線指數 {name}")</f>
        <v>今天紫外線指數 {name}</v>
      </c>
      <c r="Q163" s="7" t="str">
        <f>IFERROR(__xludf.DUMMYFUNCTION("GoogleTranslate(C163, ""en"", ""hr"")"),"Uv indeks {name} danas")</f>
        <v>Uv indeks {name} danas</v>
      </c>
      <c r="R163" s="7" t="str">
        <f>IFERROR(__xludf.DUMMYFUNCTION("GoogleTranslate(C163, ""en"", ""cs"")"),"UV index {name} dnes")</f>
        <v>UV index {name} dnes</v>
      </c>
      <c r="S163" s="7" t="str">
        <f>IFERROR(__xludf.DUMMYFUNCTION("GoogleTranslate(C163, ""en"", ""da"")"),"Uv-indeks {navn} i dag")</f>
        <v>Uv-indeks {navn} i dag</v>
      </c>
      <c r="T163" s="7" t="str">
        <f>IFERROR(__xludf.DUMMYFUNCTION("GoogleTranslate(C163, ""en"", ""nl"")"),"UV-index {naam} vandaag")</f>
        <v>UV-index {naam} vandaag</v>
      </c>
      <c r="U163" s="7" t="str">
        <f>IFERROR(__xludf.DUMMYFUNCTION("GoogleTranslate(C163, ""en"", ""et"")"),"UV-indeks {name} täna")</f>
        <v>UV-indeks {name} täna</v>
      </c>
      <c r="V163" s="5" t="str">
        <f t="shared" si="3"/>
        <v>Uv index {name} today</v>
      </c>
      <c r="W163" s="7" t="str">
        <f>IFERROR(__xludf.DUMMYFUNCTION("GoogleTranslate(C163, ""en"", ""fi"")"),"UV-indeksi {name} tänään")</f>
        <v>UV-indeksi {name} tänään</v>
      </c>
      <c r="X163" s="7" t="str">
        <f>IFERROR(__xludf.DUMMYFUNCTION("GoogleTranslate(C163, ""en"", ""fr"")"),"Indice UV {nom} aujourd'hui")</f>
        <v>Indice UV {nom} aujourd'hui</v>
      </c>
      <c r="Y163" s="7" t="str">
        <f>IFERROR(__xludf.DUMMYFUNCTION("GoogleTranslate(C163, ""en"", ""de"")"),"UV-Index {Name} heute")</f>
        <v>UV-Index {Name} heute</v>
      </c>
      <c r="Z163" s="7" t="str">
        <f>IFERROR(__xludf.DUMMYFUNCTION("GoogleTranslate(C163, ""en"", ""el"")"),"Δείκτης UV {name} σήμερα")</f>
        <v>Δείκτης UV {name} σήμερα</v>
      </c>
      <c r="AA163" s="7" t="str">
        <f>IFERROR(__xludf.DUMMYFUNCTION("GoogleTranslate(C163, ""en"", ""iw"")"),"אינדקס UV {name} היום")</f>
        <v>אינדקס UV {name} היום</v>
      </c>
      <c r="AB163" s="7" t="str">
        <f>IFERROR(__xludf.DUMMYFUNCTION("GoogleTranslate(C163, ""en"", ""hi"")"),"यूवी सूचकांक {नाम} आज")</f>
        <v>यूवी सूचकांक {नाम} आज</v>
      </c>
      <c r="AC163" s="7" t="str">
        <f>IFERROR(__xludf.DUMMYFUNCTION("GoogleTranslate(C163, ""en"", ""hu"")"),"Ma UV index {name}")</f>
        <v>Ma UV index {name}</v>
      </c>
      <c r="AD163" s="7" t="str">
        <f>IFERROR(__xludf.DUMMYFUNCTION("GoogleTranslate(C163, ""en"", ""is"")"),"UV vísitala {name} í dag")</f>
        <v>UV vísitala {name} í dag</v>
      </c>
      <c r="AE163" s="7" t="str">
        <f>IFERROR(__xludf.DUMMYFUNCTION("GoogleTranslate(C163, ""en"", ""id"")"),"Indeks UV {name} hari ini")</f>
        <v>Indeks UV {name} hari ini</v>
      </c>
      <c r="AF163" s="7" t="str">
        <f>IFERROR(__xludf.DUMMYFUNCTION("GoogleTranslate(C163, ""en"", ""in"")"),"Indeks UV {name} hari ini")</f>
        <v>Indeks UV {name} hari ini</v>
      </c>
      <c r="AG163" s="7" t="str">
        <f>IFERROR(__xludf.DUMMYFUNCTION("GoogleTranslate(C163, ""en"", ""it"")"),"Indice Uv {nome} oggi")</f>
        <v>Indice Uv {nome} oggi</v>
      </c>
      <c r="AH163" s="7" t="str">
        <f>IFERROR(__xludf.DUMMYFUNCTION("GoogleTranslate(C163, ""en"", ""ja"")"),"今日の紫外線指数 {name}")</f>
        <v>今日の紫外線指数 {name}</v>
      </c>
      <c r="AI163" s="7" t="str">
        <f>IFERROR(__xludf.DUMMYFUNCTION("GoogleTranslate(C163, ""en"", ""kn"")"),"ಯುವಿ ಸೂಚ್ಯಂಕ {name} ಇಂದು")</f>
        <v>ಯುವಿ ಸೂಚ್ಯಂಕ {name} ಇಂದು</v>
      </c>
      <c r="AJ163" s="7" t="str">
        <f>IFERROR(__xludf.DUMMYFUNCTION("GoogleTranslate(C163, ""en"", ""km"")"),"Uv index {name} ថ្ងៃនេះ")</f>
        <v>Uv index {name} ថ្ងៃនេះ</v>
      </c>
      <c r="AK163" s="7" t="str">
        <f>IFERROR(__xludf.DUMMYFUNCTION("GoogleTranslate(C163, ""en"", ""ko"")"),"오늘 자외선 지수 {이름}")</f>
        <v>오늘 자외선 지수 {이름}</v>
      </c>
      <c r="AL163" s="7" t="str">
        <f>IFERROR(__xludf.DUMMYFUNCTION("GoogleTranslate(C163, ""en"", ""lo"")"),"Uv index {name} ມື້ນີ້")</f>
        <v>Uv index {name} ມື້ນີ້</v>
      </c>
      <c r="AM163" s="7" t="str">
        <f>IFERROR(__xludf.DUMMYFUNCTION("GoogleTranslate(C163, ""en"", ""lv"")"),"UV indekss {name} šodien")</f>
        <v>UV indekss {name} šodien</v>
      </c>
      <c r="AN163" s="7" t="str">
        <f>IFERROR(__xludf.DUMMYFUNCTION("GoogleTranslate(C163, ""en"", ""lt"")"),"UV indeksas {name} šiandien")</f>
        <v>UV indeksas {name} šiandien</v>
      </c>
      <c r="AO163" s="7" t="str">
        <f>IFERROR(__xludf.DUMMYFUNCTION("GoogleTranslate(C163, ""en"", ""mk"")"),"УВ индекс {име} денес")</f>
        <v>УВ индекс {име} денес</v>
      </c>
      <c r="AP163" s="7" t="str">
        <f>IFERROR(__xludf.DUMMYFUNCTION("GoogleTranslate(C163, ""en"", ""ms"")"),"Indeks UV {nama} hari ini")</f>
        <v>Indeks UV {nama} hari ini</v>
      </c>
      <c r="AQ163" s="7" t="str">
        <f>IFERROR(__xludf.DUMMYFUNCTION("GoogleTranslate(C163, ""en"", ""ml"")"),"Uv സൂചിക {name} ഇന്ന്")</f>
        <v>Uv സൂചിക {name} ഇന്ന്</v>
      </c>
      <c r="AR163" s="7" t="str">
        <f>IFERROR(__xludf.DUMMYFUNCTION("GoogleTranslate(C163, ""en"", ""mr"")"),"Uv इंडेक्स {name} आज")</f>
        <v>Uv इंडेक्स {name} आज</v>
      </c>
      <c r="AS163" s="7" t="str">
        <f>IFERROR(__xludf.DUMMYFUNCTION("GoogleTranslate(C163, ""en"", ""mn"")"),"Өнөөдөр UV индекс {name}")</f>
        <v>Өнөөдөр UV индекс {name}</v>
      </c>
      <c r="AT163" s="7" t="str">
        <f>IFERROR(__xludf.DUMMYFUNCTION("GoogleTranslate(C163, ""en"", ""ne"")"),"Uv अनुक्रमणिका {name} आज")</f>
        <v>Uv अनुक्रमणिका {name} आज</v>
      </c>
      <c r="AU163" s="7" t="str">
        <f>IFERROR(__xludf.DUMMYFUNCTION("GoogleTranslate(C163, ""en"", ""nb"")"),"Uv-indeks {name} i dag")</f>
        <v>Uv-indeks {name} i dag</v>
      </c>
      <c r="AV163" s="7" t="str">
        <f>IFERROR(__xludf.DUMMYFUNCTION("GoogleTranslate(C163, ""en"", ""fa"")"),"شاخص UV {name} امروز")</f>
        <v>شاخص UV {name} امروز</v>
      </c>
      <c r="AW163" s="7" t="str">
        <f>IFERROR(__xludf.DUMMYFUNCTION("GoogleTranslate(C163, ""en"", ""pl"")"),"Indeks UV {name} dzisiaj")</f>
        <v>Indeks UV {name} dzisiaj</v>
      </c>
      <c r="AX163" s="7" t="str">
        <f>IFERROR(__xludf.DUMMYFUNCTION("GoogleTranslate(C163, ""en"", ""pt"")"),"Índice UV {nome} hoje")</f>
        <v>Índice UV {nome} hoje</v>
      </c>
      <c r="AY163" s="7" t="str">
        <f>IFERROR(__xludf.DUMMYFUNCTION("GoogleTranslate(C163, ""en"", ""ro"")"),"Index UV {name} astăzi")</f>
        <v>Index UV {name} astăzi</v>
      </c>
      <c r="AZ163" s="7" t="str">
        <f>IFERROR(__xludf.DUMMYFUNCTION("GoogleTranslate(C163, ""en"", ""ru"")"),"УФ-индекс {имя} сегодня")</f>
        <v>УФ-индекс {имя} сегодня</v>
      </c>
      <c r="BA163" s="7" t="str">
        <f>IFERROR(__xludf.DUMMYFUNCTION("GoogleTranslate(C163, ""en"", ""sr"")"),"УВ индекс {наме} данас")</f>
        <v>УВ индекс {наме} данас</v>
      </c>
      <c r="BB163" s="7" t="str">
        <f>IFERROR(__xludf.DUMMYFUNCTION("GoogleTranslate(C163, ""en"", ""si"")"),"Uv දර්ශකය {name} අද")</f>
        <v>Uv දර්ශකය {name} අද</v>
      </c>
      <c r="BC163" s="7" t="str">
        <f>IFERROR(__xludf.DUMMYFUNCTION("GoogleTranslate(C163, ""en"", ""sk"")"),"UV index {name} dnes")</f>
        <v>UV index {name} dnes</v>
      </c>
      <c r="BD163" s="7" t="str">
        <f>IFERROR(__xludf.DUMMYFUNCTION("GoogleTranslate(C163, ""en"", ""sl"")"),"Uv indeks {name} danes")</f>
        <v>Uv indeks {name} danes</v>
      </c>
      <c r="BE163" s="7" t="str">
        <f>IFERROR(__xludf.DUMMYFUNCTION("GoogleTranslate(C163, ""en"", ""es"")"),"Índice ultravioleta {nombre} hoy")</f>
        <v>Índice ultravioleta {nombre} hoy</v>
      </c>
      <c r="BF163" s="7" t="str">
        <f>IFERROR(__xludf.DUMMYFUNCTION("GoogleTranslate(C163, ""en"", ""sw"")"),"Faharasa ya UV {name} leo")</f>
        <v>Faharasa ya UV {name} leo</v>
      </c>
      <c r="BG163" s="7" t="str">
        <f>IFERROR(__xludf.DUMMYFUNCTION("GoogleTranslate(C163, ""en"", ""sv"")"),"Uv-index {name} idag")</f>
        <v>Uv-index {name} idag</v>
      </c>
      <c r="BH163" s="7" t="str">
        <f>IFERROR(__xludf.DUMMYFUNCTION("GoogleTranslate(C163, ""en"", ""te"")"),"ఈ రోజు Uv సూచిక {name}")</f>
        <v>ఈ రోజు Uv సూచిక {name}</v>
      </c>
      <c r="BI163" s="7" t="str">
        <f>IFERROR(__xludf.DUMMYFUNCTION("GoogleTranslate(C163, ""en"", ""th"")"),"ดัชนีรังสียูวี {name} วันนี้")</f>
        <v>ดัชนีรังสียูวี {name} วันนี้</v>
      </c>
      <c r="BJ163" s="7" t="str">
        <f>IFERROR(__xludf.DUMMYFUNCTION("GoogleTranslate(C163, ""en"", ""tr"")"),"UV indeksi {name} bugün")</f>
        <v>UV indeksi {name} bugün</v>
      </c>
      <c r="BK163" s="7" t="str">
        <f>IFERROR(__xludf.DUMMYFUNCTION("GoogleTranslate(C163, ""en"", ""uk"")"),"УФ-індекс {name} сьогодні")</f>
        <v>УФ-індекс {name} сьогодні</v>
      </c>
      <c r="BL163" s="7" t="str">
        <f>IFERROR(__xludf.DUMMYFUNCTION("GoogleTranslate(C163, ""en"", ""zu"")"),"Inkomba ye-Uv {name} namuhla")</f>
        <v>Inkomba ye-Uv {name} namuhla</v>
      </c>
    </row>
    <row r="164">
      <c r="A164" s="5" t="str">
        <f t="shared" si="1"/>
        <v>World_Health_Organization_UVI</v>
      </c>
      <c r="B164" s="6" t="s">
        <v>219</v>
      </c>
      <c r="C164" s="5" t="str">
        <f t="shared" si="2"/>
        <v>World Health Organization UVI</v>
      </c>
      <c r="D164" s="7" t="str">
        <f>IFERROR(__xludf.DUMMYFUNCTION("GoogleTranslate(C164, ""en"", ""es"")"),"Organización Mundial de la Salud UVI")</f>
        <v>Organización Mundial de la Salud UVI</v>
      </c>
      <c r="E164" s="7" t="str">
        <f>IFERROR(__xludf.DUMMYFUNCTION("GoogleTranslate(C164, ""en"", ""ar"")"),"منظمة الصحة العالمية UVI")</f>
        <v>منظمة الصحة العالمية UVI</v>
      </c>
      <c r="F164" s="7" t="str">
        <f>IFERROR(__xludf.DUMMYFUNCTION("GoogleTranslate(C164, ""en"", ""hy"")"),"Առողջապահության համաշխարհային կազմակերպություն UVI")</f>
        <v>Առողջապահության համաշխարհային կազմակերպություն UVI</v>
      </c>
      <c r="G164" s="7" t="str">
        <f>IFERROR(__xludf.DUMMYFUNCTION("GoogleTranslate(C164, ""en"", ""vi"")"),"Tổ chức Y tế Thế giới UVI")</f>
        <v>Tổ chức Y tế Thế giới UVI</v>
      </c>
      <c r="H164" s="7" t="str">
        <f>IFERROR(__xludf.DUMMYFUNCTION("GoogleTranslate(C164, ""en"", ""az"")"),"Ümumdünya Səhiyyə Təşkilatı UVI")</f>
        <v>Ümumdünya Səhiyyə Təşkilatı UVI</v>
      </c>
      <c r="I164" s="7" t="str">
        <f>IFERROR(__xludf.DUMMYFUNCTION("GoogleTranslate(C164, ""en"", ""eu"")"),"Osasunaren Mundu Erakundea UVI")</f>
        <v>Osasunaren Mundu Erakundea UVI</v>
      </c>
      <c r="J164" s="7" t="str">
        <f>IFERROR(__xludf.DUMMYFUNCTION("GoogleTranslate(C164, ""en"", ""be"")"),"Сусветная арганізацыя аховы здароўя УФІ")</f>
        <v>Сусветная арганізацыя аховы здароўя УФІ</v>
      </c>
      <c r="K164" s="7" t="str">
        <f>IFERROR(__xludf.DUMMYFUNCTION("GoogleTranslate(C164, ""en"", ""bn"")"),"বিশ্ব স্বাস্থ্য সংস্থা UVI")</f>
        <v>বিশ্ব স্বাস্থ্য সংস্থা UVI</v>
      </c>
      <c r="L164" s="7" t="str">
        <f>IFERROR(__xludf.DUMMYFUNCTION("GoogleTranslate(C164, ""en"", ""bg"")"),"Световната здравна организация UVI")</f>
        <v>Световната здравна организация UVI</v>
      </c>
      <c r="M164" s="7" t="str">
        <f>IFERROR(__xludf.DUMMYFUNCTION("GoogleTranslate(C164, ""en"", ""my"")"),"ကမ္ဘာ့ကျန်းမာရေးအဖွဲ့ UVI")</f>
        <v>ကမ္ဘာ့ကျန်းမာရေးအဖွဲ့ UVI</v>
      </c>
      <c r="N164" s="7" t="str">
        <f>IFERROR(__xludf.DUMMYFUNCTION("GoogleTranslate(C164, ""en"", ""ca"")"),"Organització Mundial de la Salut UVI")</f>
        <v>Organització Mundial de la Salut UVI</v>
      </c>
      <c r="O164" s="7" t="str">
        <f>IFERROR(__xludf.DUMMYFUNCTION("GoogleTranslate(C164, ""en"", ""zh-cn"")"),"世界卫生组织 UVI")</f>
        <v>世界卫生组织 UVI</v>
      </c>
      <c r="P164" s="7" t="str">
        <f>IFERROR(__xludf.DUMMYFUNCTION("GoogleTranslate(C164, ""en"", ""zh-TW"")"),"世界衛生組織 UVI")</f>
        <v>世界衛生組織 UVI</v>
      </c>
      <c r="Q164" s="7" t="str">
        <f>IFERROR(__xludf.DUMMYFUNCTION("GoogleTranslate(C164, ""en"", ""hr"")"),"Svjetska zdravstvena organizacija UVI")</f>
        <v>Svjetska zdravstvena organizacija UVI</v>
      </c>
      <c r="R164" s="7" t="str">
        <f>IFERROR(__xludf.DUMMYFUNCTION("GoogleTranslate(C164, ""en"", ""cs"")"),"Světová zdravotnická organizace UVI")</f>
        <v>Světová zdravotnická organizace UVI</v>
      </c>
      <c r="S164" s="7" t="str">
        <f>IFERROR(__xludf.DUMMYFUNCTION("GoogleTranslate(C164, ""en"", ""da"")"),"Verdenssundhedsorganisationen UVI")</f>
        <v>Verdenssundhedsorganisationen UVI</v>
      </c>
      <c r="T164" s="7" t="str">
        <f>IFERROR(__xludf.DUMMYFUNCTION("GoogleTranslate(C164, ""en"", ""nl"")"),"Wereldgezondheidsorganisatie UVI")</f>
        <v>Wereldgezondheidsorganisatie UVI</v>
      </c>
      <c r="U164" s="7" t="str">
        <f>IFERROR(__xludf.DUMMYFUNCTION("GoogleTranslate(C164, ""en"", ""et"")"),"Maailma Terviseorganisatsioon UVI")</f>
        <v>Maailma Terviseorganisatsioon UVI</v>
      </c>
      <c r="V164" s="5" t="str">
        <f t="shared" si="3"/>
        <v>World Health Organization UVI</v>
      </c>
      <c r="W164" s="7" t="str">
        <f>IFERROR(__xludf.DUMMYFUNCTION("GoogleTranslate(C164, ""en"", ""fi"")"),"Maailman terveysjärjestön UVI")</f>
        <v>Maailman terveysjärjestön UVI</v>
      </c>
      <c r="X164" s="7" t="str">
        <f>IFERROR(__xludf.DUMMYFUNCTION("GoogleTranslate(C164, ""en"", ""fr"")"),"Organisation Mondiale de la Santé UVI")</f>
        <v>Organisation Mondiale de la Santé UVI</v>
      </c>
      <c r="Y164" s="7" t="str">
        <f>IFERROR(__xludf.DUMMYFUNCTION("GoogleTranslate(C164, ""en"", ""de"")"),"Weltgesundheitsorganisation UVI")</f>
        <v>Weltgesundheitsorganisation UVI</v>
      </c>
      <c r="Z164" s="7" t="str">
        <f>IFERROR(__xludf.DUMMYFUNCTION("GoogleTranslate(C164, ""en"", ""el"")"),"Παγκόσμιος Οργανισμός Υγείας UVI")</f>
        <v>Παγκόσμιος Οργανισμός Υγείας UVI</v>
      </c>
      <c r="AA164" s="7" t="str">
        <f>IFERROR(__xludf.DUMMYFUNCTION("GoogleTranslate(C164, ""en"", ""iw"")"),"ארגון הבריאות העולמי UVI")</f>
        <v>ארגון הבריאות העולמי UVI</v>
      </c>
      <c r="AB164" s="7" t="str">
        <f>IFERROR(__xludf.DUMMYFUNCTION("GoogleTranslate(C164, ""en"", ""hi"")"),"विश्व स्वास्थ्य संगठन यूवीआई")</f>
        <v>विश्व स्वास्थ्य संगठन यूवीआई</v>
      </c>
      <c r="AC164" s="7" t="str">
        <f>IFERROR(__xludf.DUMMYFUNCTION("GoogleTranslate(C164, ""en"", ""hu"")"),"Egészségügyi Világszervezet UVI")</f>
        <v>Egészségügyi Világszervezet UVI</v>
      </c>
      <c r="AD164" s="7" t="str">
        <f>IFERROR(__xludf.DUMMYFUNCTION("GoogleTranslate(C164, ""en"", ""is"")"),"Alþjóðaheilbrigðismálastofnunin UVI")</f>
        <v>Alþjóðaheilbrigðismálastofnunin UVI</v>
      </c>
      <c r="AE164" s="7" t="str">
        <f>IFERROR(__xludf.DUMMYFUNCTION("GoogleTranslate(C164, ""en"", ""id"")"),"Organisasi Kesehatan Dunia UVI")</f>
        <v>Organisasi Kesehatan Dunia UVI</v>
      </c>
      <c r="AF164" s="7" t="str">
        <f>IFERROR(__xludf.DUMMYFUNCTION("GoogleTranslate(C164, ""en"", ""in"")"),"Organisasi Kesehatan Dunia UVI")</f>
        <v>Organisasi Kesehatan Dunia UVI</v>
      </c>
      <c r="AG164" s="7" t="str">
        <f>IFERROR(__xludf.DUMMYFUNCTION("GoogleTranslate(C164, ""en"", ""it"")"),"Organizzazione Mondiale della Sanità UVI")</f>
        <v>Organizzazione Mondiale della Sanità UVI</v>
      </c>
      <c r="AH164" s="7" t="str">
        <f>IFERROR(__xludf.DUMMYFUNCTION("GoogleTranslate(C164, ""en"", ""ja"")"),"世界保健機関 UVI")</f>
        <v>世界保健機関 UVI</v>
      </c>
      <c r="AI164" s="7" t="str">
        <f>IFERROR(__xludf.DUMMYFUNCTION("GoogleTranslate(C164, ""en"", ""kn"")"),"ವಿಶ್ವ ಆರೋಗ್ಯ ಸಂಸ್ಥೆ UVI")</f>
        <v>ವಿಶ್ವ ಆರೋಗ್ಯ ಸಂಸ್ಥೆ UVI</v>
      </c>
      <c r="AJ164" s="7" t="str">
        <f>IFERROR(__xludf.DUMMYFUNCTION("GoogleTranslate(C164, ""en"", ""km"")"),"អង្គការសុខភាពពិភពលោក UVI")</f>
        <v>អង្គការសុខភាពពិភពលោក UVI</v>
      </c>
      <c r="AK164" s="7" t="str">
        <f>IFERROR(__xludf.DUMMYFUNCTION("GoogleTranslate(C164, ""en"", ""ko"")"),"세계보건기구 UVI")</f>
        <v>세계보건기구 UVI</v>
      </c>
      <c r="AL164" s="7" t="str">
        <f>IFERROR(__xludf.DUMMYFUNCTION("GoogleTranslate(C164, ""en"", ""lo"")"),"ອົງການອະນາໄມໂລກ UVI")</f>
        <v>ອົງການອະນາໄມໂລກ UVI</v>
      </c>
      <c r="AM164" s="7" t="str">
        <f>IFERROR(__xludf.DUMMYFUNCTION("GoogleTranslate(C164, ""en"", ""lv"")"),"Pasaules Veselības organizācija UVI")</f>
        <v>Pasaules Veselības organizācija UVI</v>
      </c>
      <c r="AN164" s="7" t="str">
        <f>IFERROR(__xludf.DUMMYFUNCTION("GoogleTranslate(C164, ""en"", ""lt"")"),"Pasaulio sveikatos organizacija UVI")</f>
        <v>Pasaulio sveikatos organizacija UVI</v>
      </c>
      <c r="AO164" s="7" t="str">
        <f>IFERROR(__xludf.DUMMYFUNCTION("GoogleTranslate(C164, ""en"", ""mk"")"),"Светската здравствена организација UVI")</f>
        <v>Светската здравствена организација UVI</v>
      </c>
      <c r="AP164" s="7" t="str">
        <f>IFERROR(__xludf.DUMMYFUNCTION("GoogleTranslate(C164, ""en"", ""ms"")"),"Pertubuhan Kesihatan Sedunia UVI")</f>
        <v>Pertubuhan Kesihatan Sedunia UVI</v>
      </c>
      <c r="AQ164" s="7" t="str">
        <f>IFERROR(__xludf.DUMMYFUNCTION("GoogleTranslate(C164, ""en"", ""ml"")"),"ലോകാരോഗ്യ സംഘടന യു.വി.ഐ")</f>
        <v>ലോകാരോഗ്യ സംഘടന യു.വി.ഐ</v>
      </c>
      <c r="AR164" s="7" t="str">
        <f>IFERROR(__xludf.DUMMYFUNCTION("GoogleTranslate(C164, ""en"", ""mr"")"),"जागतिक आरोग्य संघटना UVI")</f>
        <v>जागतिक आरोग्य संघटना UVI</v>
      </c>
      <c r="AS164" s="7" t="str">
        <f>IFERROR(__xludf.DUMMYFUNCTION("GoogleTranslate(C164, ""en"", ""mn"")"),"Дэлхийн эрүүл мэндийн байгууллага UVI")</f>
        <v>Дэлхийн эрүүл мэндийн байгууллага UVI</v>
      </c>
      <c r="AT164" s="7" t="str">
        <f>IFERROR(__xludf.DUMMYFUNCTION("GoogleTranslate(C164, ""en"", ""ne"")"),"विश्व स्वास्थ्य संगठन UVI")</f>
        <v>विश्व स्वास्थ्य संगठन UVI</v>
      </c>
      <c r="AU164" s="7" t="str">
        <f>IFERROR(__xludf.DUMMYFUNCTION("GoogleTranslate(C164, ""en"", ""nb"")"),"Verdens helseorganisasjon UVI")</f>
        <v>Verdens helseorganisasjon UVI</v>
      </c>
      <c r="AV164" s="7" t="str">
        <f>IFERROR(__xludf.DUMMYFUNCTION("GoogleTranslate(C164, ""en"", ""fa"")"),"سازمان جهانی بهداشت UVI")</f>
        <v>سازمان جهانی بهداشت UVI</v>
      </c>
      <c r="AW164" s="7" t="str">
        <f>IFERROR(__xludf.DUMMYFUNCTION("GoogleTranslate(C164, ""en"", ""pl"")"),"Światowa Organizacja Zdrowia UVI")</f>
        <v>Światowa Organizacja Zdrowia UVI</v>
      </c>
      <c r="AX164" s="7" t="str">
        <f>IFERROR(__xludf.DUMMYFUNCTION("GoogleTranslate(C164, ""en"", ""pt"")"),"UVI da Organização Mundial da Saúde")</f>
        <v>UVI da Organização Mundial da Saúde</v>
      </c>
      <c r="AY164" s="7" t="str">
        <f>IFERROR(__xludf.DUMMYFUNCTION("GoogleTranslate(C164, ""en"", ""ro"")"),"Organizația Mondială a Sănătății UVI")</f>
        <v>Organizația Mondială a Sănătății UVI</v>
      </c>
      <c r="AZ164" s="7" t="str">
        <f>IFERROR(__xludf.DUMMYFUNCTION("GoogleTranslate(C164, ""en"", ""ru"")"),"Всемирная организация здравоохранения УВИ")</f>
        <v>Всемирная организация здравоохранения УВИ</v>
      </c>
      <c r="BA164" s="7" t="str">
        <f>IFERROR(__xludf.DUMMYFUNCTION("GoogleTranslate(C164, ""en"", ""sr"")"),"Светска здравствена организација УВИ")</f>
        <v>Светска здравствена организација УВИ</v>
      </c>
      <c r="BB164" s="7" t="str">
        <f>IFERROR(__xludf.DUMMYFUNCTION("GoogleTranslate(C164, ""en"", ""si"")"),"ලෝක සෞඛ්ය සංවිධානය UVI")</f>
        <v>ලෝක සෞඛ්ය සංවිධානය UVI</v>
      </c>
      <c r="BC164" s="7" t="str">
        <f>IFERROR(__xludf.DUMMYFUNCTION("GoogleTranslate(C164, ""en"", ""sk"")"),"Svetová zdravotnícka organizácia UVI")</f>
        <v>Svetová zdravotnícka organizácia UVI</v>
      </c>
      <c r="BD164" s="7" t="str">
        <f>IFERROR(__xludf.DUMMYFUNCTION("GoogleTranslate(C164, ""en"", ""sl"")"),"Svetovna zdravstvena organizacija UVI")</f>
        <v>Svetovna zdravstvena organizacija UVI</v>
      </c>
      <c r="BE164" s="7" t="str">
        <f>IFERROR(__xludf.DUMMYFUNCTION("GoogleTranslate(C164, ""en"", ""es"")"),"Organización Mundial de la Salud UVI")</f>
        <v>Organización Mundial de la Salud UVI</v>
      </c>
      <c r="BF164" s="7" t="str">
        <f>IFERROR(__xludf.DUMMYFUNCTION("GoogleTranslate(C164, ""en"", ""sw"")"),"Shirika la Afya Duniani UV")</f>
        <v>Shirika la Afya Duniani UV</v>
      </c>
      <c r="BG164" s="7" t="str">
        <f>IFERROR(__xludf.DUMMYFUNCTION("GoogleTranslate(C164, ""en"", ""sv"")"),"Världshälsoorganisationen UVI")</f>
        <v>Världshälsoorganisationen UVI</v>
      </c>
      <c r="BH164" s="7" t="str">
        <f>IFERROR(__xludf.DUMMYFUNCTION("GoogleTranslate(C164, ""en"", ""te"")"),"ప్రపంచ ఆరోగ్య సంస్థ UVI")</f>
        <v>ప్రపంచ ఆరోగ్య సంస్థ UVI</v>
      </c>
      <c r="BI164" s="7" t="str">
        <f>IFERROR(__xludf.DUMMYFUNCTION("GoogleTranslate(C164, ""en"", ""th"")"),"UVI ขององค์การอนามัยโลก")</f>
        <v>UVI ขององค์การอนามัยโลก</v>
      </c>
      <c r="BJ164" s="7" t="str">
        <f>IFERROR(__xludf.DUMMYFUNCTION("GoogleTranslate(C164, ""en"", ""tr"")"),"Dünya Sağlık Örgütü UVI")</f>
        <v>Dünya Sağlık Örgütü UVI</v>
      </c>
      <c r="BK164" s="7" t="str">
        <f>IFERROR(__xludf.DUMMYFUNCTION("GoogleTranslate(C164, ""en"", ""uk"")"),"Всесвітня організація охорони здоров'я УФІ")</f>
        <v>Всесвітня організація охорони здоров'я УФІ</v>
      </c>
      <c r="BL164" s="7" t="str">
        <f>IFERROR(__xludf.DUMMYFUNCTION("GoogleTranslate(C164, ""en"", ""zu"")"),"I-UVI ye-World Health Organization")</f>
        <v>I-UVI ye-World Health Organization</v>
      </c>
    </row>
    <row r="165">
      <c r="A165" s="5" t="str">
        <f t="shared" si="1"/>
        <v>Uv_index_{name}_{number}_days</v>
      </c>
      <c r="B165" s="6" t="s">
        <v>220</v>
      </c>
      <c r="C165" s="5" t="str">
        <f t="shared" si="2"/>
        <v>Uv index {name} {number} days</v>
      </c>
      <c r="D165" s="7" t="str">
        <f>IFERROR(__xludf.DUMMYFUNCTION("GoogleTranslate(C165, ""en"", ""es"")"),"Índice ultravioleta {nombre} {número} días")</f>
        <v>Índice ultravioleta {nombre} {número} días</v>
      </c>
      <c r="E165" s="7" t="str">
        <f>IFERROR(__xludf.DUMMYFUNCTION("GoogleTranslate(C165, ""en"", ""ar"")"),"مؤشر الأشعة فوق البنفسجية {name} {number} يوم")</f>
        <v>مؤشر الأشعة فوق البنفسجية {name} {number} يوم</v>
      </c>
      <c r="F165" s="7" t="str">
        <f>IFERROR(__xludf.DUMMYFUNCTION("GoogleTranslate(C165, ""en"", ""hy"")"),"Uv ինդեքս {name} {number} օր")</f>
        <v>Uv ինդեքս {name} {number} օր</v>
      </c>
      <c r="G165" s="7" t="str">
        <f>IFERROR(__xludf.DUMMYFUNCTION("GoogleTranslate(C165, ""en"", ""vi"")"),"Chỉ số UV {name} {number} ngày")</f>
        <v>Chỉ số UV {name} {number} ngày</v>
      </c>
      <c r="H165" s="7" t="str">
        <f>IFERROR(__xludf.DUMMYFUNCTION("GoogleTranslate(C165, ""en"", ""az"")"),"UV indeksi {name} {sayı} gün")</f>
        <v>UV indeksi {name} {sayı} gün</v>
      </c>
      <c r="I165" s="7" t="str">
        <f>IFERROR(__xludf.DUMMYFUNCTION("GoogleTranslate(C165, ""en"", ""eu"")"),"Uv indizea {name} {number} egun")</f>
        <v>Uv indizea {name} {number} egun</v>
      </c>
      <c r="J165" s="7" t="str">
        <f>IFERROR(__xludf.DUMMYFUNCTION("GoogleTranslate(C165, ""en"", ""be"")"),"УФ-індэкс {name} {number} дзён")</f>
        <v>УФ-індэкс {name} {number} дзён</v>
      </c>
      <c r="K165" s="7" t="str">
        <f>IFERROR(__xludf.DUMMYFUNCTION("GoogleTranslate(C165, ""en"", ""bn"")"),"Uv সূচক {name} {number} দিন")</f>
        <v>Uv সূচক {name} {number} দিন</v>
      </c>
      <c r="L165" s="7" t="str">
        <f>IFERROR(__xludf.DUMMYFUNCTION("GoogleTranslate(C165, ""en"", ""bg"")"),"Uv индекс {name} {number} дни")</f>
        <v>Uv индекс {name} {number} дни</v>
      </c>
      <c r="M165" s="7" t="str">
        <f>IFERROR(__xludf.DUMMYFUNCTION("GoogleTranslate(C165, ""en"", ""my"")"),"Uv အညွှန်း {name} {number} ရက်")</f>
        <v>Uv အညွှန်း {name} {number} ရက်</v>
      </c>
      <c r="N165" s="7" t="str">
        <f>IFERROR(__xludf.DUMMYFUNCTION("GoogleTranslate(C165, ""en"", ""ca"")"),"Índex UV {nom} {nombre} dies")</f>
        <v>Índex UV {nom} {nombre} dies</v>
      </c>
      <c r="O165" s="7" t="str">
        <f>IFERROR(__xludf.DUMMYFUNCTION("GoogleTranslate(C165, ""en"", ""zh-cn"")"),"紫外线指数 {name} {number} 天")</f>
        <v>紫外线指数 {name} {number} 天</v>
      </c>
      <c r="P165" s="7" t="str">
        <f>IFERROR(__xludf.DUMMYFUNCTION("GoogleTranslate(C165, ""en"", ""zh-TW"")"),"紫外線指數 {name} {number} 天")</f>
        <v>紫外線指數 {name} {number} 天</v>
      </c>
      <c r="Q165" s="7" t="str">
        <f>IFERROR(__xludf.DUMMYFUNCTION("GoogleTranslate(C165, ""en"", ""hr"")"),"Uv indeks {name} {number} dana")</f>
        <v>Uv indeks {name} {number} dana</v>
      </c>
      <c r="R165" s="7" t="str">
        <f>IFERROR(__xludf.DUMMYFUNCTION("GoogleTranslate(C165, ""en"", ""cs"")"),"UV index {jméno} {počet} dní")</f>
        <v>UV index {jméno} {počet} dní</v>
      </c>
      <c r="S165" s="7" t="str">
        <f>IFERROR(__xludf.DUMMYFUNCTION("GoogleTranslate(C165, ""en"", ""da"")"),"Uv-indeks {name} {number} dage")</f>
        <v>Uv-indeks {name} {number} dage</v>
      </c>
      <c r="T165" s="7" t="str">
        <f>IFERROR(__xludf.DUMMYFUNCTION("GoogleTranslate(C165, ""en"", ""nl"")"),"UV-index {naam} {aantal} dagen")</f>
        <v>UV-index {naam} {aantal} dagen</v>
      </c>
      <c r="U165" s="7" t="str">
        <f>IFERROR(__xludf.DUMMYFUNCTION("GoogleTranslate(C165, ""en"", ""et"")"),"UV-indeks {name} {number} päeva")</f>
        <v>UV-indeks {name} {number} päeva</v>
      </c>
      <c r="V165" s="5" t="str">
        <f t="shared" si="3"/>
        <v>Uv index {name} {number} days</v>
      </c>
      <c r="W165" s="7" t="str">
        <f>IFERROR(__xludf.DUMMYFUNCTION("GoogleTranslate(C165, ""en"", ""fi"")"),"UV-indeksi {name} {number} päivää")</f>
        <v>UV-indeksi {name} {number} päivää</v>
      </c>
      <c r="X165" s="7" t="str">
        <f>IFERROR(__xludf.DUMMYFUNCTION("GoogleTranslate(C165, ""en"", ""fr"")"),"Indice Uv {nom} {nombre} jours")</f>
        <v>Indice Uv {nom} {nombre} jours</v>
      </c>
      <c r="Y165" s="7" t="str">
        <f>IFERROR(__xludf.DUMMYFUNCTION("GoogleTranslate(C165, ""en"", ""de"")"),"UV-Index {Name} {Anzahl} Tage")</f>
        <v>UV-Index {Name} {Anzahl} Tage</v>
      </c>
      <c r="Z165" s="7" t="str">
        <f>IFERROR(__xludf.DUMMYFUNCTION("GoogleTranslate(C165, ""en"", ""el"")"),"Δείκτης UV {όνομα} {αριθμός} ημέρες")</f>
        <v>Δείκτης UV {όνομα} {αριθμός} ημέρες</v>
      </c>
      <c r="AA165" s="7" t="str">
        <f>IFERROR(__xludf.DUMMYFUNCTION("GoogleTranslate(C165, ""en"", ""iw"")"),"אינדקס UV {name} {number} ימים")</f>
        <v>אינדקס UV {name} {number} ימים</v>
      </c>
      <c r="AB165" s="7" t="str">
        <f>IFERROR(__xludf.DUMMYFUNCTION("GoogleTranslate(C165, ""en"", ""hi"")"),"यूवी सूचकांक {नाम} {संख्या} दिन")</f>
        <v>यूवी सूचकांक {नाम} {संख्या} दिन</v>
      </c>
      <c r="AC165" s="7" t="str">
        <f>IFERROR(__xludf.DUMMYFUNCTION("GoogleTranslate(C165, ""en"", ""hu"")"),"UV index {name} {number} nap")</f>
        <v>UV index {name} {number} nap</v>
      </c>
      <c r="AD165" s="7" t="str">
        <f>IFERROR(__xludf.DUMMYFUNCTION("GoogleTranslate(C165, ""en"", ""is"")"),"UV vísitala {name} {number} dagar")</f>
        <v>UV vísitala {name} {number} dagar</v>
      </c>
      <c r="AE165" s="7" t="str">
        <f>IFERROR(__xludf.DUMMYFUNCTION("GoogleTranslate(C165, ""en"", ""id"")"),"Indeks UV {nama} {angka} hari")</f>
        <v>Indeks UV {nama} {angka} hari</v>
      </c>
      <c r="AF165" s="7" t="str">
        <f>IFERROR(__xludf.DUMMYFUNCTION("GoogleTranslate(C165, ""en"", ""in"")"),"Indeks UV {nama} {angka} hari")</f>
        <v>Indeks UV {nama} {angka} hari</v>
      </c>
      <c r="AG165" s="7" t="str">
        <f>IFERROR(__xludf.DUMMYFUNCTION("GoogleTranslate(C165, ""en"", ""it"")"),"Indice Uv {nome} {numero} giorni")</f>
        <v>Indice Uv {nome} {numero} giorni</v>
      </c>
      <c r="AH165" s="7" t="str">
        <f>IFERROR(__xludf.DUMMYFUNCTION("GoogleTranslate(C165, ""en"", ""ja"")"),"紫外線指数 {名前} {数値} 日")</f>
        <v>紫外線指数 {名前} {数値} 日</v>
      </c>
      <c r="AI165" s="7" t="str">
        <f>IFERROR(__xludf.DUMMYFUNCTION("GoogleTranslate(C165, ""en"", ""kn"")"),"ಯುವಿ ಸೂಚ್ಯಂಕ {name} {number} ದಿನಗಳು")</f>
        <v>ಯುವಿ ಸೂಚ್ಯಂಕ {name} {number} ದಿನಗಳು</v>
      </c>
      <c r="AJ165" s="7" t="str">
        <f>IFERROR(__xludf.DUMMYFUNCTION("GoogleTranslate(C165, ""en"", ""km"")"),"សន្ទស្សន៍ Uv {name} {number} ថ្ងៃ។")</f>
        <v>សន្ទស្សន៍ Uv {name} {number} ថ្ងៃ។</v>
      </c>
      <c r="AK165" s="7" t="str">
        <f>IFERROR(__xludf.DUMMYFUNCTION("GoogleTranslate(C165, ""en"", ""ko"")"),"자외선 지수 {name} {number}일")</f>
        <v>자외선 지수 {name} {number}일</v>
      </c>
      <c r="AL165" s="7" t="str">
        <f>IFERROR(__xludf.DUMMYFUNCTION("GoogleTranslate(C165, ""en"", ""lo"")"),"Uv index {name} {number} ມື້")</f>
        <v>Uv index {name} {number} ມື້</v>
      </c>
      <c r="AM165" s="7" t="str">
        <f>IFERROR(__xludf.DUMMYFUNCTION("GoogleTranslate(C165, ""en"", ""lv"")"),"UV indekss {name} {number} dienas")</f>
        <v>UV indekss {name} {number} dienas</v>
      </c>
      <c r="AN165" s="7" t="str">
        <f>IFERROR(__xludf.DUMMYFUNCTION("GoogleTranslate(C165, ""en"", ""lt"")"),"UV indeksas {name} {number} d")</f>
        <v>UV indeksas {name} {number} d</v>
      </c>
      <c r="AO165" s="7" t="str">
        <f>IFERROR(__xludf.DUMMYFUNCTION("GoogleTranslate(C165, ""en"", ""mk"")"),"УВ индекс {име} {број} дена")</f>
        <v>УВ индекс {име} {број} дена</v>
      </c>
      <c r="AP165" s="7" t="str">
        <f>IFERROR(__xludf.DUMMYFUNCTION("GoogleTranslate(C165, ""en"", ""ms"")"),"Indeks UV {nama} {number} hari")</f>
        <v>Indeks UV {nama} {number} hari</v>
      </c>
      <c r="AQ165" s="7" t="str">
        <f>IFERROR(__xludf.DUMMYFUNCTION("GoogleTranslate(C165, ""en"", ""ml"")"),"യുവി സൂചിക {name} {number} ദിവസം")</f>
        <v>യുവി സൂചിക {name} {number} ദിവസം</v>
      </c>
      <c r="AR165" s="7" t="str">
        <f>IFERROR(__xludf.DUMMYFUNCTION("GoogleTranslate(C165, ""en"", ""mr"")"),"Uv इंडेक्स {name} {number} दिवस")</f>
        <v>Uv इंडेक्स {name} {number} दिवस</v>
      </c>
      <c r="AS165" s="7" t="str">
        <f>IFERROR(__xludf.DUMMYFUNCTION("GoogleTranslate(C165, ""en"", ""mn"")"),"Хэт ягаан туяаны индекс {нэр} {тоо} хоног")</f>
        <v>Хэт ягаан туяаны индекс {нэр} {тоо} хоног</v>
      </c>
      <c r="AT165" s="7" t="str">
        <f>IFERROR(__xludf.DUMMYFUNCTION("GoogleTranslate(C165, ""en"", ""ne"")"),"Uv अनुक्रमणिका {name} {number} दिन")</f>
        <v>Uv अनुक्रमणिका {name} {number} दिन</v>
      </c>
      <c r="AU165" s="7" t="str">
        <f>IFERROR(__xludf.DUMMYFUNCTION("GoogleTranslate(C165, ""en"", ""nb"")"),"Uv-indeks {name} {number} dager")</f>
        <v>Uv-indeks {name} {number} dager</v>
      </c>
      <c r="AV165" s="7" t="str">
        <f>IFERROR(__xludf.DUMMYFUNCTION("GoogleTranslate(C165, ""en"", ""fa"")"),"شاخص UV {name} {number} روز")</f>
        <v>شاخص UV {name} {number} روز</v>
      </c>
      <c r="AW165" s="7" t="str">
        <f>IFERROR(__xludf.DUMMYFUNCTION("GoogleTranslate(C165, ""en"", ""pl"")"),"Indeks UV {nazwa} {liczba} dni")</f>
        <v>Indeks UV {nazwa} {liczba} dni</v>
      </c>
      <c r="AX165" s="7" t="str">
        <f>IFERROR(__xludf.DUMMYFUNCTION("GoogleTranslate(C165, ""en"", ""pt"")"),"Índice UV {nome} {número} dias")</f>
        <v>Índice UV {nome} {número} dias</v>
      </c>
      <c r="AY165" s="7" t="str">
        <f>IFERROR(__xludf.DUMMYFUNCTION("GoogleTranslate(C165, ""en"", ""ro"")"),"Index UV {name} {number} zile")</f>
        <v>Index UV {name} {number} zile</v>
      </c>
      <c r="AZ165" s="7" t="str">
        <f>IFERROR(__xludf.DUMMYFUNCTION("GoogleTranslate(C165, ""en"", ""ru"")"),"УФ-индекс {name} {number} дней")</f>
        <v>УФ-индекс {name} {number} дней</v>
      </c>
      <c r="BA165" s="7" t="str">
        <f>IFERROR(__xludf.DUMMYFUNCTION("GoogleTranslate(C165, ""en"", ""sr"")"),"Ув индекс {наме} {нумбер} дана")</f>
        <v>Ув индекс {наме} {нумбер} дана</v>
      </c>
      <c r="BB165" s="7" t="str">
        <f>IFERROR(__xludf.DUMMYFUNCTION("GoogleTranslate(C165, ""en"", ""si"")"),"Uv දර්ශකය දින {name} {number}")</f>
        <v>Uv දර්ශකය දින {name} {number}</v>
      </c>
      <c r="BC165" s="7" t="str">
        <f>IFERROR(__xludf.DUMMYFUNCTION("GoogleTranslate(C165, ""en"", ""sk"")"),"UV index {meno} {počet} dní")</f>
        <v>UV index {meno} {počet} dní</v>
      </c>
      <c r="BD165" s="7" t="str">
        <f>IFERROR(__xludf.DUMMYFUNCTION("GoogleTranslate(C165, ""en"", ""sl"")"),"Uv indeks {ime} {število} dni")</f>
        <v>Uv indeks {ime} {število} dni</v>
      </c>
      <c r="BE165" s="7" t="str">
        <f>IFERROR(__xludf.DUMMYFUNCTION("GoogleTranslate(C165, ""en"", ""es"")"),"Índice ultravioleta {nombre} {número} días")</f>
        <v>Índice ultravioleta {nombre} {número} días</v>
      </c>
      <c r="BF165" s="7" t="str">
        <f>IFERROR(__xludf.DUMMYFUNCTION("GoogleTranslate(C165, ""en"", ""sw"")"),"Faharasa ya UV {name} siku {number}")</f>
        <v>Faharasa ya UV {name} siku {number}</v>
      </c>
      <c r="BG165" s="7" t="str">
        <f>IFERROR(__xludf.DUMMYFUNCTION("GoogleTranslate(C165, ""en"", ""sv"")"),"Uv-index {name} {number} dagar")</f>
        <v>Uv-index {name} {number} dagar</v>
      </c>
      <c r="BH165" s="7" t="str">
        <f>IFERROR(__xludf.DUMMYFUNCTION("GoogleTranslate(C165, ""en"", ""te"")"),"Uv సూచిక {name} {number} రోజులు")</f>
        <v>Uv సూచిక {name} {number} రోజులు</v>
      </c>
      <c r="BI165" s="7" t="str">
        <f>IFERROR(__xludf.DUMMYFUNCTION("GoogleTranslate(C165, ""en"", ""th"")"),"ดัชนีรังสียูวี {name} {number} วัน")</f>
        <v>ดัชนีรังสียูวี {name} {number} วัน</v>
      </c>
      <c r="BJ165" s="7" t="str">
        <f>IFERROR(__xludf.DUMMYFUNCTION("GoogleTranslate(C165, ""en"", ""tr"")"),"UV indeksi {name} {number} gün")</f>
        <v>UV indeksi {name} {number} gün</v>
      </c>
      <c r="BK165" s="7" t="str">
        <f>IFERROR(__xludf.DUMMYFUNCTION("GoogleTranslate(C165, ""en"", ""uk"")"),"УФ-індекс {name} {кількість} днів")</f>
        <v>УФ-індекс {name} {кількість} днів</v>
      </c>
      <c r="BL165" s="7" t="str">
        <f>IFERROR(__xludf.DUMMYFUNCTION("GoogleTranslate(C165, ""en"", ""zu"")"),"Inkomba ye-Uv {name} {number} izinsuku")</f>
        <v>Inkomba ye-Uv {name} {number} izinsuku</v>
      </c>
    </row>
    <row r="166">
      <c r="A166" s="5" t="str">
        <f t="shared" si="1"/>
        <v>Settings</v>
      </c>
      <c r="B166" s="6" t="s">
        <v>221</v>
      </c>
      <c r="C166" s="5" t="str">
        <f t="shared" si="2"/>
        <v>Settings</v>
      </c>
      <c r="D166" s="7" t="str">
        <f>IFERROR(__xludf.DUMMYFUNCTION("GoogleTranslate(C166, ""en"", ""es"")"),"Ajustes")</f>
        <v>Ajustes</v>
      </c>
      <c r="E166" s="7" t="str">
        <f>IFERROR(__xludf.DUMMYFUNCTION("GoogleTranslate(C166, ""en"", ""ar"")"),"إعدادات")</f>
        <v>إعدادات</v>
      </c>
      <c r="F166" s="7" t="str">
        <f>IFERROR(__xludf.DUMMYFUNCTION("GoogleTranslate(C166, ""en"", ""hy"")"),"Կարգավորումներ")</f>
        <v>Կարգավորումներ</v>
      </c>
      <c r="G166" s="7" t="str">
        <f>IFERROR(__xludf.DUMMYFUNCTION("GoogleTranslate(C166, ""en"", ""vi"")"),"Cài đặt")</f>
        <v>Cài đặt</v>
      </c>
      <c r="H166" s="7" t="str">
        <f>IFERROR(__xludf.DUMMYFUNCTION("GoogleTranslate(C166, ""en"", ""az"")"),"Parametrlər")</f>
        <v>Parametrlər</v>
      </c>
      <c r="I166" s="7" t="str">
        <f>IFERROR(__xludf.DUMMYFUNCTION("GoogleTranslate(C166, ""en"", ""eu"")"),"Ezarpenak")</f>
        <v>Ezarpenak</v>
      </c>
      <c r="J166" s="7" t="str">
        <f>IFERROR(__xludf.DUMMYFUNCTION("GoogleTranslate(C166, ""en"", ""be"")"),"Налады")</f>
        <v>Налады</v>
      </c>
      <c r="K166" s="7" t="str">
        <f>IFERROR(__xludf.DUMMYFUNCTION("GoogleTranslate(C166, ""en"", ""bn"")"),"সেটিংস")</f>
        <v>সেটিংস</v>
      </c>
      <c r="L166" s="7" t="str">
        <f>IFERROR(__xludf.DUMMYFUNCTION("GoogleTranslate(C166, ""en"", ""bg"")"),"Настройки")</f>
        <v>Настройки</v>
      </c>
      <c r="M166" s="7" t="str">
        <f>IFERROR(__xludf.DUMMYFUNCTION("GoogleTranslate(C166, ""en"", ""my"")"),"ဆက်တင်များ")</f>
        <v>ဆက်တင်များ</v>
      </c>
      <c r="N166" s="7" t="str">
        <f>IFERROR(__xludf.DUMMYFUNCTION("GoogleTranslate(C166, ""en"", ""ca"")"),"Configuració")</f>
        <v>Configuració</v>
      </c>
      <c r="O166" s="7" t="str">
        <f>IFERROR(__xludf.DUMMYFUNCTION("GoogleTranslate(C166, ""en"", ""zh-cn"")"),"设置")</f>
        <v>设置</v>
      </c>
      <c r="P166" s="7" t="str">
        <f>IFERROR(__xludf.DUMMYFUNCTION("GoogleTranslate(C166, ""en"", ""zh-TW"")"),"設定")</f>
        <v>設定</v>
      </c>
      <c r="Q166" s="7" t="str">
        <f>IFERROR(__xludf.DUMMYFUNCTION("GoogleTranslate(C166, ""en"", ""hr"")"),"postavke")</f>
        <v>postavke</v>
      </c>
      <c r="R166" s="7" t="str">
        <f>IFERROR(__xludf.DUMMYFUNCTION("GoogleTranslate(C166, ""en"", ""cs"")"),"Nastavení")</f>
        <v>Nastavení</v>
      </c>
      <c r="S166" s="7" t="str">
        <f>IFERROR(__xludf.DUMMYFUNCTION("GoogleTranslate(C166, ""en"", ""da"")"),"Indstillinger")</f>
        <v>Indstillinger</v>
      </c>
      <c r="T166" s="7" t="str">
        <f>IFERROR(__xludf.DUMMYFUNCTION("GoogleTranslate(C166, ""en"", ""nl"")"),"Instellingen")</f>
        <v>Instellingen</v>
      </c>
      <c r="U166" s="7" t="str">
        <f>IFERROR(__xludf.DUMMYFUNCTION("GoogleTranslate(C166, ""en"", ""et"")"),"Seaded")</f>
        <v>Seaded</v>
      </c>
      <c r="V166" s="5" t="str">
        <f t="shared" si="3"/>
        <v>Settings</v>
      </c>
      <c r="W166" s="7" t="str">
        <f>IFERROR(__xludf.DUMMYFUNCTION("GoogleTranslate(C166, ""en"", ""fi"")"),"Asetukset")</f>
        <v>Asetukset</v>
      </c>
      <c r="X166" s="7" t="str">
        <f>IFERROR(__xludf.DUMMYFUNCTION("GoogleTranslate(C166, ""en"", ""fr"")"),"Paramètres")</f>
        <v>Paramètres</v>
      </c>
      <c r="Y166" s="7" t="str">
        <f>IFERROR(__xludf.DUMMYFUNCTION("GoogleTranslate(C166, ""en"", ""de"")"),"Einstellungen")</f>
        <v>Einstellungen</v>
      </c>
      <c r="Z166" s="7" t="str">
        <f>IFERROR(__xludf.DUMMYFUNCTION("GoogleTranslate(C166, ""en"", ""el"")"),"Ρυθμίσεις")</f>
        <v>Ρυθμίσεις</v>
      </c>
      <c r="AA166" s="7" t="str">
        <f>IFERROR(__xludf.DUMMYFUNCTION("GoogleTranslate(C166, ""en"", ""iw"")"),"הגדרות")</f>
        <v>הגדרות</v>
      </c>
      <c r="AB166" s="7" t="str">
        <f>IFERROR(__xludf.DUMMYFUNCTION("GoogleTranslate(C166, ""en"", ""hi"")"),"सेटिंग्स")</f>
        <v>सेटिंग्स</v>
      </c>
      <c r="AC166" s="7" t="str">
        <f>IFERROR(__xludf.DUMMYFUNCTION("GoogleTranslate(C166, ""en"", ""hu"")"),"Beállítások elemre")</f>
        <v>Beállítások elemre</v>
      </c>
      <c r="AD166" s="7" t="str">
        <f>IFERROR(__xludf.DUMMYFUNCTION("GoogleTranslate(C166, ""en"", ""is"")"),"Stillingar")</f>
        <v>Stillingar</v>
      </c>
      <c r="AE166" s="7" t="str">
        <f>IFERROR(__xludf.DUMMYFUNCTION("GoogleTranslate(C166, ""en"", ""id"")"),"Pengaturan")</f>
        <v>Pengaturan</v>
      </c>
      <c r="AF166" s="7" t="str">
        <f>IFERROR(__xludf.DUMMYFUNCTION("GoogleTranslate(C166, ""en"", ""in"")"),"Pengaturan")</f>
        <v>Pengaturan</v>
      </c>
      <c r="AG166" s="7" t="str">
        <f>IFERROR(__xludf.DUMMYFUNCTION("GoogleTranslate(C166, ""en"", ""it"")"),"Impostazioni")</f>
        <v>Impostazioni</v>
      </c>
      <c r="AH166" s="7" t="str">
        <f>IFERROR(__xludf.DUMMYFUNCTION("GoogleTranslate(C166, ""en"", ""ja"")"),"設定")</f>
        <v>設定</v>
      </c>
      <c r="AI166" s="7" t="str">
        <f>IFERROR(__xludf.DUMMYFUNCTION("GoogleTranslate(C166, ""en"", ""kn"")"),"ಸೆಟ್ಟಿಂಗ್‌ಗಳು")</f>
        <v>ಸೆಟ್ಟಿಂಗ್‌ಗಳು</v>
      </c>
      <c r="AJ166" s="7" t="str">
        <f>IFERROR(__xludf.DUMMYFUNCTION("GoogleTranslate(C166, ""en"", ""km"")"),"ការកំណត់")</f>
        <v>ការកំណត់</v>
      </c>
      <c r="AK166" s="7" t="str">
        <f>IFERROR(__xludf.DUMMYFUNCTION("GoogleTranslate(C166, ""en"", ""ko"")"),"설정")</f>
        <v>설정</v>
      </c>
      <c r="AL166" s="7" t="str">
        <f>IFERROR(__xludf.DUMMYFUNCTION("GoogleTranslate(C166, ""en"", ""lo"")"),"ການຕັ້ງຄ່າ")</f>
        <v>ການຕັ້ງຄ່າ</v>
      </c>
      <c r="AM166" s="7" t="str">
        <f>IFERROR(__xludf.DUMMYFUNCTION("GoogleTranslate(C166, ""en"", ""lv"")"),"Iestatījumi")</f>
        <v>Iestatījumi</v>
      </c>
      <c r="AN166" s="7" t="str">
        <f>IFERROR(__xludf.DUMMYFUNCTION("GoogleTranslate(C166, ""en"", ""lt"")"),"Nustatymai")</f>
        <v>Nustatymai</v>
      </c>
      <c r="AO166" s="7" t="str">
        <f>IFERROR(__xludf.DUMMYFUNCTION("GoogleTranslate(C166, ""en"", ""mk"")"),"Поставки")</f>
        <v>Поставки</v>
      </c>
      <c r="AP166" s="7" t="str">
        <f>IFERROR(__xludf.DUMMYFUNCTION("GoogleTranslate(C166, ""en"", ""ms"")"),"tetapan")</f>
        <v>tetapan</v>
      </c>
      <c r="AQ166" s="7" t="str">
        <f>IFERROR(__xludf.DUMMYFUNCTION("GoogleTranslate(C166, ""en"", ""ml"")"),"ക്രമീകരണങ്ങൾ")</f>
        <v>ക്രമീകരണങ്ങൾ</v>
      </c>
      <c r="AR166" s="7" t="str">
        <f>IFERROR(__xludf.DUMMYFUNCTION("GoogleTranslate(C166, ""en"", ""mr"")"),"सेटिंग्ज")</f>
        <v>सेटिंग्ज</v>
      </c>
      <c r="AS166" s="7" t="str">
        <f>IFERROR(__xludf.DUMMYFUNCTION("GoogleTranslate(C166, ""en"", ""mn"")"),"Тохиргоо")</f>
        <v>Тохиргоо</v>
      </c>
      <c r="AT166" s="7" t="str">
        <f>IFERROR(__xludf.DUMMYFUNCTION("GoogleTranslate(C166, ""en"", ""ne"")"),"सेटिङहरू")</f>
        <v>सेटिङहरू</v>
      </c>
      <c r="AU166" s="7" t="str">
        <f>IFERROR(__xludf.DUMMYFUNCTION("GoogleTranslate(C166, ""en"", ""nb"")"),"Innstillinger")</f>
        <v>Innstillinger</v>
      </c>
      <c r="AV166" s="7" t="str">
        <f>IFERROR(__xludf.DUMMYFUNCTION("GoogleTranslate(C166, ""en"", ""fa"")"),"تنظیمات")</f>
        <v>تنظیمات</v>
      </c>
      <c r="AW166" s="7" t="str">
        <f>IFERROR(__xludf.DUMMYFUNCTION("GoogleTranslate(C166, ""en"", ""pl"")"),"Ustawienia")</f>
        <v>Ustawienia</v>
      </c>
      <c r="AX166" s="7" t="str">
        <f>IFERROR(__xludf.DUMMYFUNCTION("GoogleTranslate(C166, ""en"", ""pt"")"),"Configurações")</f>
        <v>Configurações</v>
      </c>
      <c r="AY166" s="7" t="str">
        <f>IFERROR(__xludf.DUMMYFUNCTION("GoogleTranslate(C166, ""en"", ""ro"")"),"Setări")</f>
        <v>Setări</v>
      </c>
      <c r="AZ166" s="7" t="str">
        <f>IFERROR(__xludf.DUMMYFUNCTION("GoogleTranslate(C166, ""en"", ""ru"")"),"Настройки")</f>
        <v>Настройки</v>
      </c>
      <c r="BA166" s="7" t="str">
        <f>IFERROR(__xludf.DUMMYFUNCTION("GoogleTranslate(C166, ""en"", ""sr"")"),"Подешавања")</f>
        <v>Подешавања</v>
      </c>
      <c r="BB166" s="7" t="str">
        <f>IFERROR(__xludf.DUMMYFUNCTION("GoogleTranslate(C166, ""en"", ""si"")"),"සැකසීම්")</f>
        <v>සැකසීම්</v>
      </c>
      <c r="BC166" s="7" t="str">
        <f>IFERROR(__xludf.DUMMYFUNCTION("GoogleTranslate(C166, ""en"", ""sk"")"),"Nastavenia")</f>
        <v>Nastavenia</v>
      </c>
      <c r="BD166" s="7" t="str">
        <f>IFERROR(__xludf.DUMMYFUNCTION("GoogleTranslate(C166, ""en"", ""sl"")"),"nastavitve")</f>
        <v>nastavitve</v>
      </c>
      <c r="BE166" s="7" t="str">
        <f>IFERROR(__xludf.DUMMYFUNCTION("GoogleTranslate(C166, ""en"", ""es"")"),"Ajustes")</f>
        <v>Ajustes</v>
      </c>
      <c r="BF166" s="7" t="str">
        <f>IFERROR(__xludf.DUMMYFUNCTION("GoogleTranslate(C166, ""en"", ""sw"")"),"Mipangilio")</f>
        <v>Mipangilio</v>
      </c>
      <c r="BG166" s="7" t="str">
        <f>IFERROR(__xludf.DUMMYFUNCTION("GoogleTranslate(C166, ""en"", ""sv"")"),"Inställningar")</f>
        <v>Inställningar</v>
      </c>
      <c r="BH166" s="7" t="str">
        <f>IFERROR(__xludf.DUMMYFUNCTION("GoogleTranslate(C166, ""en"", ""te"")"),"సెట్టింగ్‌లు")</f>
        <v>సెట్టింగ్‌లు</v>
      </c>
      <c r="BI166" s="7" t="str">
        <f>IFERROR(__xludf.DUMMYFUNCTION("GoogleTranslate(C166, ""en"", ""th"")"),"การตั้งค่า")</f>
        <v>การตั้งค่า</v>
      </c>
      <c r="BJ166" s="7" t="str">
        <f>IFERROR(__xludf.DUMMYFUNCTION("GoogleTranslate(C166, ""en"", ""tr"")"),"Ayarlar")</f>
        <v>Ayarlar</v>
      </c>
      <c r="BK166" s="7" t="str">
        <f>IFERROR(__xludf.DUMMYFUNCTION("GoogleTranslate(C166, ""en"", ""uk"")"),"Налаштування")</f>
        <v>Налаштування</v>
      </c>
      <c r="BL166" s="7" t="str">
        <f>IFERROR(__xludf.DUMMYFUNCTION("GoogleTranslate(C166, ""en"", ""zu"")"),"Izilungiselelo")</f>
        <v>Izilungiselelo</v>
      </c>
    </row>
    <row r="167">
      <c r="A167" s="5" t="str">
        <f t="shared" si="1"/>
        <v>Unit_preferences_settings</v>
      </c>
      <c r="B167" s="6" t="s">
        <v>222</v>
      </c>
      <c r="C167" s="5" t="str">
        <f t="shared" si="2"/>
        <v>Unit preferences settings</v>
      </c>
      <c r="D167" s="7" t="str">
        <f>IFERROR(__xludf.DUMMYFUNCTION("GoogleTranslate(C167, ""en"", ""es"")"),"Configuración de preferencias de unidad")</f>
        <v>Configuración de preferencias de unidad</v>
      </c>
      <c r="E167" s="7" t="str">
        <f>IFERROR(__xludf.DUMMYFUNCTION("GoogleTranslate(C167, ""en"", ""ar"")"),"إعدادات تفضيلات الوحدة")</f>
        <v>إعدادات تفضيلات الوحدة</v>
      </c>
      <c r="F167" s="7" t="str">
        <f>IFERROR(__xludf.DUMMYFUNCTION("GoogleTranslate(C167, ""en"", ""hy"")"),"Միավորի նախապատվությունների կարգավորումներ")</f>
        <v>Միավորի նախապատվությունների կարգավորումներ</v>
      </c>
      <c r="G167" s="7" t="str">
        <f>IFERROR(__xludf.DUMMYFUNCTION("GoogleTranslate(C167, ""en"", ""vi"")"),"Cài đặt tùy chọn đơn vị")</f>
        <v>Cài đặt tùy chọn đơn vị</v>
      </c>
      <c r="H167" s="7" t="str">
        <f>IFERROR(__xludf.DUMMYFUNCTION("GoogleTranslate(C167, ""en"", ""az"")"),"Vahid üstünlükləri parametrləri")</f>
        <v>Vahid üstünlükləri parametrləri</v>
      </c>
      <c r="I167" s="7" t="str">
        <f>IFERROR(__xludf.DUMMYFUNCTION("GoogleTranslate(C167, ""en"", ""eu"")"),"Unitate-hobespenen ezarpenak")</f>
        <v>Unitate-hobespenen ezarpenak</v>
      </c>
      <c r="J167" s="7" t="str">
        <f>IFERROR(__xludf.DUMMYFUNCTION("GoogleTranslate(C167, ""en"", ""be"")"),"Налады параметраў адзінкі")</f>
        <v>Налады параметраў адзінкі</v>
      </c>
      <c r="K167" s="7" t="str">
        <f>IFERROR(__xludf.DUMMYFUNCTION("GoogleTranslate(C167, ""en"", ""bn"")"),"ইউনিট পছন্দ সেটিংস")</f>
        <v>ইউনিট পছন্দ সেটিংস</v>
      </c>
      <c r="L167" s="7" t="str">
        <f>IFERROR(__xludf.DUMMYFUNCTION("GoogleTranslate(C167, ""en"", ""bg"")"),"Настройки на предпочитанията на единиците")</f>
        <v>Настройки на предпочитанията на единиците</v>
      </c>
      <c r="M167" s="7" t="str">
        <f>IFERROR(__xludf.DUMMYFUNCTION("GoogleTranslate(C167, ""en"", ""my"")"),"ယူနစ် စိတ်ကြိုက် ဆက်တင်များ")</f>
        <v>ယူနစ် စိတ်ကြိုက် ဆက်တင်များ</v>
      </c>
      <c r="N167" s="7" t="str">
        <f>IFERROR(__xludf.DUMMYFUNCTION("GoogleTranslate(C167, ""en"", ""ca"")"),"Configuració de les preferències de la unitat")</f>
        <v>Configuració de les preferències de la unitat</v>
      </c>
      <c r="O167" s="7" t="str">
        <f>IFERROR(__xludf.DUMMYFUNCTION("GoogleTranslate(C167, ""en"", ""zh-cn"")"),"单位首选项设置")</f>
        <v>单位首选项设置</v>
      </c>
      <c r="P167" s="7" t="str">
        <f>IFERROR(__xludf.DUMMYFUNCTION("GoogleTranslate(C167, ""en"", ""zh-TW"")"),"單位首選項設定")</f>
        <v>單位首選項設定</v>
      </c>
      <c r="Q167" s="7" t="str">
        <f>IFERROR(__xludf.DUMMYFUNCTION("GoogleTranslate(C167, ""en"", ""hr"")"),"Postavke preferencije jedinice")</f>
        <v>Postavke preferencije jedinice</v>
      </c>
      <c r="R167" s="7" t="str">
        <f>IFERROR(__xludf.DUMMYFUNCTION("GoogleTranslate(C167, ""en"", ""cs"")"),"Nastavení předvoleb jednotky")</f>
        <v>Nastavení předvoleb jednotky</v>
      </c>
      <c r="S167" s="7" t="str">
        <f>IFERROR(__xludf.DUMMYFUNCTION("GoogleTranslate(C167, ""en"", ""da"")"),"Indstillinger for enhedspræferencer")</f>
        <v>Indstillinger for enhedspræferencer</v>
      </c>
      <c r="T167" s="7" t="str">
        <f>IFERROR(__xludf.DUMMYFUNCTION("GoogleTranslate(C167, ""en"", ""nl"")"),"Instellingen voor eenheidsvoorkeuren")</f>
        <v>Instellingen voor eenheidsvoorkeuren</v>
      </c>
      <c r="U167" s="7" t="str">
        <f>IFERROR(__xludf.DUMMYFUNCTION("GoogleTranslate(C167, ""en"", ""et"")"),"Ühiku eelistuste seaded")</f>
        <v>Ühiku eelistuste seaded</v>
      </c>
      <c r="V167" s="5" t="str">
        <f t="shared" si="3"/>
        <v>Unit preferences settings</v>
      </c>
      <c r="W167" s="7" t="str">
        <f>IFERROR(__xludf.DUMMYFUNCTION("GoogleTranslate(C167, ""en"", ""fi"")"),"Yksikköasetusten asetukset")</f>
        <v>Yksikköasetusten asetukset</v>
      </c>
      <c r="X167" s="7" t="str">
        <f>IFERROR(__xludf.DUMMYFUNCTION("GoogleTranslate(C167, ""en"", ""fr"")"),"Paramètres des préférences d'unité")</f>
        <v>Paramètres des préférences d'unité</v>
      </c>
      <c r="Y167" s="7" t="str">
        <f>IFERROR(__xludf.DUMMYFUNCTION("GoogleTranslate(C167, ""en"", ""de"")"),"Einstellungen der Einheitenpräferenzen")</f>
        <v>Einstellungen der Einheitenpräferenzen</v>
      </c>
      <c r="Z167" s="7" t="str">
        <f>IFERROR(__xludf.DUMMYFUNCTION("GoogleTranslate(C167, ""en"", ""el"")"),"Ρυθμίσεις προτιμήσεων μονάδας")</f>
        <v>Ρυθμίσεις προτιμήσεων μονάδας</v>
      </c>
      <c r="AA167" s="7" t="str">
        <f>IFERROR(__xludf.DUMMYFUNCTION("GoogleTranslate(C167, ""en"", ""iw"")"),"הגדרות העדפות יחידה")</f>
        <v>הגדרות העדפות יחידה</v>
      </c>
      <c r="AB167" s="7" t="str">
        <f>IFERROR(__xludf.DUMMYFUNCTION("GoogleTranslate(C167, ""en"", ""hi"")"),"इकाई प्राथमिकताएँ सेटिंग्स")</f>
        <v>इकाई प्राथमिकताएँ सेटिंग्स</v>
      </c>
      <c r="AC167" s="7" t="str">
        <f>IFERROR(__xludf.DUMMYFUNCTION("GoogleTranslate(C167, ""en"", ""hu"")"),"Egységbeállítások beállításai")</f>
        <v>Egységbeállítások beállításai</v>
      </c>
      <c r="AD167" s="7" t="str">
        <f>IFERROR(__xludf.DUMMYFUNCTION("GoogleTranslate(C167, ""en"", ""is"")"),"Stillingar einingastillinga")</f>
        <v>Stillingar einingastillinga</v>
      </c>
      <c r="AE167" s="7" t="str">
        <f>IFERROR(__xludf.DUMMYFUNCTION("GoogleTranslate(C167, ""en"", ""id"")"),"Pengaturan preferensi unit")</f>
        <v>Pengaturan preferensi unit</v>
      </c>
      <c r="AF167" s="7" t="str">
        <f>IFERROR(__xludf.DUMMYFUNCTION("GoogleTranslate(C167, ""en"", ""in"")"),"Pengaturan preferensi unit")</f>
        <v>Pengaturan preferensi unit</v>
      </c>
      <c r="AG167" s="7" t="str">
        <f>IFERROR(__xludf.DUMMYFUNCTION("GoogleTranslate(C167, ""en"", ""it"")"),"Impostazioni delle preferenze dell'unità")</f>
        <v>Impostazioni delle preferenze dell'unità</v>
      </c>
      <c r="AH167" s="7" t="str">
        <f>IFERROR(__xludf.DUMMYFUNCTION("GoogleTranslate(C167, ""en"", ""ja"")"),"ユニットの基本設定")</f>
        <v>ユニットの基本設定</v>
      </c>
      <c r="AI167" s="7" t="str">
        <f>IFERROR(__xludf.DUMMYFUNCTION("GoogleTranslate(C167, ""en"", ""kn"")"),"ಘಟಕದ ಆದ್ಯತೆಗಳ ಸೆಟ್ಟಿಂಗ್‌ಗಳು")</f>
        <v>ಘಟಕದ ಆದ್ಯತೆಗಳ ಸೆಟ್ಟಿಂಗ್‌ಗಳು</v>
      </c>
      <c r="AJ167" s="7" t="str">
        <f>IFERROR(__xludf.DUMMYFUNCTION("GoogleTranslate(C167, ""en"", ""km"")"),"ការកំណត់ចំណូលចិត្តឯកតា")</f>
        <v>ការកំណត់ចំណូលចិត្តឯកតា</v>
      </c>
      <c r="AK167" s="7" t="str">
        <f>IFERROR(__xludf.DUMMYFUNCTION("GoogleTranslate(C167, ""en"", ""ko"")"),"단위 기본 설정")</f>
        <v>단위 기본 설정</v>
      </c>
      <c r="AL167" s="7" t="str">
        <f>IFERROR(__xludf.DUMMYFUNCTION("GoogleTranslate(C167, ""en"", ""lo"")"),"ການຕັ້ງຄ່າຫົວໜ່ວຍ")</f>
        <v>ການຕັ້ງຄ່າຫົວໜ່ວຍ</v>
      </c>
      <c r="AM167" s="7" t="str">
        <f>IFERROR(__xludf.DUMMYFUNCTION("GoogleTranslate(C167, ""en"", ""lv"")"),"Vienības preferenču iestatījumi")</f>
        <v>Vienības preferenču iestatījumi</v>
      </c>
      <c r="AN167" s="7" t="str">
        <f>IFERROR(__xludf.DUMMYFUNCTION("GoogleTranslate(C167, ""en"", ""lt"")"),"Vieneto nuostatų nustatymai")</f>
        <v>Vieneto nuostatų nustatymai</v>
      </c>
      <c r="AO167" s="7" t="str">
        <f>IFERROR(__xludf.DUMMYFUNCTION("GoogleTranslate(C167, ""en"", ""mk"")"),"Поставки за параметри на единицата")</f>
        <v>Поставки за параметри на единицата</v>
      </c>
      <c r="AP167" s="7" t="str">
        <f>IFERROR(__xludf.DUMMYFUNCTION("GoogleTranslate(C167, ""en"", ""ms"")"),"Tetapan keutamaan unit")</f>
        <v>Tetapan keutamaan unit</v>
      </c>
      <c r="AQ167" s="7" t="str">
        <f>IFERROR(__xludf.DUMMYFUNCTION("GoogleTranslate(C167, ""en"", ""ml"")"),"യൂണിറ്റ് മുൻഗണനകൾ ക്രമീകരണം")</f>
        <v>യൂണിറ്റ് മുൻഗണനകൾ ക്രമീകരണം</v>
      </c>
      <c r="AR167" s="7" t="str">
        <f>IFERROR(__xludf.DUMMYFUNCTION("GoogleTranslate(C167, ""en"", ""mr"")"),"युनिट प्राधान्ये सेटिंग्ज")</f>
        <v>युनिट प्राधान्ये सेटिंग्ज</v>
      </c>
      <c r="AS167" s="7" t="str">
        <f>IFERROR(__xludf.DUMMYFUNCTION("GoogleTranslate(C167, ""en"", ""mn"")"),"Нэгжийн тохиргооны тохиргоо")</f>
        <v>Нэгжийн тохиргооны тохиргоо</v>
      </c>
      <c r="AT167" s="7" t="str">
        <f>IFERROR(__xludf.DUMMYFUNCTION("GoogleTranslate(C167, ""en"", ""ne"")"),"एकाइ प्राथमिकता सेटिङहरू")</f>
        <v>एकाइ प्राथमिकता सेटिङहरू</v>
      </c>
      <c r="AU167" s="7" t="str">
        <f>IFERROR(__xludf.DUMMYFUNCTION("GoogleTranslate(C167, ""en"", ""nb"")"),"Innstillinger for enhetspreferanser")</f>
        <v>Innstillinger for enhetspreferanser</v>
      </c>
      <c r="AV167" s="7" t="str">
        <f>IFERROR(__xludf.DUMMYFUNCTION("GoogleTranslate(C167, ""en"", ""fa"")"),"تنظیمات برگزیده واحد")</f>
        <v>تنظیمات برگزیده واحد</v>
      </c>
      <c r="AW167" s="7" t="str">
        <f>IFERROR(__xludf.DUMMYFUNCTION("GoogleTranslate(C167, ""en"", ""pl"")"),"Ustawienia preferencji jednostek")</f>
        <v>Ustawienia preferencji jednostek</v>
      </c>
      <c r="AX167" s="7" t="str">
        <f>IFERROR(__xludf.DUMMYFUNCTION("GoogleTranslate(C167, ""en"", ""pt"")"),"Configurações de preferências de unidade")</f>
        <v>Configurações de preferências de unidade</v>
      </c>
      <c r="AY167" s="7" t="str">
        <f>IFERROR(__xludf.DUMMYFUNCTION("GoogleTranslate(C167, ""en"", ""ro"")"),"Setările preferințelor unității")</f>
        <v>Setările preferințelor unității</v>
      </c>
      <c r="AZ167" s="7" t="str">
        <f>IFERROR(__xludf.DUMMYFUNCTION("GoogleTranslate(C167, ""en"", ""ru"")"),"Настройки предпочтений юнитов")</f>
        <v>Настройки предпочтений юнитов</v>
      </c>
      <c r="BA167" s="7" t="str">
        <f>IFERROR(__xludf.DUMMYFUNCTION("GoogleTranslate(C167, ""en"", ""sr"")"),"Подешавања подешавања јединице")</f>
        <v>Подешавања подешавања јединице</v>
      </c>
      <c r="BB167" s="7" t="str">
        <f>IFERROR(__xludf.DUMMYFUNCTION("GoogleTranslate(C167, ""en"", ""si"")"),"ඒකක මනාප සැකසුම්")</f>
        <v>ඒකක මනාප සැකසුම්</v>
      </c>
      <c r="BC167" s="7" t="str">
        <f>IFERROR(__xludf.DUMMYFUNCTION("GoogleTranslate(C167, ""en"", ""sk"")"),"Nastavenia preferencií jednotky")</f>
        <v>Nastavenia preferencií jednotky</v>
      </c>
      <c r="BD167" s="7" t="str">
        <f>IFERROR(__xludf.DUMMYFUNCTION("GoogleTranslate(C167, ""en"", ""sl"")"),"Nastavitve preferenc enote")</f>
        <v>Nastavitve preferenc enote</v>
      </c>
      <c r="BE167" s="7" t="str">
        <f>IFERROR(__xludf.DUMMYFUNCTION("GoogleTranslate(C167, ""en"", ""es"")"),"Configuración de preferencias de unidad")</f>
        <v>Configuración de preferencias de unidad</v>
      </c>
      <c r="BF167" s="7" t="str">
        <f>IFERROR(__xludf.DUMMYFUNCTION("GoogleTranslate(C167, ""en"", ""sw"")"),"Mipangilio ya mapendeleo ya kitengo")</f>
        <v>Mipangilio ya mapendeleo ya kitengo</v>
      </c>
      <c r="BG167" s="7" t="str">
        <f>IFERROR(__xludf.DUMMYFUNCTION("GoogleTranslate(C167, ""en"", ""sv"")"),"Inställningar för enhetspreferenser")</f>
        <v>Inställningar för enhetspreferenser</v>
      </c>
      <c r="BH167" s="7" t="str">
        <f>IFERROR(__xludf.DUMMYFUNCTION("GoogleTranslate(C167, ""en"", ""te"")"),"యూనిట్ ప్రాధాన్యతల సెట్టింగ్‌లు")</f>
        <v>యూనిట్ ప్రాధాన్యతల సెట్టింగ్‌లు</v>
      </c>
      <c r="BI167" s="7" t="str">
        <f>IFERROR(__xludf.DUMMYFUNCTION("GoogleTranslate(C167, ""en"", ""th"")"),"การตั้งค่าการตั้งค่าหน่วย")</f>
        <v>การตั้งค่าการตั้งค่าหน่วย</v>
      </c>
      <c r="BJ167" s="7" t="str">
        <f>IFERROR(__xludf.DUMMYFUNCTION("GoogleTranslate(C167, ""en"", ""tr"")"),"Birim tercihleri ​​ayarları")</f>
        <v>Birim tercihleri ​​ayarları</v>
      </c>
      <c r="BK167" s="7" t="str">
        <f>IFERROR(__xludf.DUMMYFUNCTION("GoogleTranslate(C167, ""en"", ""uk"")"),"Налаштування параметрів одиниць")</f>
        <v>Налаштування параметрів одиниць</v>
      </c>
      <c r="BL167" s="7" t="str">
        <f>IFERROR(__xludf.DUMMYFUNCTION("GoogleTranslate(C167, ""en"", ""zu"")"),"Izilungiselelo zokuncamela amayunithi")</f>
        <v>Izilungiselelo zokuncamela amayunithi</v>
      </c>
    </row>
    <row r="168">
      <c r="A168" s="5" t="str">
        <f t="shared" si="1"/>
        <v>We_want_to_make_sure_you_have_the_best_experiences_while_using_out_app</v>
      </c>
      <c r="B168" s="6" t="s">
        <v>223</v>
      </c>
      <c r="C168" s="5" t="str">
        <f t="shared" si="2"/>
        <v>We want to make sure you have the best experiences while using out app</v>
      </c>
      <c r="D168" s="7" t="str">
        <f>IFERROR(__xludf.DUMMYFUNCTION("GoogleTranslate(C168, ""en"", ""es"")"),"Queremos asegurarnos de que tengas las mejores experiencias mientras usas nuestra aplicación.")</f>
        <v>Queremos asegurarnos de que tengas las mejores experiencias mientras usas nuestra aplicación.</v>
      </c>
      <c r="E168" s="7" t="str">
        <f>IFERROR(__xludf.DUMMYFUNCTION("GoogleTranslate(C168, ""en"", ""ar"")"),"نريد أن نتأكد من حصولك على أفضل التجارب أثناء استخدام التطبيق")</f>
        <v>نريد أن نتأكد من حصولك على أفضل التجارب أثناء استخدام التطبيق</v>
      </c>
      <c r="F168" s="7" t="str">
        <f>IFERROR(__xludf.DUMMYFUNCTION("GoogleTranslate(C168, ""en"", ""hy"")"),"Մենք ցանկանում ենք համոզվել, որ դուք ունեք լավագույն փորձը հավելվածից օգտվելիս")</f>
        <v>Մենք ցանկանում ենք համոզվել, որ դուք ունեք լավագույն փորձը հավելվածից օգտվելիս</v>
      </c>
      <c r="G168" s="7" t="str">
        <f>IFERROR(__xludf.DUMMYFUNCTION("GoogleTranslate(C168, ""en"", ""vi"")"),"Chúng tôi muốn đảm bảo bạn có những trải nghiệm tốt nhất khi sử dụng ứng dụng")</f>
        <v>Chúng tôi muốn đảm bảo bạn có những trải nghiệm tốt nhất khi sử dụng ứng dụng</v>
      </c>
      <c r="H168" s="7" t="str">
        <f>IFERROR(__xludf.DUMMYFUNCTION("GoogleTranslate(C168, ""en"", ""az"")"),"Tətbiqdən istifadə edərkən ən yaxşı təcrübələrə sahib olduğunuzdan əmin olmaq istəyirik")</f>
        <v>Tətbiqdən istifadə edərkən ən yaxşı təcrübələrə sahib olduğunuzdan əmin olmaq istəyirik</v>
      </c>
      <c r="I168" s="7" t="str">
        <f>IFERROR(__xludf.DUMMYFUNCTION("GoogleTranslate(C168, ""en"", ""eu"")"),"Aplikazioa erabiltzen duzun bitartean esperientzia onenak dituzula ziurtatu nahi dugu")</f>
        <v>Aplikazioa erabiltzen duzun bitartean esperientzia onenak dituzula ziurtatu nahi dugu</v>
      </c>
      <c r="J168" s="7" t="str">
        <f>IFERROR(__xludf.DUMMYFUNCTION("GoogleTranslate(C168, ""en"", ""be"")"),"Мы хочам пераканацца, што вы карыстаецеся нашым дадаткам як мага лепш")</f>
        <v>Мы хочам пераканацца, што вы карыстаецеся нашым дадаткам як мага лепш</v>
      </c>
      <c r="K168" s="7" t="str">
        <f>IFERROR(__xludf.DUMMYFUNCTION("GoogleTranslate(C168, ""en"", ""bn"")"),"আমরা নিশ্চিত করতে চাই যে অ্যাপটি ব্যবহার করার সময় আপনার কাছে সেরা অভিজ্ঞতা রয়েছে")</f>
        <v>আমরা নিশ্চিত করতে চাই যে অ্যাপটি ব্যবহার করার সময় আপনার কাছে সেরা অভিজ্ঞতা রয়েছে</v>
      </c>
      <c r="L168" s="7" t="str">
        <f>IFERROR(__xludf.DUMMYFUNCTION("GoogleTranslate(C168, ""en"", ""bg"")"),"Искаме да сме сигурни, че имате най-добрите изживявания, докато използвате нашето приложение")</f>
        <v>Искаме да сме сигурни, че имате най-добрите изживявания, докато използвате нашето приложение</v>
      </c>
      <c r="M168" s="7" t="str">
        <f>IFERROR(__xludf.DUMMYFUNCTION("GoogleTranslate(C168, ""en"", ""my"")"),"အက်ပ်ကို အသုံးပြုနေစဉ်တွင် သင့်တွင် အကောင်းဆုံး အတွေ့အကြုံများ ရရှိကြောင်း သေချာစေလိုပါသည်။")</f>
        <v>အက်ပ်ကို အသုံးပြုနေစဉ်တွင် သင့်တွင် အကောင်းဆုံး အတွေ့အကြုံများ ရရှိကြောင်း သေချာစေလိုပါသည်။</v>
      </c>
      <c r="N168" s="7" t="str">
        <f>IFERROR(__xludf.DUMMYFUNCTION("GoogleTranslate(C168, ""en"", ""ca"")"),"Volem assegurar-nos que tingueu les millors experiències mentre feu servir l'aplicació")</f>
        <v>Volem assegurar-nos que tingueu les millors experiències mentre feu servir l'aplicació</v>
      </c>
      <c r="O168" s="7" t="str">
        <f>IFERROR(__xludf.DUMMYFUNCTION("GoogleTranslate(C168, ""en"", ""zh-cn"")"),"我们希望确保您在使用我们的应用程序时获得最佳体验")</f>
        <v>我们希望确保您在使用我们的应用程序时获得最佳体验</v>
      </c>
      <c r="P168" s="7" t="str">
        <f>IFERROR(__xludf.DUMMYFUNCTION("GoogleTranslate(C168, ""en"", ""zh-TW"")"),"我們希望確保您在使用我們的應用程式時獲得最佳體驗")</f>
        <v>我們希望確保您在使用我們的應用程式時獲得最佳體驗</v>
      </c>
      <c r="Q168" s="7" t="str">
        <f>IFERROR(__xludf.DUMMYFUNCTION("GoogleTranslate(C168, ""en"", ""hr"")"),"Želimo biti sigurni da imate najbolja iskustva dok koristite našu aplikaciju")</f>
        <v>Želimo biti sigurni da imate najbolja iskustva dok koristite našu aplikaciju</v>
      </c>
      <c r="R168" s="7" t="str">
        <f>IFERROR(__xludf.DUMMYFUNCTION("GoogleTranslate(C168, ""en"", ""cs"")"),"Chceme se ujistit, že při používání aplikace budete mít ty nejlepší zážitky")</f>
        <v>Chceme se ujistit, že při používání aplikace budete mít ty nejlepší zážitky</v>
      </c>
      <c r="S168" s="7" t="str">
        <f>IFERROR(__xludf.DUMMYFUNCTION("GoogleTranslate(C168, ""en"", ""da"")"),"Vi vil gerne sikre dig, at du får de bedste oplevelser, mens du bruger appen")</f>
        <v>Vi vil gerne sikre dig, at du får de bedste oplevelser, mens du bruger appen</v>
      </c>
      <c r="T168" s="7" t="str">
        <f>IFERROR(__xludf.DUMMYFUNCTION("GoogleTranslate(C168, ""en"", ""nl"")"),"We willen ervoor zorgen dat u de beste ervaringen heeft tijdens het gebruik van onze app")</f>
        <v>We willen ervoor zorgen dat u de beste ervaringen heeft tijdens het gebruik van onze app</v>
      </c>
      <c r="U168" s="7" t="str">
        <f>IFERROR(__xludf.DUMMYFUNCTION("GoogleTranslate(C168, ""en"", ""et"")"),"Soovime tagada, et teil oleks rakenduse kasutamisel parim kogemus")</f>
        <v>Soovime tagada, et teil oleks rakenduse kasutamisel parim kogemus</v>
      </c>
      <c r="V168" s="5" t="str">
        <f t="shared" si="3"/>
        <v>We want to make sure you have the best experiences while using out app</v>
      </c>
      <c r="W168" s="7" t="str">
        <f>IFERROR(__xludf.DUMMYFUNCTION("GoogleTranslate(C168, ""en"", ""fi"")"),"Haluamme varmistaa, että sinulla on parhaat kokemukset käyttäessäsi sovellusta")</f>
        <v>Haluamme varmistaa, että sinulla on parhaat kokemukset käyttäessäsi sovellusta</v>
      </c>
      <c r="X168" s="7" t="str">
        <f>IFERROR(__xludf.DUMMYFUNCTION("GoogleTranslate(C168, ""en"", ""fr"")"),"Nous voulons nous assurer que vous vivez la meilleure expérience possible lorsque vous utilisez notre application.")</f>
        <v>Nous voulons nous assurer que vous vivez la meilleure expérience possible lorsque vous utilisez notre application.</v>
      </c>
      <c r="Y168" s="7" t="str">
        <f>IFERROR(__xludf.DUMMYFUNCTION("GoogleTranslate(C168, ""en"", ""de"")"),"Wir möchten sicherstellen, dass Sie bei der Nutzung unserer App das beste Erlebnis haben")</f>
        <v>Wir möchten sicherstellen, dass Sie bei der Nutzung unserer App das beste Erlebnis haben</v>
      </c>
      <c r="Z168" s="7" t="str">
        <f>IFERROR(__xludf.DUMMYFUNCTION("GoogleTranslate(C168, ""en"", ""el"")"),"Θέλουμε να βεβαιωθούμε ότι έχετε τις καλύτερες εμπειρίες κατά τη χρήση της εφαρμογής")</f>
        <v>Θέλουμε να βεβαιωθούμε ότι έχετε τις καλύτερες εμπειρίες κατά τη χρήση της εφαρμογής</v>
      </c>
      <c r="AA168" s="7" t="str">
        <f>IFERROR(__xludf.DUMMYFUNCTION("GoogleTranslate(C168, ""en"", ""iw"")"),"אנחנו רוצים לוודא שיש לך את החוויות הטובות ביותר בזמן השימוש באפליקציית Out")</f>
        <v>אנחנו רוצים לוודא שיש לך את החוויות הטובות ביותר בזמן השימוש באפליקציית Out</v>
      </c>
      <c r="AB168" s="7" t="str">
        <f>IFERROR(__xludf.DUMMYFUNCTION("GoogleTranslate(C168, ""en"", ""hi"")"),"हम यह सुनिश्चित करना चाहते हैं कि ऐप का उपयोग करते समय आपको सर्वोत्तम अनुभव मिले")</f>
        <v>हम यह सुनिश्चित करना चाहते हैं कि ऐप का उपयोग करते समय आपको सर्वोत्तम अनुभव मिले</v>
      </c>
      <c r="AC168" s="7" t="str">
        <f>IFERROR(__xludf.DUMMYFUNCTION("GoogleTranslate(C168, ""en"", ""hu"")"),"Biztosak akarunk lenni abban, hogy a legjobb élményben legyen része az alkalmazás használata közben")</f>
        <v>Biztosak akarunk lenni abban, hogy a legjobb élményben legyen része az alkalmazás használata közben</v>
      </c>
      <c r="AD168" s="7" t="str">
        <f>IFERROR(__xludf.DUMMYFUNCTION("GoogleTranslate(C168, ""en"", ""is"")"),"Við viljum tryggja að þú hafir bestu upplifunina meðan þú notar appið")</f>
        <v>Við viljum tryggja að þú hafir bestu upplifunina meðan þú notar appið</v>
      </c>
      <c r="AE168" s="7" t="str">
        <f>IFERROR(__xludf.DUMMYFUNCTION("GoogleTranslate(C168, ""en"", ""id"")"),"Kami ingin memastikan Anda mendapatkan pengalaman terbaik saat menggunakan aplikasi")</f>
        <v>Kami ingin memastikan Anda mendapatkan pengalaman terbaik saat menggunakan aplikasi</v>
      </c>
      <c r="AF168" s="7" t="str">
        <f>IFERROR(__xludf.DUMMYFUNCTION("GoogleTranslate(C168, ""en"", ""in"")"),"Kami ingin memastikan Anda mendapatkan pengalaman terbaik saat menggunakan aplikasi")</f>
        <v>Kami ingin memastikan Anda mendapatkan pengalaman terbaik saat menggunakan aplikasi</v>
      </c>
      <c r="AG168" s="7" t="str">
        <f>IFERROR(__xludf.DUMMYFUNCTION("GoogleTranslate(C168, ""en"", ""it"")"),"Vogliamo assicurarci che tu abbia le migliori esperienze durante l'utilizzo della nostra app")</f>
        <v>Vogliamo assicurarci che tu abbia le migliori esperienze durante l'utilizzo della nostra app</v>
      </c>
      <c r="AH168" s="7" t="str">
        <f>IFERROR(__xludf.DUMMYFUNCTION("GoogleTranslate(C168, ""en"", ""ja"")"),"アプリを使用する際に最高のエクスペリエンスをお届けしたいと考えています")</f>
        <v>アプリを使用する際に最高のエクスペリエンスをお届けしたいと考えています</v>
      </c>
      <c r="AI168" s="7" t="str">
        <f>IFERROR(__xludf.DUMMYFUNCTION("GoogleTranslate(C168, ""en"", ""kn"")"),"ಅಪ್ಲಿಕೇಶನ್ ಅನ್ನು ಬಳಸುವಾಗ ನೀವು ಉತ್ತಮ ಅನುಭವಗಳನ್ನು ಹೊಂದಿರುವಿರಿ ಎಂದು ಖಚಿತಪಡಿಸಿಕೊಳ್ಳಲು ನಾವು ಬಯಸುತ್ತೇವೆ")</f>
        <v>ಅಪ್ಲಿಕೇಶನ್ ಅನ್ನು ಬಳಸುವಾಗ ನೀವು ಉತ್ತಮ ಅನುಭವಗಳನ್ನು ಹೊಂದಿರುವಿರಿ ಎಂದು ಖಚಿತಪಡಿಸಿಕೊಳ್ಳಲು ನಾವು ಬಯಸುತ್ತೇವೆ</v>
      </c>
      <c r="AJ168" s="7" t="str">
        <f>IFERROR(__xludf.DUMMYFUNCTION("GoogleTranslate(C168, ""en"", ""km"")"),"យើងចង់ធ្វើឱ្យប្រាកដថាអ្នកមានបទពិសោធន៍ល្អបំផុតនៅពេលប្រើកម្មវិធី")</f>
        <v>យើងចង់ធ្វើឱ្យប្រាកដថាអ្នកមានបទពិសោធន៍ល្អបំផុតនៅពេលប្រើកម្មវិធី</v>
      </c>
      <c r="AK168" s="7" t="str">
        <f>IFERROR(__xludf.DUMMYFUNCTION("GoogleTranslate(C168, ""en"", ""ko"")"),"우리는 귀하가 앱을 사용하는 동안 최고의 경험을 할 수 있도록 하고자 합니다.")</f>
        <v>우리는 귀하가 앱을 사용하는 동안 최고의 경험을 할 수 있도록 하고자 합니다.</v>
      </c>
      <c r="AL168" s="7" t="str">
        <f>IFERROR(__xludf.DUMMYFUNCTION("GoogleTranslate(C168, ""en"", ""lo"")"),"ພວກ​ເຮົາ​ຕ້ອງ​ການ​ເພື່ອ​ໃຫ້​ແນ່​ໃຈວ່​າ​ທ່ານ​ມີ​ປະ​ສົບ​ການ​ທີ່​ດີ​ທີ່​ສຸດ​ໃນ​ຂະ​ນະ​ທີ່​ການ​ນໍາ​ໃຊ້​ອອກ app​")</f>
        <v>ພວກ​ເຮົາ​ຕ້ອງ​ການ​ເພື່ອ​ໃຫ້​ແນ່​ໃຈວ່​າ​ທ່ານ​ມີ​ປະ​ສົບ​ການ​ທີ່​ດີ​ທີ່​ສຸດ​ໃນ​ຂະ​ນະ​ທີ່​ການ​ນໍາ​ໃຊ້​ອອກ app​</v>
      </c>
      <c r="AM168" s="7" t="str">
        <f>IFERROR(__xludf.DUMMYFUNCTION("GoogleTranslate(C168, ""en"", ""lv"")"),"Mēs vēlamies nodrošināt vislabāko pieredzi, izmantojot lietotni")</f>
        <v>Mēs vēlamies nodrošināt vislabāko pieredzi, izmantojot lietotni</v>
      </c>
      <c r="AN168" s="7" t="str">
        <f>IFERROR(__xludf.DUMMYFUNCTION("GoogleTranslate(C168, ""en"", ""lt"")"),"Norime užtikrinti, kad naudodami programą turėsite geriausią patirtį")</f>
        <v>Norime užtikrinti, kad naudodami programą turėsite geriausią patirtį</v>
      </c>
      <c r="AO168" s="7" t="str">
        <f>IFERROR(__xludf.DUMMYFUNCTION("GoogleTranslate(C168, ""en"", ""mk"")"),"Сакаме да се погрижиме да ги имате најдобрите искуства додека ја користите апликацијата")</f>
        <v>Сакаме да се погрижиме да ги имате најдобрите искуства додека ја користите апликацијата</v>
      </c>
      <c r="AP168" s="7" t="str">
        <f>IFERROR(__xludf.DUMMYFUNCTION("GoogleTranslate(C168, ""en"", ""ms"")"),"Kami ingin memastikan anda mendapat pengalaman terbaik semasa menggunakan aplikasi")</f>
        <v>Kami ingin memastikan anda mendapat pengalaman terbaik semasa menggunakan aplikasi</v>
      </c>
      <c r="AQ168" s="7" t="str">
        <f>IFERROR(__xludf.DUMMYFUNCTION("GoogleTranslate(C168, ""en"", ""ml"")"),"ആപ്പ് ഉപയോഗിക്കുമ്പോൾ നിങ്ങൾക്ക് മികച്ച അനുഭവങ്ങൾ ഉണ്ടെന്ന് ഉറപ്പാക്കാൻ ഞങ്ങൾ ആഗ്രഹിക്കുന്നു")</f>
        <v>ആപ്പ് ഉപയോഗിക്കുമ്പോൾ നിങ്ങൾക്ക് മികച്ച അനുഭവങ്ങൾ ഉണ്ടെന്ന് ഉറപ്പാക്കാൻ ഞങ്ങൾ ആഗ്രഹിക്കുന്നു</v>
      </c>
      <c r="AR168" s="7" t="str">
        <f>IFERROR(__xludf.DUMMYFUNCTION("GoogleTranslate(C168, ""en"", ""mr"")"),"ॲप वापरताना तुम्हाला सर्वोत्तम अनुभव मिळतील याची आम्ही खात्री करू इच्छितो")</f>
        <v>ॲप वापरताना तुम्हाला सर्वोत्तम अनुभव मिळतील याची आम्ही खात्री करू इच्छितो</v>
      </c>
      <c r="AS168" s="7" t="str">
        <f>IFERROR(__xludf.DUMMYFUNCTION("GoogleTranslate(C168, ""en"", ""mn"")"),"Аппликешныг ашиглах явцад танд хамгийн сайн туршлага байгаа эсэхийг шалгахыг бид хүсч байна")</f>
        <v>Аппликешныг ашиглах явцад танд хамгийн сайн туршлага байгаа эсэхийг шалгахыг бид хүсч байна</v>
      </c>
      <c r="AT168" s="7" t="str">
        <f>IFERROR(__xludf.DUMMYFUNCTION("GoogleTranslate(C168, ""en"", ""ne"")"),"हामी यो सुनिश्चित गर्न चाहन्छौं कि तपाईंसँग एप प्रयोग गर्दा उत्कृष्ट अनुभवहरू छन्")</f>
        <v>हामी यो सुनिश्चित गर्न चाहन्छौं कि तपाईंसँग एप प्रयोग गर्दा उत्कृष्ट अनुभवहरू छन्</v>
      </c>
      <c r="AU168" s="7" t="str">
        <f>IFERROR(__xludf.DUMMYFUNCTION("GoogleTranslate(C168, ""en"", ""nb"")"),"Vi vil sørge for at du får de beste opplevelsene mens du bruker appen")</f>
        <v>Vi vil sørge for at du får de beste opplevelsene mens du bruker appen</v>
      </c>
      <c r="AV168" s="7" t="str">
        <f>IFERROR(__xludf.DUMMYFUNCTION("GoogleTranslate(C168, ""en"", ""fa"")"),"ما می خواهیم مطمئن شویم که بهترین تجربیات را در حین استفاده از برنامه دارید")</f>
        <v>ما می خواهیم مطمئن شویم که بهترین تجربیات را در حین استفاده از برنامه دارید</v>
      </c>
      <c r="AW168" s="7" t="str">
        <f>IFERROR(__xludf.DUMMYFUNCTION("GoogleTranslate(C168, ""en"", ""pl"")"),"Chcemy mieć pewność, że korzystanie z aplikacji będzie jak najlepsze")</f>
        <v>Chcemy mieć pewność, że korzystanie z aplikacji będzie jak najlepsze</v>
      </c>
      <c r="AX168" s="7" t="str">
        <f>IFERROR(__xludf.DUMMYFUNCTION("GoogleTranslate(C168, ""en"", ""pt"")"),"Queremos garantir que você tenha as melhores experiências ao usar nosso aplicativo")</f>
        <v>Queremos garantir que você tenha as melhores experiências ao usar nosso aplicativo</v>
      </c>
      <c r="AY168" s="7" t="str">
        <f>IFERROR(__xludf.DUMMYFUNCTION("GoogleTranslate(C168, ""en"", ""ro"")"),"Vrem să ne asigurăm că aveți cele mai bune experiențe în timp ce utilizați aplicația")</f>
        <v>Vrem să ne asigurăm că aveți cele mai bune experiențe în timp ce utilizați aplicația</v>
      </c>
      <c r="AZ168" s="7" t="str">
        <f>IFERROR(__xludf.DUMMYFUNCTION("GoogleTranslate(C168, ""en"", ""ru"")"),"Мы хотим, чтобы вы получили наилучшие впечатления от использования нашего приложения.")</f>
        <v>Мы хотим, чтобы вы получили наилучшие впечатления от использования нашего приложения.</v>
      </c>
      <c r="BA168" s="7" t="str">
        <f>IFERROR(__xludf.DUMMYFUNCTION("GoogleTranslate(C168, ""en"", ""sr"")"),"Желимо да будемо сигурни да имате најбоље искуство док користите апликацију")</f>
        <v>Желимо да будемо сигурни да имате најбоље искуство док користите апликацију</v>
      </c>
      <c r="BB168" s="7" t="str">
        <f>IFERROR(__xludf.DUMMYFUNCTION("GoogleTranslate(C168, ""en"", ""si"")"),"යෙදුම භාවිතා කරන අතරතුර ඔබට හොඳම අත්දැකීම් ඇති බව සහතික කර ගැනීමට අපට අවශ්‍යයි")</f>
        <v>යෙදුම භාවිතා කරන අතරතුර ඔබට හොඳම අත්දැකීම් ඇති බව සහතික කර ගැනීමට අපට අවශ්‍යයි</v>
      </c>
      <c r="BC168" s="7" t="str">
        <f>IFERROR(__xludf.DUMMYFUNCTION("GoogleTranslate(C168, ""en"", ""sk"")"),"Chceme sa uistiť, že pri používaní aplikácie budete mať tie najlepšie skúsenosti")</f>
        <v>Chceme sa uistiť, že pri používaní aplikácie budete mať tie najlepšie skúsenosti</v>
      </c>
      <c r="BD168" s="7" t="str">
        <f>IFERROR(__xludf.DUMMYFUNCTION("GoogleTranslate(C168, ""en"", ""sl"")"),"Želimo zagotoviti najboljše izkušnje med uporabo naše aplikacije")</f>
        <v>Želimo zagotoviti najboljše izkušnje med uporabo naše aplikacije</v>
      </c>
      <c r="BE168" s="7" t="str">
        <f>IFERROR(__xludf.DUMMYFUNCTION("GoogleTranslate(C168, ""en"", ""es"")"),"Queremos asegurarnos de que tengas las mejores experiencias mientras usas nuestra aplicación.")</f>
        <v>Queremos asegurarnos de que tengas las mejores experiencias mientras usas nuestra aplicación.</v>
      </c>
      <c r="BF168" s="7" t="str">
        <f>IFERROR(__xludf.DUMMYFUNCTION("GoogleTranslate(C168, ""en"", ""sw"")"),"Tunataka kuhakikisha kuwa una matumizi bora zaidi unapotumia programu ya nje")</f>
        <v>Tunataka kuhakikisha kuwa una matumizi bora zaidi unapotumia programu ya nje</v>
      </c>
      <c r="BG168" s="7" t="str">
        <f>IFERROR(__xludf.DUMMYFUNCTION("GoogleTranslate(C168, ""en"", ""sv"")"),"Vi vill se till att du får de bästa upplevelserna när du använder appen")</f>
        <v>Vi vill se till att du får de bästa upplevelserna när du använder appen</v>
      </c>
      <c r="BH168" s="7" t="str">
        <f>IFERROR(__xludf.DUMMYFUNCTION("GoogleTranslate(C168, ""en"", ""te"")"),"యాప్‌ని ఉపయోగిస్తున్నప్పుడు మీరు ఉత్తమ అనుభవాలను కలిగి ఉన్నారని మేము నిర్ధారించుకోవాలనుకుంటున్నాము")</f>
        <v>యాప్‌ని ఉపయోగిస్తున్నప్పుడు మీరు ఉత్తమ అనుభవాలను కలిగి ఉన్నారని మేము నిర్ధారించుకోవాలనుకుంటున్నాము</v>
      </c>
      <c r="BI168" s="7" t="str">
        <f>IFERROR(__xludf.DUMMYFUNCTION("GoogleTranslate(C168, ""en"", ""th"")"),"เราต้องการให้แน่ใจว่าคุณได้รับประสบการณ์ที่ดีที่สุดขณะใช้งานแอพ")</f>
        <v>เราต้องการให้แน่ใจว่าคุณได้รับประสบการณ์ที่ดีที่สุดขณะใช้งานแอพ</v>
      </c>
      <c r="BJ168" s="7" t="str">
        <f>IFERROR(__xludf.DUMMYFUNCTION("GoogleTranslate(C168, ""en"", ""tr"")"),"Uygulamamızı kullanırken en iyi deneyimlere sahip olduğunuzdan emin olmak istiyoruz")</f>
        <v>Uygulamamızı kullanırken en iyi deneyimlere sahip olduğunuzdan emin olmak istiyoruz</v>
      </c>
      <c r="BK168" s="7" t="str">
        <f>IFERROR(__xludf.DUMMYFUNCTION("GoogleTranslate(C168, ""en"", ""uk"")"),"Ми хочемо переконатися, що ви отримуєте найкращі враження під час використання нашої програми")</f>
        <v>Ми хочемо переконатися, що ви отримуєте найкращі враження під час використання нашої програми</v>
      </c>
      <c r="BL168" s="7" t="str">
        <f>IFERROR(__xludf.DUMMYFUNCTION("GoogleTranslate(C168, ""en"", ""zu"")"),"Sifuna ukwenza isiqiniseko sokuthi unolwazi olungcono kakhulu ngenkathi usebenzisa uhlelo lokusebenza")</f>
        <v>Sifuna ukwenza isiqiniseko sokuthi unolwazi olungcono kakhulu ngenkathi usebenzisa uhlelo lokusebenza</v>
      </c>
    </row>
    <row r="169">
      <c r="A169" s="5" t="str">
        <f t="shared" si="1"/>
        <v>Please_choose_your_preference</v>
      </c>
      <c r="B169" s="6" t="s">
        <v>224</v>
      </c>
      <c r="C169" s="5" t="str">
        <f t="shared" si="2"/>
        <v>Please choose your preference</v>
      </c>
      <c r="D169" s="7" t="str">
        <f>IFERROR(__xludf.DUMMYFUNCTION("GoogleTranslate(C169, ""en"", ""es"")"),"Por favor elige tu preferencia")</f>
        <v>Por favor elige tu preferencia</v>
      </c>
      <c r="E169" s="7" t="str">
        <f>IFERROR(__xludf.DUMMYFUNCTION("GoogleTranslate(C169, ""en"", ""ar"")"),"الرجاء اختيار تفضيلاتك")</f>
        <v>الرجاء اختيار تفضيلاتك</v>
      </c>
      <c r="F169" s="7" t="str">
        <f>IFERROR(__xludf.DUMMYFUNCTION("GoogleTranslate(C169, ""en"", ""hy"")"),"Խնդրում ենք ընտրել ձեր նախապատվությունը")</f>
        <v>Խնդրում ենք ընտրել ձեր նախապատվությունը</v>
      </c>
      <c r="G169" s="7" t="str">
        <f>IFERROR(__xludf.DUMMYFUNCTION("GoogleTranslate(C169, ""en"", ""vi"")"),"Vui lòng chọn sở thích của bạn")</f>
        <v>Vui lòng chọn sở thích của bạn</v>
      </c>
      <c r="H169" s="7" t="str">
        <f>IFERROR(__xludf.DUMMYFUNCTION("GoogleTranslate(C169, ""en"", ""az"")"),"Zəhmət olmasa seçiminizi seçin")</f>
        <v>Zəhmət olmasa seçiminizi seçin</v>
      </c>
      <c r="I169" s="7" t="str">
        <f>IFERROR(__xludf.DUMMYFUNCTION("GoogleTranslate(C169, ""en"", ""eu"")"),"Mesedez, aukeratu zure lehentasuna")</f>
        <v>Mesedez, aukeratu zure lehentasuna</v>
      </c>
      <c r="J169" s="7" t="str">
        <f>IFERROR(__xludf.DUMMYFUNCTION("GoogleTranslate(C169, ""en"", ""be"")"),"Калі ласка, абярыце свае перавагі")</f>
        <v>Калі ласка, абярыце свае перавагі</v>
      </c>
      <c r="K169" s="7" t="str">
        <f>IFERROR(__xludf.DUMMYFUNCTION("GoogleTranslate(C169, ""en"", ""bn"")"),"আপনার পছন্দ চয়ন করুন")</f>
        <v>আপনার পছন্দ চয়ন করুন</v>
      </c>
      <c r="L169" s="7" t="str">
        <f>IFERROR(__xludf.DUMMYFUNCTION("GoogleTranslate(C169, ""en"", ""bg"")"),"Моля, изберете вашите предпочитания")</f>
        <v>Моля, изберете вашите предпочитания</v>
      </c>
      <c r="M169" s="7" t="str">
        <f>IFERROR(__xludf.DUMMYFUNCTION("GoogleTranslate(C169, ""en"", ""my"")"),"သင့်စိတ်ကြိုက်ရွေးချယ်ပါ။")</f>
        <v>သင့်စိတ်ကြိုက်ရွေးချယ်ပါ။</v>
      </c>
      <c r="N169" s="7" t="str">
        <f>IFERROR(__xludf.DUMMYFUNCTION("GoogleTranslate(C169, ""en"", ""ca"")"),"Si us plau, trieu la vostra preferència")</f>
        <v>Si us plau, trieu la vostra preferència</v>
      </c>
      <c r="O169" s="7" t="str">
        <f>IFERROR(__xludf.DUMMYFUNCTION("GoogleTranslate(C169, ""en"", ""zh-cn"")"),"请选择您的偏好")</f>
        <v>请选择您的偏好</v>
      </c>
      <c r="P169" s="7" t="str">
        <f>IFERROR(__xludf.DUMMYFUNCTION("GoogleTranslate(C169, ""en"", ""zh-TW"")"),"請選擇您的偏好")</f>
        <v>請選擇您的偏好</v>
      </c>
      <c r="Q169" s="7" t="str">
        <f>IFERROR(__xludf.DUMMYFUNCTION("GoogleTranslate(C169, ""en"", ""hr"")"),"Odaberite željenu opciju")</f>
        <v>Odaberite željenu opciju</v>
      </c>
      <c r="R169" s="7" t="str">
        <f>IFERROR(__xludf.DUMMYFUNCTION("GoogleTranslate(C169, ""en"", ""cs"")"),"Vyberte prosím svou preferenci")</f>
        <v>Vyberte prosím svou preferenci</v>
      </c>
      <c r="S169" s="7" t="str">
        <f>IFERROR(__xludf.DUMMYFUNCTION("GoogleTranslate(C169, ""en"", ""da"")"),"Vælg venligst din præference")</f>
        <v>Vælg venligst din præference</v>
      </c>
      <c r="T169" s="7" t="str">
        <f>IFERROR(__xludf.DUMMYFUNCTION("GoogleTranslate(C169, ""en"", ""nl"")"),"Kies uw voorkeur")</f>
        <v>Kies uw voorkeur</v>
      </c>
      <c r="U169" s="7" t="str">
        <f>IFERROR(__xludf.DUMMYFUNCTION("GoogleTranslate(C169, ""en"", ""et"")"),"Palun valige oma eelistus")</f>
        <v>Palun valige oma eelistus</v>
      </c>
      <c r="V169" s="5" t="str">
        <f t="shared" si="3"/>
        <v>Please choose your preference</v>
      </c>
      <c r="W169" s="7" t="str">
        <f>IFERROR(__xludf.DUMMYFUNCTION("GoogleTranslate(C169, ""en"", ""fi"")"),"Valitse mieltymyksesi")</f>
        <v>Valitse mieltymyksesi</v>
      </c>
      <c r="X169" s="7" t="str">
        <f>IFERROR(__xludf.DUMMYFUNCTION("GoogleTranslate(C169, ""en"", ""fr"")"),"Veuillez choisir votre préférence")</f>
        <v>Veuillez choisir votre préférence</v>
      </c>
      <c r="Y169" s="7" t="str">
        <f>IFERROR(__xludf.DUMMYFUNCTION("GoogleTranslate(C169, ""en"", ""de"")"),"Bitte wählen Sie Ihre Präferenz")</f>
        <v>Bitte wählen Sie Ihre Präferenz</v>
      </c>
      <c r="Z169" s="7" t="str">
        <f>IFERROR(__xludf.DUMMYFUNCTION("GoogleTranslate(C169, ""en"", ""el"")"),"Επιλέξτε την προτίμησή σας")</f>
        <v>Επιλέξτε την προτίμησή σας</v>
      </c>
      <c r="AA169" s="7" t="str">
        <f>IFERROR(__xludf.DUMMYFUNCTION("GoogleTranslate(C169, ""en"", ""iw"")"),"אנא בחר את ההעדפה שלך")</f>
        <v>אנא בחר את ההעדפה שלך</v>
      </c>
      <c r="AB169" s="7" t="str">
        <f>IFERROR(__xludf.DUMMYFUNCTION("GoogleTranslate(C169, ""en"", ""hi"")"),"कृपया अपनी प्राथमिकता चुनें")</f>
        <v>कृपया अपनी प्राथमिकता चुनें</v>
      </c>
      <c r="AC169" s="7" t="str">
        <f>IFERROR(__xludf.DUMMYFUNCTION("GoogleTranslate(C169, ""en"", ""hu"")"),"Kérjük, válassza ki a kívánt preferenciát")</f>
        <v>Kérjük, válassza ki a kívánt preferenciát</v>
      </c>
      <c r="AD169" s="7" t="str">
        <f>IFERROR(__xludf.DUMMYFUNCTION("GoogleTranslate(C169, ""en"", ""is"")"),"Vinsamlegast veldu val þitt")</f>
        <v>Vinsamlegast veldu val þitt</v>
      </c>
      <c r="AE169" s="7" t="str">
        <f>IFERROR(__xludf.DUMMYFUNCTION("GoogleTranslate(C169, ""en"", ""id"")"),"Silakan pilih preferensi Anda")</f>
        <v>Silakan pilih preferensi Anda</v>
      </c>
      <c r="AF169" s="7" t="str">
        <f>IFERROR(__xludf.DUMMYFUNCTION("GoogleTranslate(C169, ""en"", ""in"")"),"Silakan pilih preferensi Anda")</f>
        <v>Silakan pilih preferensi Anda</v>
      </c>
      <c r="AG169" s="7" t="str">
        <f>IFERROR(__xludf.DUMMYFUNCTION("GoogleTranslate(C169, ""en"", ""it"")"),"Scegli la tua preferenza")</f>
        <v>Scegli la tua preferenza</v>
      </c>
      <c r="AH169" s="7" t="str">
        <f>IFERROR(__xludf.DUMMYFUNCTION("GoogleTranslate(C169, ""en"", ""ja"")"),"お好みをお選びください")</f>
        <v>お好みをお選びください</v>
      </c>
      <c r="AI169" s="7" t="str">
        <f>IFERROR(__xludf.DUMMYFUNCTION("GoogleTranslate(C169, ""en"", ""kn"")"),"ದಯವಿಟ್ಟು ನಿಮ್ಮ ಆದ್ಯತೆಯನ್ನು ಆರಿಸಿ")</f>
        <v>ದಯವಿಟ್ಟು ನಿಮ್ಮ ಆದ್ಯತೆಯನ್ನು ಆರಿಸಿ</v>
      </c>
      <c r="AJ169" s="7" t="str">
        <f>IFERROR(__xludf.DUMMYFUNCTION("GoogleTranslate(C169, ""en"", ""km"")"),"សូមជ្រើសរើសចំណូលចិត្តរបស់អ្នក។")</f>
        <v>សូមជ្រើសរើសចំណូលចិត្តរបស់អ្នក។</v>
      </c>
      <c r="AK169" s="7" t="str">
        <f>IFERROR(__xludf.DUMMYFUNCTION("GoogleTranslate(C169, ""en"", ""ko"")"),"선호하는 것을 선택해주세요")</f>
        <v>선호하는 것을 선택해주세요</v>
      </c>
      <c r="AL169" s="7" t="str">
        <f>IFERROR(__xludf.DUMMYFUNCTION("GoogleTranslate(C169, ""en"", ""lo"")"),"ກະລຸນາເລືອກຄວາມຕ້ອງການຂອງທ່ານ")</f>
        <v>ກະລຸນາເລືອກຄວາມຕ້ອງການຂອງທ່ານ</v>
      </c>
      <c r="AM169" s="7" t="str">
        <f>IFERROR(__xludf.DUMMYFUNCTION("GoogleTranslate(C169, ""en"", ""lv"")"),"Lūdzu, izvēlieties savu izvēli")</f>
        <v>Lūdzu, izvēlieties savu izvēli</v>
      </c>
      <c r="AN169" s="7" t="str">
        <f>IFERROR(__xludf.DUMMYFUNCTION("GoogleTranslate(C169, ""en"", ""lt"")"),"Pasirinkite savo pirmenybę")</f>
        <v>Pasirinkite savo pirmenybę</v>
      </c>
      <c r="AO169" s="7" t="str">
        <f>IFERROR(__xludf.DUMMYFUNCTION("GoogleTranslate(C169, ""en"", ""mk"")"),"Ве молиме изберете ја вашата желба")</f>
        <v>Ве молиме изберете ја вашата желба</v>
      </c>
      <c r="AP169" s="7" t="str">
        <f>IFERROR(__xludf.DUMMYFUNCTION("GoogleTranslate(C169, ""en"", ""ms"")"),"Sila pilih pilihan anda")</f>
        <v>Sila pilih pilihan anda</v>
      </c>
      <c r="AQ169" s="7" t="str">
        <f>IFERROR(__xludf.DUMMYFUNCTION("GoogleTranslate(C169, ""en"", ""ml"")"),"നിങ്ങളുടെ മുൻഗണന തിരഞ്ഞെടുക്കുക")</f>
        <v>നിങ്ങളുടെ മുൻഗണന തിരഞ്ഞെടുക്കുക</v>
      </c>
      <c r="AR169" s="7" t="str">
        <f>IFERROR(__xludf.DUMMYFUNCTION("GoogleTranslate(C169, ""en"", ""mr"")"),"कृपया तुमचे प्राधान्य निवडा")</f>
        <v>कृपया तुमचे प्राधान्य निवडा</v>
      </c>
      <c r="AS169" s="7" t="str">
        <f>IFERROR(__xludf.DUMMYFUNCTION("GoogleTranslate(C169, ""en"", ""mn"")"),"Та сонголтоо сонгоно уу")</f>
        <v>Та сонголтоо сонгоно уу</v>
      </c>
      <c r="AT169" s="7" t="str">
        <f>IFERROR(__xludf.DUMMYFUNCTION("GoogleTranslate(C169, ""en"", ""ne"")"),"कृपया आफ्नो प्राथमिकता छान्नुहोस्")</f>
        <v>कृपया आफ्नो प्राथमिकता छान्नुहोस्</v>
      </c>
      <c r="AU169" s="7" t="str">
        <f>IFERROR(__xludf.DUMMYFUNCTION("GoogleTranslate(C169, ""en"", ""nb"")"),"Vennligst velg din preferanse")</f>
        <v>Vennligst velg din preferanse</v>
      </c>
      <c r="AV169" s="7" t="str">
        <f>IFERROR(__xludf.DUMMYFUNCTION("GoogleTranslate(C169, ""en"", ""fa"")"),"لطفا ترجیح خود را انتخاب کنید")</f>
        <v>لطفا ترجیح خود را انتخاب کنید</v>
      </c>
      <c r="AW169" s="7" t="str">
        <f>IFERROR(__xludf.DUMMYFUNCTION("GoogleTranslate(C169, ""en"", ""pl"")"),"Wybierz swoje preferencje")</f>
        <v>Wybierz swoje preferencje</v>
      </c>
      <c r="AX169" s="7" t="str">
        <f>IFERROR(__xludf.DUMMYFUNCTION("GoogleTranslate(C169, ""en"", ""pt"")"),"Por favor escolha sua preferência")</f>
        <v>Por favor escolha sua preferência</v>
      </c>
      <c r="AY169" s="7" t="str">
        <f>IFERROR(__xludf.DUMMYFUNCTION("GoogleTranslate(C169, ""en"", ""ro"")"),"Vă rugăm să alegeți preferința dvs")</f>
        <v>Vă rugăm să alegeți preferința dvs</v>
      </c>
      <c r="AZ169" s="7" t="str">
        <f>IFERROR(__xludf.DUMMYFUNCTION("GoogleTranslate(C169, ""en"", ""ru"")"),"Пожалуйста, выберите ваши предпочтения")</f>
        <v>Пожалуйста, выберите ваши предпочтения</v>
      </c>
      <c r="BA169" s="7" t="str">
        <f>IFERROR(__xludf.DUMMYFUNCTION("GoogleTranslate(C169, ""en"", ""sr"")"),"Молимо изаберите жељену опцију")</f>
        <v>Молимо изаберите жељену опцију</v>
      </c>
      <c r="BB169" s="7" t="str">
        <f>IFERROR(__xludf.DUMMYFUNCTION("GoogleTranslate(C169, ""en"", ""si"")"),"කරුණාකර ඔබේ මනාපය තෝරන්න")</f>
        <v>කරුණාකර ඔබේ මනාපය තෝරන්න</v>
      </c>
      <c r="BC169" s="7" t="str">
        <f>IFERROR(__xludf.DUMMYFUNCTION("GoogleTranslate(C169, ""en"", ""sk"")"),"Vyberte si prosím svoju preferenciu")</f>
        <v>Vyberte si prosím svoju preferenciu</v>
      </c>
      <c r="BD169" s="7" t="str">
        <f>IFERROR(__xludf.DUMMYFUNCTION("GoogleTranslate(C169, ""en"", ""sl"")"),"Prosimo izberite svojo željo")</f>
        <v>Prosimo izberite svojo željo</v>
      </c>
      <c r="BE169" s="7" t="str">
        <f>IFERROR(__xludf.DUMMYFUNCTION("GoogleTranslate(C169, ""en"", ""es"")"),"Por favor elige tu preferencia")</f>
        <v>Por favor elige tu preferencia</v>
      </c>
      <c r="BF169" s="7" t="str">
        <f>IFERROR(__xludf.DUMMYFUNCTION("GoogleTranslate(C169, ""en"", ""sw"")"),"Tafadhali chagua mapendeleo yako")</f>
        <v>Tafadhali chagua mapendeleo yako</v>
      </c>
      <c r="BG169" s="7" t="str">
        <f>IFERROR(__xludf.DUMMYFUNCTION("GoogleTranslate(C169, ""en"", ""sv"")"),"Vänligen välj din preferens")</f>
        <v>Vänligen välj din preferens</v>
      </c>
      <c r="BH169" s="7" t="str">
        <f>IFERROR(__xludf.DUMMYFUNCTION("GoogleTranslate(C169, ""en"", ""te"")"),"దయచేసి మీ ప్రాధాన్యతను ఎంచుకోండి")</f>
        <v>దయచేసి మీ ప్రాధాన్యతను ఎంచుకోండి</v>
      </c>
      <c r="BI169" s="7" t="str">
        <f>IFERROR(__xludf.DUMMYFUNCTION("GoogleTranslate(C169, ""en"", ""th"")"),"กรุณาเลือกการตั้งค่าของคุณ")</f>
        <v>กรุณาเลือกการตั้งค่าของคุณ</v>
      </c>
      <c r="BJ169" s="7" t="str">
        <f>IFERROR(__xludf.DUMMYFUNCTION("GoogleTranslate(C169, ""en"", ""tr"")"),"Lütfen tercihinizi seçin")</f>
        <v>Lütfen tercihinizi seçin</v>
      </c>
      <c r="BK169" s="7" t="str">
        <f>IFERROR(__xludf.DUMMYFUNCTION("GoogleTranslate(C169, ""en"", ""uk"")"),"Будь ласка, виберіть ваші переваги")</f>
        <v>Будь ласка, виберіть ваші переваги</v>
      </c>
      <c r="BL169" s="7" t="str">
        <f>IFERROR(__xludf.DUMMYFUNCTION("GoogleTranslate(C169, ""en"", ""zu"")"),"Sicela ukhethe okuncamelayo")</f>
        <v>Sicela ukhethe okuncamelayo</v>
      </c>
    </row>
    <row r="170">
      <c r="A170" s="5" t="str">
        <f t="shared" si="1"/>
        <v>Time_Format</v>
      </c>
      <c r="B170" s="6" t="s">
        <v>225</v>
      </c>
      <c r="C170" s="5" t="str">
        <f t="shared" si="2"/>
        <v>Time Format</v>
      </c>
      <c r="D170" s="7" t="str">
        <f>IFERROR(__xludf.DUMMYFUNCTION("GoogleTranslate(C170, ""en"", ""es"")"),"Formato de hora")</f>
        <v>Formato de hora</v>
      </c>
      <c r="E170" s="7" t="str">
        <f>IFERROR(__xludf.DUMMYFUNCTION("GoogleTranslate(C170, ""en"", ""ar"")"),"تنسيق الوقت")</f>
        <v>تنسيق الوقت</v>
      </c>
      <c r="F170" s="7" t="str">
        <f>IFERROR(__xludf.DUMMYFUNCTION("GoogleTranslate(C170, ""en"", ""hy"")"),"Ժամանակի ձևաչափ")</f>
        <v>Ժամանակի ձևաչափ</v>
      </c>
      <c r="G170" s="7" t="str">
        <f>IFERROR(__xludf.DUMMYFUNCTION("GoogleTranslate(C170, ""en"", ""vi"")"),"Định dạng thời gian")</f>
        <v>Định dạng thời gian</v>
      </c>
      <c r="H170" s="7" t="str">
        <f>IFERROR(__xludf.DUMMYFUNCTION("GoogleTranslate(C170, ""en"", ""az"")"),"Vaxt formatı")</f>
        <v>Vaxt formatı</v>
      </c>
      <c r="I170" s="7" t="str">
        <f>IFERROR(__xludf.DUMMYFUNCTION("GoogleTranslate(C170, ""en"", ""eu"")"),"Denbora-formatua")</f>
        <v>Denbora-formatua</v>
      </c>
      <c r="J170" s="7" t="str">
        <f>IFERROR(__xludf.DUMMYFUNCTION("GoogleTranslate(C170, ""en"", ""be"")"),"Фармат часу")</f>
        <v>Фармат часу</v>
      </c>
      <c r="K170" s="7" t="str">
        <f>IFERROR(__xludf.DUMMYFUNCTION("GoogleTranslate(C170, ""en"", ""bn"")"),"সময় বিন্যাস")</f>
        <v>সময় বিন্যাস</v>
      </c>
      <c r="L170" s="7" t="str">
        <f>IFERROR(__xludf.DUMMYFUNCTION("GoogleTranslate(C170, ""en"", ""bg"")"),"Формат на времето")</f>
        <v>Формат на времето</v>
      </c>
      <c r="M170" s="7" t="str">
        <f>IFERROR(__xludf.DUMMYFUNCTION("GoogleTranslate(C170, ""en"", ""my"")"),"အချိန်ပုံစံ")</f>
        <v>အချိန်ပုံစံ</v>
      </c>
      <c r="N170" s="7" t="str">
        <f>IFERROR(__xludf.DUMMYFUNCTION("GoogleTranslate(C170, ""en"", ""ca"")"),"Format horari")</f>
        <v>Format horari</v>
      </c>
      <c r="O170" s="7" t="str">
        <f>IFERROR(__xludf.DUMMYFUNCTION("GoogleTranslate(C170, ""en"", ""zh-cn"")"),"时间格式")</f>
        <v>时间格式</v>
      </c>
      <c r="P170" s="7" t="str">
        <f>IFERROR(__xludf.DUMMYFUNCTION("GoogleTranslate(C170, ""en"", ""zh-TW"")"),"時間格式")</f>
        <v>時間格式</v>
      </c>
      <c r="Q170" s="7" t="str">
        <f>IFERROR(__xludf.DUMMYFUNCTION("GoogleTranslate(C170, ""en"", ""hr"")"),"Format vremena")</f>
        <v>Format vremena</v>
      </c>
      <c r="R170" s="7" t="str">
        <f>IFERROR(__xludf.DUMMYFUNCTION("GoogleTranslate(C170, ""en"", ""cs"")"),"Formát času")</f>
        <v>Formát času</v>
      </c>
      <c r="S170" s="7" t="str">
        <f>IFERROR(__xludf.DUMMYFUNCTION("GoogleTranslate(C170, ""en"", ""da"")"),"Tidsformat")</f>
        <v>Tidsformat</v>
      </c>
      <c r="T170" s="7" t="str">
        <f>IFERROR(__xludf.DUMMYFUNCTION("GoogleTranslate(C170, ""en"", ""nl"")"),"Tijdformaat")</f>
        <v>Tijdformaat</v>
      </c>
      <c r="U170" s="7" t="str">
        <f>IFERROR(__xludf.DUMMYFUNCTION("GoogleTranslate(C170, ""en"", ""et"")"),"Aja vorming")</f>
        <v>Aja vorming</v>
      </c>
      <c r="V170" s="5" t="str">
        <f t="shared" si="3"/>
        <v>Time Format</v>
      </c>
      <c r="W170" s="7" t="str">
        <f>IFERROR(__xludf.DUMMYFUNCTION("GoogleTranslate(C170, ""en"", ""fi"")"),"Aikamuoto")</f>
        <v>Aikamuoto</v>
      </c>
      <c r="X170" s="7" t="str">
        <f>IFERROR(__xludf.DUMMYFUNCTION("GoogleTranslate(C170, ""en"", ""fr"")"),"Format de l'heure")</f>
        <v>Format de l'heure</v>
      </c>
      <c r="Y170" s="7" t="str">
        <f>IFERROR(__xludf.DUMMYFUNCTION("GoogleTranslate(C170, ""en"", ""de"")"),"Zeitformat")</f>
        <v>Zeitformat</v>
      </c>
      <c r="Z170" s="7" t="str">
        <f>IFERROR(__xludf.DUMMYFUNCTION("GoogleTranslate(C170, ""en"", ""el"")"),"Μορφή χρόνου")</f>
        <v>Μορφή χρόνου</v>
      </c>
      <c r="AA170" s="7" t="str">
        <f>IFERROR(__xludf.DUMMYFUNCTION("GoogleTranslate(C170, ""en"", ""iw"")"),"פורמט זמן")</f>
        <v>פורמט זמן</v>
      </c>
      <c r="AB170" s="7" t="str">
        <f>IFERROR(__xludf.DUMMYFUNCTION("GoogleTranslate(C170, ""en"", ""hi"")"),"समय स्वरूप")</f>
        <v>समय स्वरूप</v>
      </c>
      <c r="AC170" s="7" t="str">
        <f>IFERROR(__xludf.DUMMYFUNCTION("GoogleTranslate(C170, ""en"", ""hu"")"),"Időformátum")</f>
        <v>Időformátum</v>
      </c>
      <c r="AD170" s="7" t="str">
        <f>IFERROR(__xludf.DUMMYFUNCTION("GoogleTranslate(C170, ""en"", ""is"")"),"Tímasnið")</f>
        <v>Tímasnið</v>
      </c>
      <c r="AE170" s="7" t="str">
        <f>IFERROR(__xludf.DUMMYFUNCTION("GoogleTranslate(C170, ""en"", ""id"")"),"Format Waktu")</f>
        <v>Format Waktu</v>
      </c>
      <c r="AF170" s="7" t="str">
        <f>IFERROR(__xludf.DUMMYFUNCTION("GoogleTranslate(C170, ""en"", ""in"")"),"Format Waktu")</f>
        <v>Format Waktu</v>
      </c>
      <c r="AG170" s="7" t="str">
        <f>IFERROR(__xludf.DUMMYFUNCTION("GoogleTranslate(C170, ""en"", ""it"")"),"Formato ora")</f>
        <v>Formato ora</v>
      </c>
      <c r="AH170" s="7" t="str">
        <f>IFERROR(__xludf.DUMMYFUNCTION("GoogleTranslate(C170, ""en"", ""ja"")"),"時間の形式")</f>
        <v>時間の形式</v>
      </c>
      <c r="AI170" s="7" t="str">
        <f>IFERROR(__xludf.DUMMYFUNCTION("GoogleTranslate(C170, ""en"", ""kn"")"),"ಸಮಯ ಸ್ವರೂಪ")</f>
        <v>ಸಮಯ ಸ್ವರೂಪ</v>
      </c>
      <c r="AJ170" s="7" t="str">
        <f>IFERROR(__xludf.DUMMYFUNCTION("GoogleTranslate(C170, ""en"", ""km"")"),"ទម្រង់ពេលវេលា")</f>
        <v>ទម្រង់ពេលវេលា</v>
      </c>
      <c r="AK170" s="7" t="str">
        <f>IFERROR(__xludf.DUMMYFUNCTION("GoogleTranslate(C170, ""en"", ""ko"")"),"시간 형식")</f>
        <v>시간 형식</v>
      </c>
      <c r="AL170" s="7" t="str">
        <f>IFERROR(__xludf.DUMMYFUNCTION("GoogleTranslate(C170, ""en"", ""lo"")"),"ຮູບແບບເວລາ")</f>
        <v>ຮູບແບບເວລາ</v>
      </c>
      <c r="AM170" s="7" t="str">
        <f>IFERROR(__xludf.DUMMYFUNCTION("GoogleTranslate(C170, ""en"", ""lv"")"),"Laika formāts")</f>
        <v>Laika formāts</v>
      </c>
      <c r="AN170" s="7" t="str">
        <f>IFERROR(__xludf.DUMMYFUNCTION("GoogleTranslate(C170, ""en"", ""lt"")"),"Laiko formatas")</f>
        <v>Laiko formatas</v>
      </c>
      <c r="AO170" s="7" t="str">
        <f>IFERROR(__xludf.DUMMYFUNCTION("GoogleTranslate(C170, ""en"", ""mk"")"),"Формат на време")</f>
        <v>Формат на време</v>
      </c>
      <c r="AP170" s="7" t="str">
        <f>IFERROR(__xludf.DUMMYFUNCTION("GoogleTranslate(C170, ""en"", ""ms"")"),"Format Masa")</f>
        <v>Format Masa</v>
      </c>
      <c r="AQ170" s="7" t="str">
        <f>IFERROR(__xludf.DUMMYFUNCTION("GoogleTranslate(C170, ""en"", ""ml"")"),"സമയ ഫോർമാറ്റ്")</f>
        <v>സമയ ഫോർമാറ്റ്</v>
      </c>
      <c r="AR170" s="7" t="str">
        <f>IFERROR(__xludf.DUMMYFUNCTION("GoogleTranslate(C170, ""en"", ""mr"")"),"वेळ स्वरूप")</f>
        <v>वेळ स्वरूप</v>
      </c>
      <c r="AS170" s="7" t="str">
        <f>IFERROR(__xludf.DUMMYFUNCTION("GoogleTranslate(C170, ""en"", ""mn"")"),"Цагийн формат")</f>
        <v>Цагийн формат</v>
      </c>
      <c r="AT170" s="7" t="str">
        <f>IFERROR(__xludf.DUMMYFUNCTION("GoogleTranslate(C170, ""en"", ""ne"")"),"समय ढाँचा")</f>
        <v>समय ढाँचा</v>
      </c>
      <c r="AU170" s="7" t="str">
        <f>IFERROR(__xludf.DUMMYFUNCTION("GoogleTranslate(C170, ""en"", ""nb"")"),"Tidsformat")</f>
        <v>Tidsformat</v>
      </c>
      <c r="AV170" s="7" t="str">
        <f>IFERROR(__xludf.DUMMYFUNCTION("GoogleTranslate(C170, ""en"", ""fa"")"),"فرمت زمان")</f>
        <v>فرمت زمان</v>
      </c>
      <c r="AW170" s="7" t="str">
        <f>IFERROR(__xludf.DUMMYFUNCTION("GoogleTranslate(C170, ""en"", ""pl"")"),"Format czasu")</f>
        <v>Format czasu</v>
      </c>
      <c r="AX170" s="7" t="str">
        <f>IFERROR(__xludf.DUMMYFUNCTION("GoogleTranslate(C170, ""en"", ""pt"")"),"Formato de hora")</f>
        <v>Formato de hora</v>
      </c>
      <c r="AY170" s="7" t="str">
        <f>IFERROR(__xludf.DUMMYFUNCTION("GoogleTranslate(C170, ""en"", ""ro"")"),"Format de timp")</f>
        <v>Format de timp</v>
      </c>
      <c r="AZ170" s="7" t="str">
        <f>IFERROR(__xludf.DUMMYFUNCTION("GoogleTranslate(C170, ""en"", ""ru"")"),"Формат времени")</f>
        <v>Формат времени</v>
      </c>
      <c r="BA170" s="7" t="str">
        <f>IFERROR(__xludf.DUMMYFUNCTION("GoogleTranslate(C170, ""en"", ""sr"")"),"Формат времена")</f>
        <v>Формат времена</v>
      </c>
      <c r="BB170" s="7" t="str">
        <f>IFERROR(__xludf.DUMMYFUNCTION("GoogleTranslate(C170, ""en"", ""si"")"),"කාල ආකෘතිය")</f>
        <v>කාල ආකෘතිය</v>
      </c>
      <c r="BC170" s="7" t="str">
        <f>IFERROR(__xludf.DUMMYFUNCTION("GoogleTranslate(C170, ""en"", ""sk"")"),"Formát času")</f>
        <v>Formát času</v>
      </c>
      <c r="BD170" s="7" t="str">
        <f>IFERROR(__xludf.DUMMYFUNCTION("GoogleTranslate(C170, ""en"", ""sl"")"),"Format časa")</f>
        <v>Format časa</v>
      </c>
      <c r="BE170" s="7" t="str">
        <f>IFERROR(__xludf.DUMMYFUNCTION("GoogleTranslate(C170, ""en"", ""es"")"),"Formato de hora")</f>
        <v>Formato de hora</v>
      </c>
      <c r="BF170" s="7" t="str">
        <f>IFERROR(__xludf.DUMMYFUNCTION("GoogleTranslate(C170, ""en"", ""sw"")"),"Umbizo la Wakati")</f>
        <v>Umbizo la Wakati</v>
      </c>
      <c r="BG170" s="7" t="str">
        <f>IFERROR(__xludf.DUMMYFUNCTION("GoogleTranslate(C170, ""en"", ""sv"")"),"Tidsformat")</f>
        <v>Tidsformat</v>
      </c>
      <c r="BH170" s="7" t="str">
        <f>IFERROR(__xludf.DUMMYFUNCTION("GoogleTranslate(C170, ""en"", ""te"")"),"సమయ ఆకృతి")</f>
        <v>సమయ ఆకృతి</v>
      </c>
      <c r="BI170" s="7" t="str">
        <f>IFERROR(__xludf.DUMMYFUNCTION("GoogleTranslate(C170, ""en"", ""th"")"),"รูปแบบเวลา")</f>
        <v>รูปแบบเวลา</v>
      </c>
      <c r="BJ170" s="7" t="str">
        <f>IFERROR(__xludf.DUMMYFUNCTION("GoogleTranslate(C170, ""en"", ""tr"")"),"Saat Formatı")</f>
        <v>Saat Formatı</v>
      </c>
      <c r="BK170" s="7" t="str">
        <f>IFERROR(__xludf.DUMMYFUNCTION("GoogleTranslate(C170, ""en"", ""uk"")"),"Формат часу")</f>
        <v>Формат часу</v>
      </c>
      <c r="BL170" s="7" t="str">
        <f>IFERROR(__xludf.DUMMYFUNCTION("GoogleTranslate(C170, ""en"", ""zu"")"),"Ifomethi Yesikhathi")</f>
        <v>Ifomethi Yesikhathi</v>
      </c>
    </row>
    <row r="171">
      <c r="A171" s="5" t="str">
        <f t="shared" si="1"/>
        <v>Precipitation</v>
      </c>
      <c r="B171" s="6" t="s">
        <v>119</v>
      </c>
      <c r="C171" s="5" t="str">
        <f t="shared" si="2"/>
        <v>Precipitation</v>
      </c>
      <c r="D171" s="7" t="str">
        <f>IFERROR(__xludf.DUMMYFUNCTION("GoogleTranslate(C171, ""en"", ""es"")"),"Precipitación")</f>
        <v>Precipitación</v>
      </c>
      <c r="E171" s="7" t="str">
        <f>IFERROR(__xludf.DUMMYFUNCTION("GoogleTranslate(C171, ""en"", ""ar"")"),"تساقط")</f>
        <v>تساقط</v>
      </c>
      <c r="F171" s="7" t="str">
        <f>IFERROR(__xludf.DUMMYFUNCTION("GoogleTranslate(C171, ""en"", ""hy"")"),"Տեղումներ")</f>
        <v>Տեղումներ</v>
      </c>
      <c r="G171" s="7" t="str">
        <f>IFERROR(__xludf.DUMMYFUNCTION("GoogleTranslate(C171, ""en"", ""vi"")"),"Sự kết tủa")</f>
        <v>Sự kết tủa</v>
      </c>
      <c r="H171" s="7" t="str">
        <f>IFERROR(__xludf.DUMMYFUNCTION("GoogleTranslate(C171, ""en"", ""az"")"),"Yağıntı")</f>
        <v>Yağıntı</v>
      </c>
      <c r="I171" s="7" t="str">
        <f>IFERROR(__xludf.DUMMYFUNCTION("GoogleTranslate(C171, ""en"", ""eu"")"),"Prezipitazioa")</f>
        <v>Prezipitazioa</v>
      </c>
      <c r="J171" s="7" t="str">
        <f>IFERROR(__xludf.DUMMYFUNCTION("GoogleTranslate(C171, ""en"", ""be"")"),"Ападкі")</f>
        <v>Ападкі</v>
      </c>
      <c r="K171" s="7" t="str">
        <f>IFERROR(__xludf.DUMMYFUNCTION("GoogleTranslate(C171, ""en"", ""bn"")"),"বর্ষণ")</f>
        <v>বর্ষণ</v>
      </c>
      <c r="L171" s="7" t="str">
        <f>IFERROR(__xludf.DUMMYFUNCTION("GoogleTranslate(C171, ""en"", ""bg"")"),"Валежи")</f>
        <v>Валежи</v>
      </c>
      <c r="M171" s="7" t="str">
        <f>IFERROR(__xludf.DUMMYFUNCTION("GoogleTranslate(C171, ""en"", ""my"")"),"မိုးရွာတယ်။")</f>
        <v>မိုးရွာတယ်။</v>
      </c>
      <c r="N171" s="7" t="str">
        <f>IFERROR(__xludf.DUMMYFUNCTION("GoogleTranslate(C171, ""en"", ""ca"")"),"Precipitació")</f>
        <v>Precipitació</v>
      </c>
      <c r="O171" s="7" t="str">
        <f>IFERROR(__xludf.DUMMYFUNCTION("GoogleTranslate(C171, ""en"", ""zh-cn"")"),"沉淀")</f>
        <v>沉淀</v>
      </c>
      <c r="P171" s="7" t="str">
        <f>IFERROR(__xludf.DUMMYFUNCTION("GoogleTranslate(C171, ""en"", ""zh-TW"")"),"沉澱")</f>
        <v>沉澱</v>
      </c>
      <c r="Q171" s="7" t="str">
        <f>IFERROR(__xludf.DUMMYFUNCTION("GoogleTranslate(C171, ""en"", ""hr"")"),"Taloženje")</f>
        <v>Taloženje</v>
      </c>
      <c r="R171" s="7" t="str">
        <f>IFERROR(__xludf.DUMMYFUNCTION("GoogleTranslate(C171, ""en"", ""cs"")"),"Srážky")</f>
        <v>Srážky</v>
      </c>
      <c r="S171" s="7" t="str">
        <f>IFERROR(__xludf.DUMMYFUNCTION("GoogleTranslate(C171, ""en"", ""da"")"),"Nedbør")</f>
        <v>Nedbør</v>
      </c>
      <c r="T171" s="7" t="str">
        <f>IFERROR(__xludf.DUMMYFUNCTION("GoogleTranslate(C171, ""en"", ""nl"")"),"Neerslag")</f>
        <v>Neerslag</v>
      </c>
      <c r="U171" s="7" t="str">
        <f>IFERROR(__xludf.DUMMYFUNCTION("GoogleTranslate(C171, ""en"", ""et"")"),"Sademed")</f>
        <v>Sademed</v>
      </c>
      <c r="V171" s="5" t="str">
        <f t="shared" si="3"/>
        <v>Precipitation</v>
      </c>
      <c r="W171" s="7" t="str">
        <f>IFERROR(__xludf.DUMMYFUNCTION("GoogleTranslate(C171, ""en"", ""fi"")"),"Sademäärä")</f>
        <v>Sademäärä</v>
      </c>
      <c r="X171" s="7" t="str">
        <f>IFERROR(__xludf.DUMMYFUNCTION("GoogleTranslate(C171, ""en"", ""fr"")"),"Précipitation")</f>
        <v>Précipitation</v>
      </c>
      <c r="Y171" s="7" t="str">
        <f>IFERROR(__xludf.DUMMYFUNCTION("GoogleTranslate(C171, ""en"", ""de"")"),"Fällung")</f>
        <v>Fällung</v>
      </c>
      <c r="Z171" s="7" t="str">
        <f>IFERROR(__xludf.DUMMYFUNCTION("GoogleTranslate(C171, ""en"", ""el"")"),"Κατακρήμνιση")</f>
        <v>Κατακρήμνιση</v>
      </c>
      <c r="AA171" s="7" t="str">
        <f>IFERROR(__xludf.DUMMYFUNCTION("GoogleTranslate(C171, ""en"", ""iw"")"),"מִשׁקָע")</f>
        <v>מִשׁקָע</v>
      </c>
      <c r="AB171" s="7" t="str">
        <f>IFERROR(__xludf.DUMMYFUNCTION("GoogleTranslate(C171, ""en"", ""hi"")"),"वर्षण")</f>
        <v>वर्षण</v>
      </c>
      <c r="AC171" s="7" t="str">
        <f>IFERROR(__xludf.DUMMYFUNCTION("GoogleTranslate(C171, ""en"", ""hu"")"),"Csapadék")</f>
        <v>Csapadék</v>
      </c>
      <c r="AD171" s="7" t="str">
        <f>IFERROR(__xludf.DUMMYFUNCTION("GoogleTranslate(C171, ""en"", ""is"")"),"Úrkoma")</f>
        <v>Úrkoma</v>
      </c>
      <c r="AE171" s="7" t="str">
        <f>IFERROR(__xludf.DUMMYFUNCTION("GoogleTranslate(C171, ""en"", ""id"")"),"Pengendapan")</f>
        <v>Pengendapan</v>
      </c>
      <c r="AF171" s="7" t="str">
        <f>IFERROR(__xludf.DUMMYFUNCTION("GoogleTranslate(C171, ""en"", ""in"")"),"Pengendapan")</f>
        <v>Pengendapan</v>
      </c>
      <c r="AG171" s="7" t="str">
        <f>IFERROR(__xludf.DUMMYFUNCTION("GoogleTranslate(C171, ""en"", ""it"")"),"Precipitazione")</f>
        <v>Precipitazione</v>
      </c>
      <c r="AH171" s="7" t="str">
        <f>IFERROR(__xludf.DUMMYFUNCTION("GoogleTranslate(C171, ""en"", ""ja"")"),"降水量")</f>
        <v>降水量</v>
      </c>
      <c r="AI171" s="7" t="str">
        <f>IFERROR(__xludf.DUMMYFUNCTION("GoogleTranslate(C171, ""en"", ""kn"")"),"ಮಳೆ")</f>
        <v>ಮಳೆ</v>
      </c>
      <c r="AJ171" s="7" t="str">
        <f>IFERROR(__xludf.DUMMYFUNCTION("GoogleTranslate(C171, ""en"", ""km"")"),"ទឹកភ្លៀង")</f>
        <v>ទឹកភ្លៀង</v>
      </c>
      <c r="AK171" s="7" t="str">
        <f>IFERROR(__xludf.DUMMYFUNCTION("GoogleTranslate(C171, ""en"", ""ko"")"),"강수량")</f>
        <v>강수량</v>
      </c>
      <c r="AL171" s="7" t="str">
        <f>IFERROR(__xludf.DUMMYFUNCTION("GoogleTranslate(C171, ""en"", ""lo"")"),"ຝົນ")</f>
        <v>ຝົນ</v>
      </c>
      <c r="AM171" s="7" t="str">
        <f>IFERROR(__xludf.DUMMYFUNCTION("GoogleTranslate(C171, ""en"", ""lv"")"),"Nokrišņi")</f>
        <v>Nokrišņi</v>
      </c>
      <c r="AN171" s="7" t="str">
        <f>IFERROR(__xludf.DUMMYFUNCTION("GoogleTranslate(C171, ""en"", ""lt"")"),"Krituliai")</f>
        <v>Krituliai</v>
      </c>
      <c r="AO171" s="7" t="str">
        <f>IFERROR(__xludf.DUMMYFUNCTION("GoogleTranslate(C171, ""en"", ""mk"")"),"Врнежите")</f>
        <v>Врнежите</v>
      </c>
      <c r="AP171" s="7" t="str">
        <f>IFERROR(__xludf.DUMMYFUNCTION("GoogleTranslate(C171, ""en"", ""ms"")"),"kerpasan")</f>
        <v>kerpasan</v>
      </c>
      <c r="AQ171" s="7" t="str">
        <f>IFERROR(__xludf.DUMMYFUNCTION("GoogleTranslate(C171, ""en"", ""ml"")"),"മഴ")</f>
        <v>മഴ</v>
      </c>
      <c r="AR171" s="7" t="str">
        <f>IFERROR(__xludf.DUMMYFUNCTION("GoogleTranslate(C171, ""en"", ""mr"")"),"वर्षाव")</f>
        <v>वर्षाव</v>
      </c>
      <c r="AS171" s="7" t="str">
        <f>IFERROR(__xludf.DUMMYFUNCTION("GoogleTranslate(C171, ""en"", ""mn"")"),"Хур тунадас")</f>
        <v>Хур тунадас</v>
      </c>
      <c r="AT171" s="7" t="str">
        <f>IFERROR(__xludf.DUMMYFUNCTION("GoogleTranslate(C171, ""en"", ""ne"")"),"वर्षा")</f>
        <v>वर्षा</v>
      </c>
      <c r="AU171" s="7" t="str">
        <f>IFERROR(__xludf.DUMMYFUNCTION("GoogleTranslate(C171, ""en"", ""nb"")"),"Nedbør")</f>
        <v>Nedbør</v>
      </c>
      <c r="AV171" s="7" t="str">
        <f>IFERROR(__xludf.DUMMYFUNCTION("GoogleTranslate(C171, ""en"", ""fa"")"),"بارش")</f>
        <v>بارش</v>
      </c>
      <c r="AW171" s="7" t="str">
        <f>IFERROR(__xludf.DUMMYFUNCTION("GoogleTranslate(C171, ""en"", ""pl"")"),"Osad")</f>
        <v>Osad</v>
      </c>
      <c r="AX171" s="7" t="str">
        <f>IFERROR(__xludf.DUMMYFUNCTION("GoogleTranslate(C171, ""en"", ""pt"")"),"Precipitação")</f>
        <v>Precipitação</v>
      </c>
      <c r="AY171" s="7" t="str">
        <f>IFERROR(__xludf.DUMMYFUNCTION("GoogleTranslate(C171, ""en"", ""ro"")"),"Precipitare")</f>
        <v>Precipitare</v>
      </c>
      <c r="AZ171" s="7" t="str">
        <f>IFERROR(__xludf.DUMMYFUNCTION("GoogleTranslate(C171, ""en"", ""ru"")"),"Осадки")</f>
        <v>Осадки</v>
      </c>
      <c r="BA171" s="7" t="str">
        <f>IFERROR(__xludf.DUMMYFUNCTION("GoogleTranslate(C171, ""en"", ""sr"")"),"Падавине")</f>
        <v>Падавине</v>
      </c>
      <c r="BB171" s="7" t="str">
        <f>IFERROR(__xludf.DUMMYFUNCTION("GoogleTranslate(C171, ""en"", ""si"")"),"වර්ෂාපතනය")</f>
        <v>වර්ෂාපතනය</v>
      </c>
      <c r="BC171" s="7" t="str">
        <f>IFERROR(__xludf.DUMMYFUNCTION("GoogleTranslate(C171, ""en"", ""sk"")"),"Zrážky")</f>
        <v>Zrážky</v>
      </c>
      <c r="BD171" s="7" t="str">
        <f>IFERROR(__xludf.DUMMYFUNCTION("GoogleTranslate(C171, ""en"", ""sl"")"),"Padavine")</f>
        <v>Padavine</v>
      </c>
      <c r="BE171" s="7" t="str">
        <f>IFERROR(__xludf.DUMMYFUNCTION("GoogleTranslate(C171, ""en"", ""es"")"),"Precipitación")</f>
        <v>Precipitación</v>
      </c>
      <c r="BF171" s="7" t="str">
        <f>IFERROR(__xludf.DUMMYFUNCTION("GoogleTranslate(C171, ""en"", ""sw"")"),"Mvua")</f>
        <v>Mvua</v>
      </c>
      <c r="BG171" s="7" t="str">
        <f>IFERROR(__xludf.DUMMYFUNCTION("GoogleTranslate(C171, ""en"", ""sv"")"),"Nederbörd")</f>
        <v>Nederbörd</v>
      </c>
      <c r="BH171" s="7" t="str">
        <f>IFERROR(__xludf.DUMMYFUNCTION("GoogleTranslate(C171, ""en"", ""te"")"),"అవపాతం")</f>
        <v>అవపాతం</v>
      </c>
      <c r="BI171" s="7" t="str">
        <f>IFERROR(__xludf.DUMMYFUNCTION("GoogleTranslate(C171, ""en"", ""th"")"),"ปริมาณน้ำฝน")</f>
        <v>ปริมาณน้ำฝน</v>
      </c>
      <c r="BJ171" s="7" t="str">
        <f>IFERROR(__xludf.DUMMYFUNCTION("GoogleTranslate(C171, ""en"", ""tr"")"),"Yağış")</f>
        <v>Yağış</v>
      </c>
      <c r="BK171" s="7" t="str">
        <f>IFERROR(__xludf.DUMMYFUNCTION("GoogleTranslate(C171, ""en"", ""uk"")"),"Опади")</f>
        <v>Опади</v>
      </c>
      <c r="BL171" s="7" t="str">
        <f>IFERROR(__xludf.DUMMYFUNCTION("GoogleTranslate(C171, ""en"", ""zu"")"),"Imvula")</f>
        <v>Imvula</v>
      </c>
    </row>
    <row r="172">
      <c r="A172" s="5" t="str">
        <f t="shared" si="1"/>
        <v>Distance</v>
      </c>
      <c r="B172" s="6" t="s">
        <v>209</v>
      </c>
      <c r="C172" s="5" t="str">
        <f t="shared" si="2"/>
        <v>Distance</v>
      </c>
      <c r="D172" s="7" t="str">
        <f>IFERROR(__xludf.DUMMYFUNCTION("GoogleTranslate(C172, ""en"", ""es"")"),"Distancia")</f>
        <v>Distancia</v>
      </c>
      <c r="E172" s="7" t="str">
        <f>IFERROR(__xludf.DUMMYFUNCTION("GoogleTranslate(C172, ""en"", ""ar"")"),"مسافة")</f>
        <v>مسافة</v>
      </c>
      <c r="F172" s="7" t="str">
        <f>IFERROR(__xludf.DUMMYFUNCTION("GoogleTranslate(C172, ""en"", ""hy"")"),"Հեռավորությունը")</f>
        <v>Հեռավորությունը</v>
      </c>
      <c r="G172" s="7" t="str">
        <f>IFERROR(__xludf.DUMMYFUNCTION("GoogleTranslate(C172, ""en"", ""vi"")"),"Khoảng cách")</f>
        <v>Khoảng cách</v>
      </c>
      <c r="H172" s="7" t="str">
        <f>IFERROR(__xludf.DUMMYFUNCTION("GoogleTranslate(C172, ""en"", ""az"")"),"Məsafə")</f>
        <v>Məsafə</v>
      </c>
      <c r="I172" s="7" t="str">
        <f>IFERROR(__xludf.DUMMYFUNCTION("GoogleTranslate(C172, ""en"", ""eu"")"),"Distantzia")</f>
        <v>Distantzia</v>
      </c>
      <c r="J172" s="7" t="str">
        <f>IFERROR(__xludf.DUMMYFUNCTION("GoogleTranslate(C172, ""en"", ""be"")"),"Дыстанцыя")</f>
        <v>Дыстанцыя</v>
      </c>
      <c r="K172" s="7" t="str">
        <f>IFERROR(__xludf.DUMMYFUNCTION("GoogleTranslate(C172, ""en"", ""bn"")"),"দূরত্ব")</f>
        <v>দূরত্ব</v>
      </c>
      <c r="L172" s="7" t="str">
        <f>IFERROR(__xludf.DUMMYFUNCTION("GoogleTranslate(C172, ""en"", ""bg"")"),"Разстояние")</f>
        <v>Разстояние</v>
      </c>
      <c r="M172" s="7" t="str">
        <f>IFERROR(__xludf.DUMMYFUNCTION("GoogleTranslate(C172, ""en"", ""my"")"),"အကွာအဝေး")</f>
        <v>အကွာအဝေး</v>
      </c>
      <c r="N172" s="7" t="str">
        <f>IFERROR(__xludf.DUMMYFUNCTION("GoogleTranslate(C172, ""en"", ""ca"")"),"Distància")</f>
        <v>Distància</v>
      </c>
      <c r="O172" s="7" t="str">
        <f>IFERROR(__xludf.DUMMYFUNCTION("GoogleTranslate(C172, ""en"", ""zh-cn"")"),"距离")</f>
        <v>距离</v>
      </c>
      <c r="P172" s="7" t="str">
        <f>IFERROR(__xludf.DUMMYFUNCTION("GoogleTranslate(C172, ""en"", ""zh-TW"")"),"距離")</f>
        <v>距離</v>
      </c>
      <c r="Q172" s="7" t="str">
        <f>IFERROR(__xludf.DUMMYFUNCTION("GoogleTranslate(C172, ""en"", ""hr"")"),"Udaljenost")</f>
        <v>Udaljenost</v>
      </c>
      <c r="R172" s="7" t="str">
        <f>IFERROR(__xludf.DUMMYFUNCTION("GoogleTranslate(C172, ""en"", ""cs"")"),"Vzdálenost")</f>
        <v>Vzdálenost</v>
      </c>
      <c r="S172" s="7" t="str">
        <f>IFERROR(__xludf.DUMMYFUNCTION("GoogleTranslate(C172, ""en"", ""da"")"),"Afstand")</f>
        <v>Afstand</v>
      </c>
      <c r="T172" s="7" t="str">
        <f>IFERROR(__xludf.DUMMYFUNCTION("GoogleTranslate(C172, ""en"", ""nl"")"),"Afstand")</f>
        <v>Afstand</v>
      </c>
      <c r="U172" s="7" t="str">
        <f>IFERROR(__xludf.DUMMYFUNCTION("GoogleTranslate(C172, ""en"", ""et"")"),"Kaugus")</f>
        <v>Kaugus</v>
      </c>
      <c r="V172" s="5" t="str">
        <f t="shared" si="3"/>
        <v>Distance</v>
      </c>
      <c r="W172" s="7" t="str">
        <f>IFERROR(__xludf.DUMMYFUNCTION("GoogleTranslate(C172, ""en"", ""fi"")"),"Etäisyys")</f>
        <v>Etäisyys</v>
      </c>
      <c r="X172" s="7" t="str">
        <f>IFERROR(__xludf.DUMMYFUNCTION("GoogleTranslate(C172, ""en"", ""fr"")"),"Distance")</f>
        <v>Distance</v>
      </c>
      <c r="Y172" s="7" t="str">
        <f>IFERROR(__xludf.DUMMYFUNCTION("GoogleTranslate(C172, ""en"", ""de"")"),"Distanz")</f>
        <v>Distanz</v>
      </c>
      <c r="Z172" s="7" t="str">
        <f>IFERROR(__xludf.DUMMYFUNCTION("GoogleTranslate(C172, ""en"", ""el"")"),"Απόσταση")</f>
        <v>Απόσταση</v>
      </c>
      <c r="AA172" s="7" t="str">
        <f>IFERROR(__xludf.DUMMYFUNCTION("GoogleTranslate(C172, ""en"", ""iw"")"),"מֶרְחָק")</f>
        <v>מֶרְחָק</v>
      </c>
      <c r="AB172" s="7" t="str">
        <f>IFERROR(__xludf.DUMMYFUNCTION("GoogleTranslate(C172, ""en"", ""hi"")"),"दूरी")</f>
        <v>दूरी</v>
      </c>
      <c r="AC172" s="7" t="str">
        <f>IFERROR(__xludf.DUMMYFUNCTION("GoogleTranslate(C172, ""en"", ""hu"")"),"Távolság")</f>
        <v>Távolság</v>
      </c>
      <c r="AD172" s="7" t="str">
        <f>IFERROR(__xludf.DUMMYFUNCTION("GoogleTranslate(C172, ""en"", ""is"")"),"Fjarlægð")</f>
        <v>Fjarlægð</v>
      </c>
      <c r="AE172" s="7" t="str">
        <f>IFERROR(__xludf.DUMMYFUNCTION("GoogleTranslate(C172, ""en"", ""id"")"),"Jarak")</f>
        <v>Jarak</v>
      </c>
      <c r="AF172" s="7" t="str">
        <f>IFERROR(__xludf.DUMMYFUNCTION("GoogleTranslate(C172, ""en"", ""in"")"),"Jarak")</f>
        <v>Jarak</v>
      </c>
      <c r="AG172" s="7" t="str">
        <f>IFERROR(__xludf.DUMMYFUNCTION("GoogleTranslate(C172, ""en"", ""it"")"),"Distanza")</f>
        <v>Distanza</v>
      </c>
      <c r="AH172" s="7" t="str">
        <f>IFERROR(__xludf.DUMMYFUNCTION("GoogleTranslate(C172, ""en"", ""ja"")"),"距離")</f>
        <v>距離</v>
      </c>
      <c r="AI172" s="7" t="str">
        <f>IFERROR(__xludf.DUMMYFUNCTION("GoogleTranslate(C172, ""en"", ""kn"")"),"ದೂರ")</f>
        <v>ದೂರ</v>
      </c>
      <c r="AJ172" s="7" t="str">
        <f>IFERROR(__xludf.DUMMYFUNCTION("GoogleTranslate(C172, ""en"", ""km"")"),"ចម្ងាយ")</f>
        <v>ចម្ងាយ</v>
      </c>
      <c r="AK172" s="7" t="str">
        <f>IFERROR(__xludf.DUMMYFUNCTION("GoogleTranslate(C172, ""en"", ""ko"")"),"거리")</f>
        <v>거리</v>
      </c>
      <c r="AL172" s="7" t="str">
        <f>IFERROR(__xludf.DUMMYFUNCTION("GoogleTranslate(C172, ""en"", ""lo"")"),"ໄລຍະທາງ")</f>
        <v>ໄລຍະທາງ</v>
      </c>
      <c r="AM172" s="7" t="str">
        <f>IFERROR(__xludf.DUMMYFUNCTION("GoogleTranslate(C172, ""en"", ""lv"")"),"Attālums")</f>
        <v>Attālums</v>
      </c>
      <c r="AN172" s="7" t="str">
        <f>IFERROR(__xludf.DUMMYFUNCTION("GoogleTranslate(C172, ""en"", ""lt"")"),"Atstumas")</f>
        <v>Atstumas</v>
      </c>
      <c r="AO172" s="7" t="str">
        <f>IFERROR(__xludf.DUMMYFUNCTION("GoogleTranslate(C172, ""en"", ""mk"")"),"Растојание")</f>
        <v>Растојание</v>
      </c>
      <c r="AP172" s="7" t="str">
        <f>IFERROR(__xludf.DUMMYFUNCTION("GoogleTranslate(C172, ""en"", ""ms"")"),"Jarak")</f>
        <v>Jarak</v>
      </c>
      <c r="AQ172" s="7" t="str">
        <f>IFERROR(__xludf.DUMMYFUNCTION("GoogleTranslate(C172, ""en"", ""ml"")"),"ദൂരം")</f>
        <v>ദൂരം</v>
      </c>
      <c r="AR172" s="7" t="str">
        <f>IFERROR(__xludf.DUMMYFUNCTION("GoogleTranslate(C172, ""en"", ""mr"")"),"अंतर")</f>
        <v>अंतर</v>
      </c>
      <c r="AS172" s="7" t="str">
        <f>IFERROR(__xludf.DUMMYFUNCTION("GoogleTranslate(C172, ""en"", ""mn"")"),"Зай")</f>
        <v>Зай</v>
      </c>
      <c r="AT172" s="7" t="str">
        <f>IFERROR(__xludf.DUMMYFUNCTION("GoogleTranslate(C172, ""en"", ""ne"")"),"दूरी")</f>
        <v>दूरी</v>
      </c>
      <c r="AU172" s="7" t="str">
        <f>IFERROR(__xludf.DUMMYFUNCTION("GoogleTranslate(C172, ""en"", ""nb"")"),"Avstand")</f>
        <v>Avstand</v>
      </c>
      <c r="AV172" s="7" t="str">
        <f>IFERROR(__xludf.DUMMYFUNCTION("GoogleTranslate(C172, ""en"", ""fa"")"),"فاصله")</f>
        <v>فاصله</v>
      </c>
      <c r="AW172" s="7" t="str">
        <f>IFERROR(__xludf.DUMMYFUNCTION("GoogleTranslate(C172, ""en"", ""pl"")"),"Dystans")</f>
        <v>Dystans</v>
      </c>
      <c r="AX172" s="7" t="str">
        <f>IFERROR(__xludf.DUMMYFUNCTION("GoogleTranslate(C172, ""en"", ""pt"")"),"Distância")</f>
        <v>Distância</v>
      </c>
      <c r="AY172" s="7" t="str">
        <f>IFERROR(__xludf.DUMMYFUNCTION("GoogleTranslate(C172, ""en"", ""ro"")"),"Distanţă")</f>
        <v>Distanţă</v>
      </c>
      <c r="AZ172" s="7" t="str">
        <f>IFERROR(__xludf.DUMMYFUNCTION("GoogleTranslate(C172, ""en"", ""ru"")"),"Расстояние")</f>
        <v>Расстояние</v>
      </c>
      <c r="BA172" s="7" t="str">
        <f>IFERROR(__xludf.DUMMYFUNCTION("GoogleTranslate(C172, ""en"", ""sr"")"),"Удаљеност")</f>
        <v>Удаљеност</v>
      </c>
      <c r="BB172" s="7" t="str">
        <f>IFERROR(__xludf.DUMMYFUNCTION("GoogleTranslate(C172, ""en"", ""si"")"),"දුර")</f>
        <v>දුර</v>
      </c>
      <c r="BC172" s="7" t="str">
        <f>IFERROR(__xludf.DUMMYFUNCTION("GoogleTranslate(C172, ""en"", ""sk"")"),"Vzdialenosť")</f>
        <v>Vzdialenosť</v>
      </c>
      <c r="BD172" s="7" t="str">
        <f>IFERROR(__xludf.DUMMYFUNCTION("GoogleTranslate(C172, ""en"", ""sl"")"),"Razdalja")</f>
        <v>Razdalja</v>
      </c>
      <c r="BE172" s="7" t="str">
        <f>IFERROR(__xludf.DUMMYFUNCTION("GoogleTranslate(C172, ""en"", ""es"")"),"Distancia")</f>
        <v>Distancia</v>
      </c>
      <c r="BF172" s="7" t="str">
        <f>IFERROR(__xludf.DUMMYFUNCTION("GoogleTranslate(C172, ""en"", ""sw"")"),"Umbali")</f>
        <v>Umbali</v>
      </c>
      <c r="BG172" s="7" t="str">
        <f>IFERROR(__xludf.DUMMYFUNCTION("GoogleTranslate(C172, ""en"", ""sv"")"),"Avstånd")</f>
        <v>Avstånd</v>
      </c>
      <c r="BH172" s="7" t="str">
        <f>IFERROR(__xludf.DUMMYFUNCTION("GoogleTranslate(C172, ""en"", ""te"")"),"దూరం")</f>
        <v>దూరం</v>
      </c>
      <c r="BI172" s="7" t="str">
        <f>IFERROR(__xludf.DUMMYFUNCTION("GoogleTranslate(C172, ""en"", ""th"")"),"ระยะทาง")</f>
        <v>ระยะทาง</v>
      </c>
      <c r="BJ172" s="7" t="str">
        <f>IFERROR(__xludf.DUMMYFUNCTION("GoogleTranslate(C172, ""en"", ""tr"")"),"Mesafe")</f>
        <v>Mesafe</v>
      </c>
      <c r="BK172" s="7" t="str">
        <f>IFERROR(__xludf.DUMMYFUNCTION("GoogleTranslate(C172, ""en"", ""uk"")"),"Відстань")</f>
        <v>Відстань</v>
      </c>
      <c r="BL172" s="7" t="str">
        <f>IFERROR(__xludf.DUMMYFUNCTION("GoogleTranslate(C172, ""en"", ""zu"")"),"Ibanga")</f>
        <v>Ibanga</v>
      </c>
    </row>
    <row r="173">
      <c r="A173" s="5" t="str">
        <f t="shared" si="1"/>
        <v>Done</v>
      </c>
      <c r="B173" s="6" t="s">
        <v>226</v>
      </c>
      <c r="C173" s="5" t="str">
        <f t="shared" si="2"/>
        <v>Done</v>
      </c>
      <c r="D173" s="7" t="str">
        <f>IFERROR(__xludf.DUMMYFUNCTION("GoogleTranslate(C173, ""en"", ""es"")"),"Hecho")</f>
        <v>Hecho</v>
      </c>
      <c r="E173" s="7" t="str">
        <f>IFERROR(__xludf.DUMMYFUNCTION("GoogleTranslate(C173, ""en"", ""ar"")"),"منتهي")</f>
        <v>منتهي</v>
      </c>
      <c r="F173" s="7" t="str">
        <f>IFERROR(__xludf.DUMMYFUNCTION("GoogleTranslate(C173, ""en"", ""hy"")"),"Կատարված է")</f>
        <v>Կատարված է</v>
      </c>
      <c r="G173" s="7" t="str">
        <f>IFERROR(__xludf.DUMMYFUNCTION("GoogleTranslate(C173, ""en"", ""vi"")"),"Xong")</f>
        <v>Xong</v>
      </c>
      <c r="H173" s="7" t="str">
        <f>IFERROR(__xludf.DUMMYFUNCTION("GoogleTranslate(C173, ""en"", ""az"")"),"Bitdi")</f>
        <v>Bitdi</v>
      </c>
      <c r="I173" s="7" t="str">
        <f>IFERROR(__xludf.DUMMYFUNCTION("GoogleTranslate(C173, ""en"", ""eu"")"),"Eginda")</f>
        <v>Eginda</v>
      </c>
      <c r="J173" s="7" t="str">
        <f>IFERROR(__xludf.DUMMYFUNCTION("GoogleTranslate(C173, ""en"", ""be"")"),"Гатова")</f>
        <v>Гатова</v>
      </c>
      <c r="K173" s="7" t="str">
        <f>IFERROR(__xludf.DUMMYFUNCTION("GoogleTranslate(C173, ""en"", ""bn"")"),"সম্পন্ন")</f>
        <v>সম্পন্ন</v>
      </c>
      <c r="L173" s="7" t="str">
        <f>IFERROR(__xludf.DUMMYFUNCTION("GoogleTranslate(C173, ""en"", ""bg"")"),"Готово")</f>
        <v>Готово</v>
      </c>
      <c r="M173" s="7" t="str">
        <f>IFERROR(__xludf.DUMMYFUNCTION("GoogleTranslate(C173, ""en"", ""my"")"),"ပြီးပြီ။")</f>
        <v>ပြီးပြီ။</v>
      </c>
      <c r="N173" s="7" t="str">
        <f>IFERROR(__xludf.DUMMYFUNCTION("GoogleTranslate(C173, ""en"", ""ca"")"),"Fet")</f>
        <v>Fet</v>
      </c>
      <c r="O173" s="7" t="str">
        <f>IFERROR(__xludf.DUMMYFUNCTION("GoogleTranslate(C173, ""en"", ""zh-cn"")"),"完毕")</f>
        <v>完毕</v>
      </c>
      <c r="P173" s="7" t="str">
        <f>IFERROR(__xludf.DUMMYFUNCTION("GoogleTranslate(C173, ""en"", ""zh-TW"")"),"完畢")</f>
        <v>完畢</v>
      </c>
      <c r="Q173" s="7" t="str">
        <f>IFERROR(__xludf.DUMMYFUNCTION("GoogleTranslate(C173, ""en"", ""hr"")"),"Gotovo")</f>
        <v>Gotovo</v>
      </c>
      <c r="R173" s="7" t="str">
        <f>IFERROR(__xludf.DUMMYFUNCTION("GoogleTranslate(C173, ""en"", ""cs"")"),"Hotovo")</f>
        <v>Hotovo</v>
      </c>
      <c r="S173" s="7" t="str">
        <f>IFERROR(__xludf.DUMMYFUNCTION("GoogleTranslate(C173, ""en"", ""da"")"),"Færdig")</f>
        <v>Færdig</v>
      </c>
      <c r="T173" s="7" t="str">
        <f>IFERROR(__xludf.DUMMYFUNCTION("GoogleTranslate(C173, ""en"", ""nl"")"),"Klaar")</f>
        <v>Klaar</v>
      </c>
      <c r="U173" s="7" t="str">
        <f>IFERROR(__xludf.DUMMYFUNCTION("GoogleTranslate(C173, ""en"", ""et"")"),"Valmis")</f>
        <v>Valmis</v>
      </c>
      <c r="V173" s="5" t="str">
        <f t="shared" si="3"/>
        <v>Done</v>
      </c>
      <c r="W173" s="7" t="str">
        <f>IFERROR(__xludf.DUMMYFUNCTION("GoogleTranslate(C173, ""en"", ""fi"")"),"Tehty")</f>
        <v>Tehty</v>
      </c>
      <c r="X173" s="7" t="str">
        <f>IFERROR(__xludf.DUMMYFUNCTION("GoogleTranslate(C173, ""en"", ""fr"")"),"Fait")</f>
        <v>Fait</v>
      </c>
      <c r="Y173" s="7" t="str">
        <f>IFERROR(__xludf.DUMMYFUNCTION("GoogleTranslate(C173, ""en"", ""de"")"),"Erledigt")</f>
        <v>Erledigt</v>
      </c>
      <c r="Z173" s="7" t="str">
        <f>IFERROR(__xludf.DUMMYFUNCTION("GoogleTranslate(C173, ""en"", ""el"")"),"Γινώμενος")</f>
        <v>Γινώμενος</v>
      </c>
      <c r="AA173" s="7" t="str">
        <f>IFERROR(__xludf.DUMMYFUNCTION("GoogleTranslate(C173, ""en"", ""iw"")"),"נַעֲשָׂה")</f>
        <v>נַעֲשָׂה</v>
      </c>
      <c r="AB173" s="7" t="str">
        <f>IFERROR(__xludf.DUMMYFUNCTION("GoogleTranslate(C173, ""en"", ""hi"")"),"हो गया")</f>
        <v>हो गया</v>
      </c>
      <c r="AC173" s="7" t="str">
        <f>IFERROR(__xludf.DUMMYFUNCTION("GoogleTranslate(C173, ""en"", ""hu"")"),"Kész")</f>
        <v>Kész</v>
      </c>
      <c r="AD173" s="7" t="str">
        <f>IFERROR(__xludf.DUMMYFUNCTION("GoogleTranslate(C173, ""en"", ""is"")"),"Búið")</f>
        <v>Búið</v>
      </c>
      <c r="AE173" s="7" t="str">
        <f>IFERROR(__xludf.DUMMYFUNCTION("GoogleTranslate(C173, ""en"", ""id"")"),"Selesai")</f>
        <v>Selesai</v>
      </c>
      <c r="AF173" s="7" t="str">
        <f>IFERROR(__xludf.DUMMYFUNCTION("GoogleTranslate(C173, ""en"", ""in"")"),"Selesai")</f>
        <v>Selesai</v>
      </c>
      <c r="AG173" s="7" t="str">
        <f>IFERROR(__xludf.DUMMYFUNCTION("GoogleTranslate(C173, ""en"", ""it"")"),"Fatto")</f>
        <v>Fatto</v>
      </c>
      <c r="AH173" s="7" t="str">
        <f>IFERROR(__xludf.DUMMYFUNCTION("GoogleTranslate(C173, ""en"", ""ja"")"),"終わり")</f>
        <v>終わり</v>
      </c>
      <c r="AI173" s="7" t="str">
        <f>IFERROR(__xludf.DUMMYFUNCTION("GoogleTranslate(C173, ""en"", ""kn"")"),"ಮುಗಿದಿದೆ")</f>
        <v>ಮುಗಿದಿದೆ</v>
      </c>
      <c r="AJ173" s="7" t="str">
        <f>IFERROR(__xludf.DUMMYFUNCTION("GoogleTranslate(C173, ""en"", ""km"")"),"រួចរាល់")</f>
        <v>រួចរាល់</v>
      </c>
      <c r="AK173" s="7" t="str">
        <f>IFERROR(__xludf.DUMMYFUNCTION("GoogleTranslate(C173, ""en"", ""ko"")"),"완료")</f>
        <v>완료</v>
      </c>
      <c r="AL173" s="7" t="str">
        <f>IFERROR(__xludf.DUMMYFUNCTION("GoogleTranslate(C173, ""en"", ""lo"")"),"ສຳເລັດແລ້ວ")</f>
        <v>ສຳເລັດແລ້ວ</v>
      </c>
      <c r="AM173" s="7" t="str">
        <f>IFERROR(__xludf.DUMMYFUNCTION("GoogleTranslate(C173, ""en"", ""lv"")"),"Gatavs")</f>
        <v>Gatavs</v>
      </c>
      <c r="AN173" s="7" t="str">
        <f>IFERROR(__xludf.DUMMYFUNCTION("GoogleTranslate(C173, ""en"", ""lt"")"),"Atlikta")</f>
        <v>Atlikta</v>
      </c>
      <c r="AO173" s="7" t="str">
        <f>IFERROR(__xludf.DUMMYFUNCTION("GoogleTranslate(C173, ""en"", ""mk"")"),"Готово")</f>
        <v>Готово</v>
      </c>
      <c r="AP173" s="7" t="str">
        <f>IFERROR(__xludf.DUMMYFUNCTION("GoogleTranslate(C173, ""en"", ""ms"")"),"Selesai")</f>
        <v>Selesai</v>
      </c>
      <c r="AQ173" s="7" t="str">
        <f>IFERROR(__xludf.DUMMYFUNCTION("GoogleTranslate(C173, ""en"", ""ml"")"),"ചെയ്തു")</f>
        <v>ചെയ്തു</v>
      </c>
      <c r="AR173" s="7" t="str">
        <f>IFERROR(__xludf.DUMMYFUNCTION("GoogleTranslate(C173, ""en"", ""mr"")"),"झाले")</f>
        <v>झाले</v>
      </c>
      <c r="AS173" s="7" t="str">
        <f>IFERROR(__xludf.DUMMYFUNCTION("GoogleTranslate(C173, ""en"", ""mn"")"),"Дууслаа")</f>
        <v>Дууслаа</v>
      </c>
      <c r="AT173" s="7" t="str">
        <f>IFERROR(__xludf.DUMMYFUNCTION("GoogleTranslate(C173, ""en"", ""ne"")"),"सकियो")</f>
        <v>सकियो</v>
      </c>
      <c r="AU173" s="7" t="str">
        <f>IFERROR(__xludf.DUMMYFUNCTION("GoogleTranslate(C173, ""en"", ""nb"")"),"Ferdig")</f>
        <v>Ferdig</v>
      </c>
      <c r="AV173" s="7" t="str">
        <f>IFERROR(__xludf.DUMMYFUNCTION("GoogleTranslate(C173, ""en"", ""fa"")"),"انجام شد")</f>
        <v>انجام شد</v>
      </c>
      <c r="AW173" s="7" t="str">
        <f>IFERROR(__xludf.DUMMYFUNCTION("GoogleTranslate(C173, ""en"", ""pl"")"),"Zrobione")</f>
        <v>Zrobione</v>
      </c>
      <c r="AX173" s="7" t="str">
        <f>IFERROR(__xludf.DUMMYFUNCTION("GoogleTranslate(C173, ""en"", ""pt"")"),"Feito")</f>
        <v>Feito</v>
      </c>
      <c r="AY173" s="7" t="str">
        <f>IFERROR(__xludf.DUMMYFUNCTION("GoogleTranslate(C173, ""en"", ""ro"")"),"Făcut")</f>
        <v>Făcut</v>
      </c>
      <c r="AZ173" s="7" t="str">
        <f>IFERROR(__xludf.DUMMYFUNCTION("GoogleTranslate(C173, ""en"", ""ru"")"),"Сделанный")</f>
        <v>Сделанный</v>
      </c>
      <c r="BA173" s="7" t="str">
        <f>IFERROR(__xludf.DUMMYFUNCTION("GoogleTranslate(C173, ""en"", ""sr"")"),"Готово")</f>
        <v>Готово</v>
      </c>
      <c r="BB173" s="7" t="str">
        <f>IFERROR(__xludf.DUMMYFUNCTION("GoogleTranslate(C173, ""en"", ""si"")"),"කළා")</f>
        <v>කළා</v>
      </c>
      <c r="BC173" s="7" t="str">
        <f>IFERROR(__xludf.DUMMYFUNCTION("GoogleTranslate(C173, ""en"", ""sk"")"),"Hotovo")</f>
        <v>Hotovo</v>
      </c>
      <c r="BD173" s="7" t="str">
        <f>IFERROR(__xludf.DUMMYFUNCTION("GoogleTranslate(C173, ""en"", ""sl"")"),"Končano")</f>
        <v>Končano</v>
      </c>
      <c r="BE173" s="7" t="str">
        <f>IFERROR(__xludf.DUMMYFUNCTION("GoogleTranslate(C173, ""en"", ""es"")"),"Hecho")</f>
        <v>Hecho</v>
      </c>
      <c r="BF173" s="7" t="str">
        <f>IFERROR(__xludf.DUMMYFUNCTION("GoogleTranslate(C173, ""en"", ""sw"")"),"Imekamilika")</f>
        <v>Imekamilika</v>
      </c>
      <c r="BG173" s="7" t="str">
        <f>IFERROR(__xludf.DUMMYFUNCTION("GoogleTranslate(C173, ""en"", ""sv"")"),"Gjort")</f>
        <v>Gjort</v>
      </c>
      <c r="BH173" s="7" t="str">
        <f>IFERROR(__xludf.DUMMYFUNCTION("GoogleTranslate(C173, ""en"", ""te"")"),"పూర్తయింది")</f>
        <v>పూర్తయింది</v>
      </c>
      <c r="BI173" s="7" t="str">
        <f>IFERROR(__xludf.DUMMYFUNCTION("GoogleTranslate(C173, ""en"", ""th"")"),"เสร็จแล้ว")</f>
        <v>เสร็จแล้ว</v>
      </c>
      <c r="BJ173" s="7" t="str">
        <f>IFERROR(__xludf.DUMMYFUNCTION("GoogleTranslate(C173, ""en"", ""tr"")"),"Tamamlamak")</f>
        <v>Tamamlamak</v>
      </c>
      <c r="BK173" s="7" t="str">
        <f>IFERROR(__xludf.DUMMYFUNCTION("GoogleTranslate(C173, ""en"", ""uk"")"),"Готово")</f>
        <v>Готово</v>
      </c>
      <c r="BL173" s="7" t="str">
        <f>IFERROR(__xludf.DUMMYFUNCTION("GoogleTranslate(C173, ""en"", ""zu"")"),"Kwenziwe")</f>
        <v>Kwenziwe</v>
      </c>
    </row>
    <row r="174">
      <c r="A174" s="5" t="str">
        <f t="shared" si="1"/>
        <v>Notification_settings</v>
      </c>
      <c r="B174" s="6" t="s">
        <v>227</v>
      </c>
      <c r="C174" s="5" t="str">
        <f t="shared" si="2"/>
        <v>Notification settings</v>
      </c>
      <c r="D174" s="7" t="str">
        <f>IFERROR(__xludf.DUMMYFUNCTION("GoogleTranslate(C174, ""en"", ""es"")"),"Configuración de notificaciones")</f>
        <v>Configuración de notificaciones</v>
      </c>
      <c r="E174" s="7" t="str">
        <f>IFERROR(__xludf.DUMMYFUNCTION("GoogleTranslate(C174, ""en"", ""ar"")"),"إعدادات الإخطار")</f>
        <v>إعدادات الإخطار</v>
      </c>
      <c r="F174" s="7" t="str">
        <f>IFERROR(__xludf.DUMMYFUNCTION("GoogleTranslate(C174, ""en"", ""hy"")"),"Ծանուցման կարգավորումներ")</f>
        <v>Ծանուցման կարգավորումներ</v>
      </c>
      <c r="G174" s="7" t="str">
        <f>IFERROR(__xludf.DUMMYFUNCTION("GoogleTranslate(C174, ""en"", ""vi"")"),"Cài đặt thông báo")</f>
        <v>Cài đặt thông báo</v>
      </c>
      <c r="H174" s="7" t="str">
        <f>IFERROR(__xludf.DUMMYFUNCTION("GoogleTranslate(C174, ""en"", ""az"")"),"Bildiriş parametrləri")</f>
        <v>Bildiriş parametrləri</v>
      </c>
      <c r="I174" s="7" t="str">
        <f>IFERROR(__xludf.DUMMYFUNCTION("GoogleTranslate(C174, ""en"", ""eu"")"),"Jakinarazpen-ezarpenak")</f>
        <v>Jakinarazpen-ezarpenak</v>
      </c>
      <c r="J174" s="7" t="str">
        <f>IFERROR(__xludf.DUMMYFUNCTION("GoogleTranslate(C174, ""en"", ""be"")"),"Налады апавяшчэнняў")</f>
        <v>Налады апавяшчэнняў</v>
      </c>
      <c r="K174" s="7" t="str">
        <f>IFERROR(__xludf.DUMMYFUNCTION("GoogleTranslate(C174, ""en"", ""bn"")"),"বিজ্ঞপ্তি সেটিংস")</f>
        <v>বিজ্ঞপ্তি সেটিংস</v>
      </c>
      <c r="L174" s="7" t="str">
        <f>IFERROR(__xludf.DUMMYFUNCTION("GoogleTranslate(C174, ""en"", ""bg"")"),"Настройки за уведомяване")</f>
        <v>Настройки за уведомяване</v>
      </c>
      <c r="M174" s="7" t="str">
        <f>IFERROR(__xludf.DUMMYFUNCTION("GoogleTranslate(C174, ""en"", ""my"")"),"အကြောင်းကြားချက် ဆက်တင်များ")</f>
        <v>အကြောင်းကြားချက် ဆက်တင်များ</v>
      </c>
      <c r="N174" s="7" t="str">
        <f>IFERROR(__xludf.DUMMYFUNCTION("GoogleTranslate(C174, ""en"", ""ca"")"),"Configuració de notificacions")</f>
        <v>Configuració de notificacions</v>
      </c>
      <c r="O174" s="7" t="str">
        <f>IFERROR(__xludf.DUMMYFUNCTION("GoogleTranslate(C174, ""en"", ""zh-cn"")"),"通知设置")</f>
        <v>通知设置</v>
      </c>
      <c r="P174" s="7" t="str">
        <f>IFERROR(__xludf.DUMMYFUNCTION("GoogleTranslate(C174, ""en"", ""zh-TW"")"),"通知設定")</f>
        <v>通知設定</v>
      </c>
      <c r="Q174" s="7" t="str">
        <f>IFERROR(__xludf.DUMMYFUNCTION("GoogleTranslate(C174, ""en"", ""hr"")"),"Postavke obavijesti")</f>
        <v>Postavke obavijesti</v>
      </c>
      <c r="R174" s="7" t="str">
        <f>IFERROR(__xludf.DUMMYFUNCTION("GoogleTranslate(C174, ""en"", ""cs"")"),"Nastavení oznámení")</f>
        <v>Nastavení oznámení</v>
      </c>
      <c r="S174" s="7" t="str">
        <f>IFERROR(__xludf.DUMMYFUNCTION("GoogleTranslate(C174, ""en"", ""da"")"),"Notifikationsindstillinger")</f>
        <v>Notifikationsindstillinger</v>
      </c>
      <c r="T174" s="7" t="str">
        <f>IFERROR(__xludf.DUMMYFUNCTION("GoogleTranslate(C174, ""en"", ""nl"")"),"Meldingsinstellingen")</f>
        <v>Meldingsinstellingen</v>
      </c>
      <c r="U174" s="7" t="str">
        <f>IFERROR(__xludf.DUMMYFUNCTION("GoogleTranslate(C174, ""en"", ""et"")"),"Teavituste seaded")</f>
        <v>Teavituste seaded</v>
      </c>
      <c r="V174" s="5" t="str">
        <f t="shared" si="3"/>
        <v>Notification settings</v>
      </c>
      <c r="W174" s="7" t="str">
        <f>IFERROR(__xludf.DUMMYFUNCTION("GoogleTranslate(C174, ""en"", ""fi"")"),"Ilmoitusasetukset")</f>
        <v>Ilmoitusasetukset</v>
      </c>
      <c r="X174" s="7" t="str">
        <f>IFERROR(__xludf.DUMMYFUNCTION("GoogleTranslate(C174, ""en"", ""fr"")"),"Paramètres de notification")</f>
        <v>Paramètres de notification</v>
      </c>
      <c r="Y174" s="7" t="str">
        <f>IFERROR(__xludf.DUMMYFUNCTION("GoogleTranslate(C174, ""en"", ""de"")"),"Benachrichtigungseinstellungen")</f>
        <v>Benachrichtigungseinstellungen</v>
      </c>
      <c r="Z174" s="7" t="str">
        <f>IFERROR(__xludf.DUMMYFUNCTION("GoogleTranslate(C174, ""en"", ""el"")"),"Ρυθμίσεις ειδοποιήσεων")</f>
        <v>Ρυθμίσεις ειδοποιήσεων</v>
      </c>
      <c r="AA174" s="7" t="str">
        <f>IFERROR(__xludf.DUMMYFUNCTION("GoogleTranslate(C174, ""en"", ""iw"")"),"הגדרות התראות")</f>
        <v>הגדרות התראות</v>
      </c>
      <c r="AB174" s="7" t="str">
        <f>IFERROR(__xludf.DUMMYFUNCTION("GoogleTranslate(C174, ""en"", ""hi"")"),"अधिसूचना सेटिंग्स")</f>
        <v>अधिसूचना सेटिंग्स</v>
      </c>
      <c r="AC174" s="7" t="str">
        <f>IFERROR(__xludf.DUMMYFUNCTION("GoogleTranslate(C174, ""en"", ""hu"")"),"Értesítési beállítások")</f>
        <v>Értesítési beállítások</v>
      </c>
      <c r="AD174" s="7" t="str">
        <f>IFERROR(__xludf.DUMMYFUNCTION("GoogleTranslate(C174, ""en"", ""is"")"),"Tilkynningastillingar")</f>
        <v>Tilkynningastillingar</v>
      </c>
      <c r="AE174" s="7" t="str">
        <f>IFERROR(__xludf.DUMMYFUNCTION("GoogleTranslate(C174, ""en"", ""id"")"),"Pengaturan notifikasi")</f>
        <v>Pengaturan notifikasi</v>
      </c>
      <c r="AF174" s="7" t="str">
        <f>IFERROR(__xludf.DUMMYFUNCTION("GoogleTranslate(C174, ""en"", ""in"")"),"Pengaturan notifikasi")</f>
        <v>Pengaturan notifikasi</v>
      </c>
      <c r="AG174" s="7" t="str">
        <f>IFERROR(__xludf.DUMMYFUNCTION("GoogleTranslate(C174, ""en"", ""it"")"),"Impostazioni di notifica")</f>
        <v>Impostazioni di notifica</v>
      </c>
      <c r="AH174" s="7" t="str">
        <f>IFERROR(__xludf.DUMMYFUNCTION("GoogleTranslate(C174, ""en"", ""ja"")"),"通知設定")</f>
        <v>通知設定</v>
      </c>
      <c r="AI174" s="7" t="str">
        <f>IFERROR(__xludf.DUMMYFUNCTION("GoogleTranslate(C174, ""en"", ""kn"")"),"ಅಧಿಸೂಚನೆ ಸೆಟ್ಟಿಂಗ್‌ಗಳು")</f>
        <v>ಅಧಿಸೂಚನೆ ಸೆಟ್ಟಿಂಗ್‌ಗಳು</v>
      </c>
      <c r="AJ174" s="7" t="str">
        <f>IFERROR(__xludf.DUMMYFUNCTION("GoogleTranslate(C174, ""en"", ""km"")"),"ការកំណត់ការជូនដំណឹង")</f>
        <v>ការកំណត់ការជូនដំណឹង</v>
      </c>
      <c r="AK174" s="7" t="str">
        <f>IFERROR(__xludf.DUMMYFUNCTION("GoogleTranslate(C174, ""en"", ""ko"")"),"알림 설정")</f>
        <v>알림 설정</v>
      </c>
      <c r="AL174" s="7" t="str">
        <f>IFERROR(__xludf.DUMMYFUNCTION("GoogleTranslate(C174, ""en"", ""lo"")"),"ການຕັ້ງຄ່າການແຈ້ງເຕືອນ")</f>
        <v>ການຕັ້ງຄ່າການແຈ້ງເຕືອນ</v>
      </c>
      <c r="AM174" s="7" t="str">
        <f>IFERROR(__xludf.DUMMYFUNCTION("GoogleTranslate(C174, ""en"", ""lv"")"),"Paziņojumu iestatījumi")</f>
        <v>Paziņojumu iestatījumi</v>
      </c>
      <c r="AN174" s="7" t="str">
        <f>IFERROR(__xludf.DUMMYFUNCTION("GoogleTranslate(C174, ""en"", ""lt"")"),"Pranešimų nustatymai")</f>
        <v>Pranešimų nustatymai</v>
      </c>
      <c r="AO174" s="7" t="str">
        <f>IFERROR(__xludf.DUMMYFUNCTION("GoogleTranslate(C174, ""en"", ""mk"")"),"Поставки за известување")</f>
        <v>Поставки за известување</v>
      </c>
      <c r="AP174" s="7" t="str">
        <f>IFERROR(__xludf.DUMMYFUNCTION("GoogleTranslate(C174, ""en"", ""ms"")"),"Tetapan pemberitahuan")</f>
        <v>Tetapan pemberitahuan</v>
      </c>
      <c r="AQ174" s="7" t="str">
        <f>IFERROR(__xludf.DUMMYFUNCTION("GoogleTranslate(C174, ""en"", ""ml"")"),"അറിയിപ്പ് ക്രമീകരണങ്ങൾ")</f>
        <v>അറിയിപ്പ് ക്രമീകരണങ്ങൾ</v>
      </c>
      <c r="AR174" s="7" t="str">
        <f>IFERROR(__xludf.DUMMYFUNCTION("GoogleTranslate(C174, ""en"", ""mr"")"),"सूचना सेटिंग्ज")</f>
        <v>सूचना सेटिंग्ज</v>
      </c>
      <c r="AS174" s="7" t="str">
        <f>IFERROR(__xludf.DUMMYFUNCTION("GoogleTranslate(C174, ""en"", ""mn"")"),"Мэдэгдлийн тохиргоо")</f>
        <v>Мэдэгдлийн тохиргоо</v>
      </c>
      <c r="AT174" s="7" t="str">
        <f>IFERROR(__xludf.DUMMYFUNCTION("GoogleTranslate(C174, ""en"", ""ne"")"),"सूचना सेटिङहरू")</f>
        <v>सूचना सेटिङहरू</v>
      </c>
      <c r="AU174" s="7" t="str">
        <f>IFERROR(__xludf.DUMMYFUNCTION("GoogleTranslate(C174, ""en"", ""nb"")"),"Varslingsinnstillinger")</f>
        <v>Varslingsinnstillinger</v>
      </c>
      <c r="AV174" s="7" t="str">
        <f>IFERROR(__xludf.DUMMYFUNCTION("GoogleTranslate(C174, ""en"", ""fa"")"),"تنظیمات اعلان")</f>
        <v>تنظیمات اعلان</v>
      </c>
      <c r="AW174" s="7" t="str">
        <f>IFERROR(__xludf.DUMMYFUNCTION("GoogleTranslate(C174, ""en"", ""pl"")"),"Ustawienia powiadomień")</f>
        <v>Ustawienia powiadomień</v>
      </c>
      <c r="AX174" s="7" t="str">
        <f>IFERROR(__xludf.DUMMYFUNCTION("GoogleTranslate(C174, ""en"", ""pt"")"),"Configurações de notificação")</f>
        <v>Configurações de notificação</v>
      </c>
      <c r="AY174" s="7" t="str">
        <f>IFERROR(__xludf.DUMMYFUNCTION("GoogleTranslate(C174, ""en"", ""ro"")"),"Setări de notificare")</f>
        <v>Setări de notificare</v>
      </c>
      <c r="AZ174" s="7" t="str">
        <f>IFERROR(__xludf.DUMMYFUNCTION("GoogleTranslate(C174, ""en"", ""ru"")"),"Настройки уведомлений")</f>
        <v>Настройки уведомлений</v>
      </c>
      <c r="BA174" s="7" t="str">
        <f>IFERROR(__xludf.DUMMYFUNCTION("GoogleTranslate(C174, ""en"", ""sr"")"),"Подешавања обавештења")</f>
        <v>Подешавања обавештења</v>
      </c>
      <c r="BB174" s="7" t="str">
        <f>IFERROR(__xludf.DUMMYFUNCTION("GoogleTranslate(C174, ""en"", ""si"")"),"දැනුම්දීම් සැකසුම්")</f>
        <v>දැනුම්දීම් සැකසුම්</v>
      </c>
      <c r="BC174" s="7" t="str">
        <f>IFERROR(__xludf.DUMMYFUNCTION("GoogleTranslate(C174, ""en"", ""sk"")"),"Nastavenia upozornení")</f>
        <v>Nastavenia upozornení</v>
      </c>
      <c r="BD174" s="7" t="str">
        <f>IFERROR(__xludf.DUMMYFUNCTION("GoogleTranslate(C174, ""en"", ""sl"")"),"Nastavitve obvestil")</f>
        <v>Nastavitve obvestil</v>
      </c>
      <c r="BE174" s="7" t="str">
        <f>IFERROR(__xludf.DUMMYFUNCTION("GoogleTranslate(C174, ""en"", ""es"")"),"Configuración de notificaciones")</f>
        <v>Configuración de notificaciones</v>
      </c>
      <c r="BF174" s="7" t="str">
        <f>IFERROR(__xludf.DUMMYFUNCTION("GoogleTranslate(C174, ""en"", ""sw"")"),"Mipangilio ya arifa")</f>
        <v>Mipangilio ya arifa</v>
      </c>
      <c r="BG174" s="7" t="str">
        <f>IFERROR(__xludf.DUMMYFUNCTION("GoogleTranslate(C174, ""en"", ""sv"")"),"Aviseringsinställningar")</f>
        <v>Aviseringsinställningar</v>
      </c>
      <c r="BH174" s="7" t="str">
        <f>IFERROR(__xludf.DUMMYFUNCTION("GoogleTranslate(C174, ""en"", ""te"")"),"నోటిఫికేషన్ సెట్టింగ్‌లు")</f>
        <v>నోటిఫికేషన్ సెట్టింగ్‌లు</v>
      </c>
      <c r="BI174" s="7" t="str">
        <f>IFERROR(__xludf.DUMMYFUNCTION("GoogleTranslate(C174, ""en"", ""th"")"),"การตั้งค่าการแจ้งเตือน")</f>
        <v>การตั้งค่าการแจ้งเตือน</v>
      </c>
      <c r="BJ174" s="7" t="str">
        <f>IFERROR(__xludf.DUMMYFUNCTION("GoogleTranslate(C174, ""en"", ""tr"")"),"Bildirim ayarları")</f>
        <v>Bildirim ayarları</v>
      </c>
      <c r="BK174" s="7" t="str">
        <f>IFERROR(__xludf.DUMMYFUNCTION("GoogleTranslate(C174, ""en"", ""uk"")"),"Налаштування сповіщень")</f>
        <v>Налаштування сповіщень</v>
      </c>
      <c r="BL174" s="7" t="str">
        <f>IFERROR(__xludf.DUMMYFUNCTION("GoogleTranslate(C174, ""en"", ""zu"")"),"Izilungiselelo zezaziso")</f>
        <v>Izilungiselelo zezaziso</v>
      </c>
    </row>
    <row r="175">
      <c r="A175" s="5" t="str">
        <f t="shared" si="1"/>
        <v>Get_PRO_version</v>
      </c>
      <c r="B175" s="6" t="s">
        <v>228</v>
      </c>
      <c r="C175" s="5" t="str">
        <f t="shared" si="2"/>
        <v>Get PRO version</v>
      </c>
      <c r="D175" s="7" t="str">
        <f>IFERROR(__xludf.DUMMYFUNCTION("GoogleTranslate(C175, ""en"", ""es"")"),"Obtener la versión PRO")</f>
        <v>Obtener la versión PRO</v>
      </c>
      <c r="E175" s="7" t="str">
        <f>IFERROR(__xludf.DUMMYFUNCTION("GoogleTranslate(C175, ""en"", ""ar"")"),"احصل على نسخة PRO")</f>
        <v>احصل على نسخة PRO</v>
      </c>
      <c r="F175" s="7" t="str">
        <f>IFERROR(__xludf.DUMMYFUNCTION("GoogleTranslate(C175, ""en"", ""hy"")"),"Ստացեք PRO տարբերակը")</f>
        <v>Ստացեք PRO տարբերակը</v>
      </c>
      <c r="G175" s="7" t="str">
        <f>IFERROR(__xludf.DUMMYFUNCTION("GoogleTranslate(C175, ""en"", ""vi"")"),"Nhận phiên bản PRO")</f>
        <v>Nhận phiên bản PRO</v>
      </c>
      <c r="H175" s="7" t="str">
        <f>IFERROR(__xludf.DUMMYFUNCTION("GoogleTranslate(C175, ""en"", ""az"")"),"PRO versiyasını əldə edin")</f>
        <v>PRO versiyasını əldə edin</v>
      </c>
      <c r="I175" s="7" t="str">
        <f>IFERROR(__xludf.DUMMYFUNCTION("GoogleTranslate(C175, ""en"", ""eu"")"),"Lortu PRO bertsioa")</f>
        <v>Lortu PRO bertsioa</v>
      </c>
      <c r="J175" s="7" t="str">
        <f>IFERROR(__xludf.DUMMYFUNCTION("GoogleTranslate(C175, ""en"", ""be"")"),"Атрымаць PRO версію")</f>
        <v>Атрымаць PRO версію</v>
      </c>
      <c r="K175" s="7" t="str">
        <f>IFERROR(__xludf.DUMMYFUNCTION("GoogleTranslate(C175, ""en"", ""bn"")"),"PRO সংস্করণ পান")</f>
        <v>PRO সংস্করণ পান</v>
      </c>
      <c r="L175" s="7" t="str">
        <f>IFERROR(__xludf.DUMMYFUNCTION("GoogleTranslate(C175, ""en"", ""bg"")"),"Вземете PRO версия")</f>
        <v>Вземете PRO версия</v>
      </c>
      <c r="M175" s="7" t="str">
        <f>IFERROR(__xludf.DUMMYFUNCTION("GoogleTranslate(C175, ""en"", ""my"")"),"PRO ဗားရှင်းကို ရယူပါ။")</f>
        <v>PRO ဗားရှင်းကို ရယူပါ။</v>
      </c>
      <c r="N175" s="7" t="str">
        <f>IFERROR(__xludf.DUMMYFUNCTION("GoogleTranslate(C175, ""en"", ""ca"")"),"Obteniu la versió PRO")</f>
        <v>Obteniu la versió PRO</v>
      </c>
      <c r="O175" s="7" t="str">
        <f>IFERROR(__xludf.DUMMYFUNCTION("GoogleTranslate(C175, ""en"", ""zh-cn"")"),"获取专业版")</f>
        <v>获取专业版</v>
      </c>
      <c r="P175" s="7" t="str">
        <f>IFERROR(__xludf.DUMMYFUNCTION("GoogleTranslate(C175, ""en"", ""zh-TW"")"),"取得專業版")</f>
        <v>取得專業版</v>
      </c>
      <c r="Q175" s="7" t="str">
        <f>IFERROR(__xludf.DUMMYFUNCTION("GoogleTranslate(C175, ""en"", ""hr"")"),"Nabavite PRO verziju")</f>
        <v>Nabavite PRO verziju</v>
      </c>
      <c r="R175" s="7" t="str">
        <f>IFERROR(__xludf.DUMMYFUNCTION("GoogleTranslate(C175, ""en"", ""cs"")"),"Získejte PRO verzi")</f>
        <v>Získejte PRO verzi</v>
      </c>
      <c r="S175" s="7" t="str">
        <f>IFERROR(__xludf.DUMMYFUNCTION("GoogleTranslate(C175, ""en"", ""da"")"),"Hent PRO version")</f>
        <v>Hent PRO version</v>
      </c>
      <c r="T175" s="7" t="str">
        <f>IFERROR(__xludf.DUMMYFUNCTION("GoogleTranslate(C175, ""en"", ""nl"")"),"PRO-versie downloaden")</f>
        <v>PRO-versie downloaden</v>
      </c>
      <c r="U175" s="7" t="str">
        <f>IFERROR(__xludf.DUMMYFUNCTION("GoogleTranslate(C175, ""en"", ""et"")"),"Hangi PRO versioon")</f>
        <v>Hangi PRO versioon</v>
      </c>
      <c r="V175" s="5" t="str">
        <f t="shared" si="3"/>
        <v>Get PRO version</v>
      </c>
      <c r="W175" s="7" t="str">
        <f>IFERROR(__xludf.DUMMYFUNCTION("GoogleTranslate(C175, ""en"", ""fi"")"),"Hanki PRO-versio")</f>
        <v>Hanki PRO-versio</v>
      </c>
      <c r="X175" s="7" t="str">
        <f>IFERROR(__xludf.DUMMYFUNCTION("GoogleTranslate(C175, ""en"", ""fr"")"),"Obtenir la version PRO")</f>
        <v>Obtenir la version PRO</v>
      </c>
      <c r="Y175" s="7" t="str">
        <f>IFERROR(__xludf.DUMMYFUNCTION("GoogleTranslate(C175, ""en"", ""de"")"),"Holen Sie sich die PRO-Version")</f>
        <v>Holen Sie sich die PRO-Version</v>
      </c>
      <c r="Z175" s="7" t="str">
        <f>IFERROR(__xludf.DUMMYFUNCTION("GoogleTranslate(C175, ""en"", ""el"")"),"Αποκτήστε την έκδοση PRO")</f>
        <v>Αποκτήστε την έκδοση PRO</v>
      </c>
      <c r="AA175" s="7" t="str">
        <f>IFERROR(__xludf.DUMMYFUNCTION("GoogleTranslate(C175, ""en"", ""iw"")"),"קבל גרסת PRO")</f>
        <v>קבל גרסת PRO</v>
      </c>
      <c r="AB175" s="7" t="str">
        <f>IFERROR(__xludf.DUMMYFUNCTION("GoogleTranslate(C175, ""en"", ""hi"")"),"प्रो संस्करण प्राप्त करें")</f>
        <v>प्रो संस्करण प्राप्त करें</v>
      </c>
      <c r="AC175" s="7" t="str">
        <f>IFERROR(__xludf.DUMMYFUNCTION("GoogleTranslate(C175, ""en"", ""hu"")"),"Szerezd meg a PRO verziót")</f>
        <v>Szerezd meg a PRO verziót</v>
      </c>
      <c r="AD175" s="7" t="str">
        <f>IFERROR(__xludf.DUMMYFUNCTION("GoogleTranslate(C175, ""en"", ""is"")"),"Fáðu PRO útgáfu")</f>
        <v>Fáðu PRO útgáfu</v>
      </c>
      <c r="AE175" s="7" t="str">
        <f>IFERROR(__xludf.DUMMYFUNCTION("GoogleTranslate(C175, ""en"", ""id"")"),"Dapatkan versi PRO")</f>
        <v>Dapatkan versi PRO</v>
      </c>
      <c r="AF175" s="7" t="str">
        <f>IFERROR(__xludf.DUMMYFUNCTION("GoogleTranslate(C175, ""en"", ""in"")"),"Dapatkan versi PRO")</f>
        <v>Dapatkan versi PRO</v>
      </c>
      <c r="AG175" s="7" t="str">
        <f>IFERROR(__xludf.DUMMYFUNCTION("GoogleTranslate(C175, ""en"", ""it"")"),"Ottieni la versione PRO")</f>
        <v>Ottieni la versione PRO</v>
      </c>
      <c r="AH175" s="7" t="str">
        <f>IFERROR(__xludf.DUMMYFUNCTION("GoogleTranslate(C175, ""en"", ""ja"")"),"PRO バージョンを入手")</f>
        <v>PRO バージョンを入手</v>
      </c>
      <c r="AI175" s="7" t="str">
        <f>IFERROR(__xludf.DUMMYFUNCTION("GoogleTranslate(C175, ""en"", ""kn"")"),"PRO ಆವೃತ್ತಿಯನ್ನು ಪಡೆಯಿರಿ")</f>
        <v>PRO ಆವೃತ್ತಿಯನ್ನು ಪಡೆಯಿರಿ</v>
      </c>
      <c r="AJ175" s="7" t="str">
        <f>IFERROR(__xludf.DUMMYFUNCTION("GoogleTranslate(C175, ""en"", ""km"")"),"ទទួលបានកំណែ PRO")</f>
        <v>ទទួលបានកំណែ PRO</v>
      </c>
      <c r="AK175" s="7" t="str">
        <f>IFERROR(__xludf.DUMMYFUNCTION("GoogleTranslate(C175, ""en"", ""ko"")"),"PRO 버전 받기")</f>
        <v>PRO 버전 받기</v>
      </c>
      <c r="AL175" s="7" t="str">
        <f>IFERROR(__xludf.DUMMYFUNCTION("GoogleTranslate(C175, ""en"", ""lo"")"),"ເອົາລຸ້ນ PRO")</f>
        <v>ເອົາລຸ້ນ PRO</v>
      </c>
      <c r="AM175" s="7" t="str">
        <f>IFERROR(__xludf.DUMMYFUNCTION("GoogleTranslate(C175, ""en"", ""lv"")"),"Iegūstiet PRO versiju")</f>
        <v>Iegūstiet PRO versiju</v>
      </c>
      <c r="AN175" s="7" t="str">
        <f>IFERROR(__xludf.DUMMYFUNCTION("GoogleTranslate(C175, ""en"", ""lt"")"),"Gaukite PRO versiją")</f>
        <v>Gaukite PRO versiją</v>
      </c>
      <c r="AO175" s="7" t="str">
        <f>IFERROR(__xludf.DUMMYFUNCTION("GoogleTranslate(C175, ""en"", ""mk"")"),"Добијте PRO верзија")</f>
        <v>Добијте PRO верзија</v>
      </c>
      <c r="AP175" s="7" t="str">
        <f>IFERROR(__xludf.DUMMYFUNCTION("GoogleTranslate(C175, ""en"", ""ms"")"),"Dapatkan versi PRO")</f>
        <v>Dapatkan versi PRO</v>
      </c>
      <c r="AQ175" s="7" t="str">
        <f>IFERROR(__xludf.DUMMYFUNCTION("GoogleTranslate(C175, ""en"", ""ml"")"),"PRO പതിപ്പ് നേടുക")</f>
        <v>PRO പതിപ്പ് നേടുക</v>
      </c>
      <c r="AR175" s="7" t="str">
        <f>IFERROR(__xludf.DUMMYFUNCTION("GoogleTranslate(C175, ""en"", ""mr"")"),"PRO आवृत्ती मिळवा")</f>
        <v>PRO आवृत्ती मिळवा</v>
      </c>
      <c r="AS175" s="7" t="str">
        <f>IFERROR(__xludf.DUMMYFUNCTION("GoogleTranslate(C175, ""en"", ""mn"")"),"PRO хувилбарыг аваарай")</f>
        <v>PRO хувилбарыг аваарай</v>
      </c>
      <c r="AT175" s="7" t="str">
        <f>IFERROR(__xludf.DUMMYFUNCTION("GoogleTranslate(C175, ""en"", ""ne"")"),"प्रो संस्करण प्राप्त गर्नुहोस्")</f>
        <v>प्रो संस्करण प्राप्त गर्नुहोस्</v>
      </c>
      <c r="AU175" s="7" t="str">
        <f>IFERROR(__xludf.DUMMYFUNCTION("GoogleTranslate(C175, ""en"", ""nb"")"),"Få PRO-versjonen")</f>
        <v>Få PRO-versjonen</v>
      </c>
      <c r="AV175" s="7" t="str">
        <f>IFERROR(__xludf.DUMMYFUNCTION("GoogleTranslate(C175, ""en"", ""fa"")"),"نسخه PRO را دریافت کنید")</f>
        <v>نسخه PRO را دریافت کنید</v>
      </c>
      <c r="AW175" s="7" t="str">
        <f>IFERROR(__xludf.DUMMYFUNCTION("GoogleTranslate(C175, ""en"", ""pl"")"),"Uzyskaj wersję PRO")</f>
        <v>Uzyskaj wersję PRO</v>
      </c>
      <c r="AX175" s="7" t="str">
        <f>IFERROR(__xludf.DUMMYFUNCTION("GoogleTranslate(C175, ""en"", ""pt"")"),"Obtenha a versão PRO")</f>
        <v>Obtenha a versão PRO</v>
      </c>
      <c r="AY175" s="7" t="str">
        <f>IFERROR(__xludf.DUMMYFUNCTION("GoogleTranslate(C175, ""en"", ""ro"")"),"Obțineți versiunea PRO")</f>
        <v>Obțineți versiunea PRO</v>
      </c>
      <c r="AZ175" s="7" t="str">
        <f>IFERROR(__xludf.DUMMYFUNCTION("GoogleTranslate(C175, ""en"", ""ru"")"),"Получить ПРО версию")</f>
        <v>Получить ПРО версию</v>
      </c>
      <c r="BA175" s="7" t="str">
        <f>IFERROR(__xludf.DUMMYFUNCTION("GoogleTranslate(C175, ""en"", ""sr"")"),"Преузмите ПРО верзију")</f>
        <v>Преузмите ПРО верзију</v>
      </c>
      <c r="BB175" s="7" t="str">
        <f>IFERROR(__xludf.DUMMYFUNCTION("GoogleTranslate(C175, ""en"", ""si"")"),"PRO අනුවාදය ලබා ගන්න")</f>
        <v>PRO අනුවාදය ලබා ගන්න</v>
      </c>
      <c r="BC175" s="7" t="str">
        <f>IFERROR(__xludf.DUMMYFUNCTION("GoogleTranslate(C175, ""en"", ""sk"")"),"Získajte verziu PRO")</f>
        <v>Získajte verziu PRO</v>
      </c>
      <c r="BD175" s="7" t="str">
        <f>IFERROR(__xludf.DUMMYFUNCTION("GoogleTranslate(C175, ""en"", ""sl"")"),"Pridobite različico PRO")</f>
        <v>Pridobite različico PRO</v>
      </c>
      <c r="BE175" s="7" t="str">
        <f>IFERROR(__xludf.DUMMYFUNCTION("GoogleTranslate(C175, ""en"", ""es"")"),"Obtener la versión PRO")</f>
        <v>Obtener la versión PRO</v>
      </c>
      <c r="BF175" s="7" t="str">
        <f>IFERROR(__xludf.DUMMYFUNCTION("GoogleTranslate(C175, ""en"", ""sw"")"),"Pata toleo la PRO")</f>
        <v>Pata toleo la PRO</v>
      </c>
      <c r="BG175" s="7" t="str">
        <f>IFERROR(__xludf.DUMMYFUNCTION("GoogleTranslate(C175, ""en"", ""sv"")"),"Skaffa PRO-versionen")</f>
        <v>Skaffa PRO-versionen</v>
      </c>
      <c r="BH175" s="7" t="str">
        <f>IFERROR(__xludf.DUMMYFUNCTION("GoogleTranslate(C175, ""en"", ""te"")"),"PRO సంస్కరణను పొందండి")</f>
        <v>PRO సంస్కరణను పొందండి</v>
      </c>
      <c r="BI175" s="7" t="str">
        <f>IFERROR(__xludf.DUMMYFUNCTION("GoogleTranslate(C175, ""en"", ""th"")"),"รับรุ่น PRO")</f>
        <v>รับรุ่น PRO</v>
      </c>
      <c r="BJ175" s="7" t="str">
        <f>IFERROR(__xludf.DUMMYFUNCTION("GoogleTranslate(C175, ""en"", ""tr"")"),"PRO sürümünü edinin")</f>
        <v>PRO sürümünü edinin</v>
      </c>
      <c r="BK175" s="7" t="str">
        <f>IFERROR(__xludf.DUMMYFUNCTION("GoogleTranslate(C175, ""en"", ""uk"")"),"Отримати PRO версію")</f>
        <v>Отримати PRO версію</v>
      </c>
      <c r="BL175" s="7" t="str">
        <f>IFERROR(__xludf.DUMMYFUNCTION("GoogleTranslate(C175, ""en"", ""zu"")"),"Thola inguqulo ye-PRO")</f>
        <v>Thola inguqulo ye-PRO</v>
      </c>
    </row>
    <row r="176">
      <c r="A176" s="5" t="str">
        <f t="shared" si="1"/>
        <v>Languages</v>
      </c>
      <c r="B176" s="6" t="s">
        <v>229</v>
      </c>
      <c r="C176" s="5" t="str">
        <f t="shared" si="2"/>
        <v>Languages</v>
      </c>
      <c r="D176" s="7" t="str">
        <f>IFERROR(__xludf.DUMMYFUNCTION("GoogleTranslate(C176, ""en"", ""es"")"),"Idiomas")</f>
        <v>Idiomas</v>
      </c>
      <c r="E176" s="7" t="str">
        <f>IFERROR(__xludf.DUMMYFUNCTION("GoogleTranslate(C176, ""en"", ""ar"")"),"اللغات")</f>
        <v>اللغات</v>
      </c>
      <c r="F176" s="7" t="str">
        <f>IFERROR(__xludf.DUMMYFUNCTION("GoogleTranslate(C176, ""en"", ""hy"")"),"Լեզուներ")</f>
        <v>Լեզուներ</v>
      </c>
      <c r="G176" s="7" t="str">
        <f>IFERROR(__xludf.DUMMYFUNCTION("GoogleTranslate(C176, ""en"", ""vi"")"),"Ngôn ngữ")</f>
        <v>Ngôn ngữ</v>
      </c>
      <c r="H176" s="7" t="str">
        <f>IFERROR(__xludf.DUMMYFUNCTION("GoogleTranslate(C176, ""en"", ""az"")"),"Dillər")</f>
        <v>Dillər</v>
      </c>
      <c r="I176" s="7" t="str">
        <f>IFERROR(__xludf.DUMMYFUNCTION("GoogleTranslate(C176, ""en"", ""eu"")"),"Hizkuntzak")</f>
        <v>Hizkuntzak</v>
      </c>
      <c r="J176" s="7" t="str">
        <f>IFERROR(__xludf.DUMMYFUNCTION("GoogleTranslate(C176, ""en"", ""be"")"),"Мовы")</f>
        <v>Мовы</v>
      </c>
      <c r="K176" s="7" t="str">
        <f>IFERROR(__xludf.DUMMYFUNCTION("GoogleTranslate(C176, ""en"", ""bn"")"),"ভাষা")</f>
        <v>ভাষা</v>
      </c>
      <c r="L176" s="7" t="str">
        <f>IFERROR(__xludf.DUMMYFUNCTION("GoogleTranslate(C176, ""en"", ""bg"")"),"Езици")</f>
        <v>Езици</v>
      </c>
      <c r="M176" s="7" t="str">
        <f>IFERROR(__xludf.DUMMYFUNCTION("GoogleTranslate(C176, ""en"", ""my"")"),"ဘာသာစကားများ")</f>
        <v>ဘာသာစကားများ</v>
      </c>
      <c r="N176" s="7" t="str">
        <f>IFERROR(__xludf.DUMMYFUNCTION("GoogleTranslate(C176, ""en"", ""ca"")"),"Idiomes")</f>
        <v>Idiomes</v>
      </c>
      <c r="O176" s="7" t="str">
        <f>IFERROR(__xludf.DUMMYFUNCTION("GoogleTranslate(C176, ""en"", ""zh-cn"")"),"语言")</f>
        <v>语言</v>
      </c>
      <c r="P176" s="7" t="str">
        <f>IFERROR(__xludf.DUMMYFUNCTION("GoogleTranslate(C176, ""en"", ""zh-TW"")"),"語言")</f>
        <v>語言</v>
      </c>
      <c r="Q176" s="7" t="str">
        <f>IFERROR(__xludf.DUMMYFUNCTION("GoogleTranslate(C176, ""en"", ""hr"")"),"jezici")</f>
        <v>jezici</v>
      </c>
      <c r="R176" s="7" t="str">
        <f>IFERROR(__xludf.DUMMYFUNCTION("GoogleTranslate(C176, ""en"", ""cs"")"),"Jazyky")</f>
        <v>Jazyky</v>
      </c>
      <c r="S176" s="7" t="str">
        <f>IFERROR(__xludf.DUMMYFUNCTION("GoogleTranslate(C176, ""en"", ""da"")"),"Sprog")</f>
        <v>Sprog</v>
      </c>
      <c r="T176" s="7" t="str">
        <f>IFERROR(__xludf.DUMMYFUNCTION("GoogleTranslate(C176, ""en"", ""nl"")"),"Talen")</f>
        <v>Talen</v>
      </c>
      <c r="U176" s="7" t="str">
        <f>IFERROR(__xludf.DUMMYFUNCTION("GoogleTranslate(C176, ""en"", ""et"")"),"Keeled")</f>
        <v>Keeled</v>
      </c>
      <c r="V176" s="5" t="str">
        <f t="shared" si="3"/>
        <v>Languages</v>
      </c>
      <c r="W176" s="7" t="str">
        <f>IFERROR(__xludf.DUMMYFUNCTION("GoogleTranslate(C176, ""en"", ""fi"")"),"Kielet")</f>
        <v>Kielet</v>
      </c>
      <c r="X176" s="7" t="str">
        <f>IFERROR(__xludf.DUMMYFUNCTION("GoogleTranslate(C176, ""en"", ""fr"")"),"Langues")</f>
        <v>Langues</v>
      </c>
      <c r="Y176" s="7" t="str">
        <f>IFERROR(__xludf.DUMMYFUNCTION("GoogleTranslate(C176, ""en"", ""de"")"),"Sprachen")</f>
        <v>Sprachen</v>
      </c>
      <c r="Z176" s="7" t="str">
        <f>IFERROR(__xludf.DUMMYFUNCTION("GoogleTranslate(C176, ""en"", ""el"")"),"Γλώσσες")</f>
        <v>Γλώσσες</v>
      </c>
      <c r="AA176" s="7" t="str">
        <f>IFERROR(__xludf.DUMMYFUNCTION("GoogleTranslate(C176, ""en"", ""iw"")"),"שפות")</f>
        <v>שפות</v>
      </c>
      <c r="AB176" s="7" t="str">
        <f>IFERROR(__xludf.DUMMYFUNCTION("GoogleTranslate(C176, ""en"", ""hi"")"),"बोली")</f>
        <v>बोली</v>
      </c>
      <c r="AC176" s="7" t="str">
        <f>IFERROR(__xludf.DUMMYFUNCTION("GoogleTranslate(C176, ""en"", ""hu"")"),"Nyelvek")</f>
        <v>Nyelvek</v>
      </c>
      <c r="AD176" s="7" t="str">
        <f>IFERROR(__xludf.DUMMYFUNCTION("GoogleTranslate(C176, ""en"", ""is"")"),"Tungumál")</f>
        <v>Tungumál</v>
      </c>
      <c r="AE176" s="7" t="str">
        <f>IFERROR(__xludf.DUMMYFUNCTION("GoogleTranslate(C176, ""en"", ""id"")"),"Bahasa")</f>
        <v>Bahasa</v>
      </c>
      <c r="AF176" s="7" t="str">
        <f>IFERROR(__xludf.DUMMYFUNCTION("GoogleTranslate(C176, ""en"", ""in"")"),"Bahasa")</f>
        <v>Bahasa</v>
      </c>
      <c r="AG176" s="7" t="str">
        <f>IFERROR(__xludf.DUMMYFUNCTION("GoogleTranslate(C176, ""en"", ""it"")"),"Lingue")</f>
        <v>Lingue</v>
      </c>
      <c r="AH176" s="7" t="str">
        <f>IFERROR(__xludf.DUMMYFUNCTION("GoogleTranslate(C176, ""en"", ""ja"")"),"言語")</f>
        <v>言語</v>
      </c>
      <c r="AI176" s="7" t="str">
        <f>IFERROR(__xludf.DUMMYFUNCTION("GoogleTranslate(C176, ""en"", ""kn"")"),"ಭಾಷೆಗಳು")</f>
        <v>ಭಾಷೆಗಳು</v>
      </c>
      <c r="AJ176" s="7" t="str">
        <f>IFERROR(__xludf.DUMMYFUNCTION("GoogleTranslate(C176, ""en"", ""km"")"),"ភាសា")</f>
        <v>ភាសា</v>
      </c>
      <c r="AK176" s="7" t="str">
        <f>IFERROR(__xludf.DUMMYFUNCTION("GoogleTranslate(C176, ""en"", ""ko"")"),"언어")</f>
        <v>언어</v>
      </c>
      <c r="AL176" s="7" t="str">
        <f>IFERROR(__xludf.DUMMYFUNCTION("GoogleTranslate(C176, ""en"", ""lo"")"),"ພາສາ")</f>
        <v>ພາສາ</v>
      </c>
      <c r="AM176" s="7" t="str">
        <f>IFERROR(__xludf.DUMMYFUNCTION("GoogleTranslate(C176, ""en"", ""lv"")"),"Valodas")</f>
        <v>Valodas</v>
      </c>
      <c r="AN176" s="7" t="str">
        <f>IFERROR(__xludf.DUMMYFUNCTION("GoogleTranslate(C176, ""en"", ""lt"")"),"Kalbos")</f>
        <v>Kalbos</v>
      </c>
      <c r="AO176" s="7" t="str">
        <f>IFERROR(__xludf.DUMMYFUNCTION("GoogleTranslate(C176, ""en"", ""mk"")"),"Јазици")</f>
        <v>Јазици</v>
      </c>
      <c r="AP176" s="7" t="str">
        <f>IFERROR(__xludf.DUMMYFUNCTION("GoogleTranslate(C176, ""en"", ""ms"")"),"Bahasa")</f>
        <v>Bahasa</v>
      </c>
      <c r="AQ176" s="7" t="str">
        <f>IFERROR(__xludf.DUMMYFUNCTION("GoogleTranslate(C176, ""en"", ""ml"")"),"ഭാഷകൾ")</f>
        <v>ഭാഷകൾ</v>
      </c>
      <c r="AR176" s="7" t="str">
        <f>IFERROR(__xludf.DUMMYFUNCTION("GoogleTranslate(C176, ""en"", ""mr"")"),"भाषा")</f>
        <v>भाषा</v>
      </c>
      <c r="AS176" s="7" t="str">
        <f>IFERROR(__xludf.DUMMYFUNCTION("GoogleTranslate(C176, ""en"", ""mn"")"),"Хэлнүүд")</f>
        <v>Хэлнүүд</v>
      </c>
      <c r="AT176" s="7" t="str">
        <f>IFERROR(__xludf.DUMMYFUNCTION("GoogleTranslate(C176, ""en"", ""ne"")"),"भाषाहरू")</f>
        <v>भाषाहरू</v>
      </c>
      <c r="AU176" s="7" t="str">
        <f>IFERROR(__xludf.DUMMYFUNCTION("GoogleTranslate(C176, ""en"", ""nb"")"),"Språk")</f>
        <v>Språk</v>
      </c>
      <c r="AV176" s="7" t="str">
        <f>IFERROR(__xludf.DUMMYFUNCTION("GoogleTranslate(C176, ""en"", ""fa"")"),"زبان ها")</f>
        <v>زبان ها</v>
      </c>
      <c r="AW176" s="7" t="str">
        <f>IFERROR(__xludf.DUMMYFUNCTION("GoogleTranslate(C176, ""en"", ""pl"")"),"Języki")</f>
        <v>Języki</v>
      </c>
      <c r="AX176" s="7" t="str">
        <f>IFERROR(__xludf.DUMMYFUNCTION("GoogleTranslate(C176, ""en"", ""pt"")"),"Idiomas")</f>
        <v>Idiomas</v>
      </c>
      <c r="AY176" s="7" t="str">
        <f>IFERROR(__xludf.DUMMYFUNCTION("GoogleTranslate(C176, ""en"", ""ro"")"),"Limbi")</f>
        <v>Limbi</v>
      </c>
      <c r="AZ176" s="7" t="str">
        <f>IFERROR(__xludf.DUMMYFUNCTION("GoogleTranslate(C176, ""en"", ""ru"")"),"Языки")</f>
        <v>Языки</v>
      </c>
      <c r="BA176" s="7" t="str">
        <f>IFERROR(__xludf.DUMMYFUNCTION("GoogleTranslate(C176, ""en"", ""sr"")"),"Језици")</f>
        <v>Језици</v>
      </c>
      <c r="BB176" s="7" t="str">
        <f>IFERROR(__xludf.DUMMYFUNCTION("GoogleTranslate(C176, ""en"", ""si"")"),"භාෂා")</f>
        <v>භාෂා</v>
      </c>
      <c r="BC176" s="7" t="str">
        <f>IFERROR(__xludf.DUMMYFUNCTION("GoogleTranslate(C176, ""en"", ""sk"")"),"Jazyky")</f>
        <v>Jazyky</v>
      </c>
      <c r="BD176" s="7" t="str">
        <f>IFERROR(__xludf.DUMMYFUNCTION("GoogleTranslate(C176, ""en"", ""sl"")"),"Jeziki")</f>
        <v>Jeziki</v>
      </c>
      <c r="BE176" s="7" t="str">
        <f>IFERROR(__xludf.DUMMYFUNCTION("GoogleTranslate(C176, ""en"", ""es"")"),"Idiomas")</f>
        <v>Idiomas</v>
      </c>
      <c r="BF176" s="7" t="str">
        <f>IFERROR(__xludf.DUMMYFUNCTION("GoogleTranslate(C176, ""en"", ""sw"")"),"Lugha")</f>
        <v>Lugha</v>
      </c>
      <c r="BG176" s="7" t="str">
        <f>IFERROR(__xludf.DUMMYFUNCTION("GoogleTranslate(C176, ""en"", ""sv"")"),"Språk")</f>
        <v>Språk</v>
      </c>
      <c r="BH176" s="7" t="str">
        <f>IFERROR(__xludf.DUMMYFUNCTION("GoogleTranslate(C176, ""en"", ""te"")"),"భాషలు")</f>
        <v>భాషలు</v>
      </c>
      <c r="BI176" s="7" t="str">
        <f>IFERROR(__xludf.DUMMYFUNCTION("GoogleTranslate(C176, ""en"", ""th"")"),"ภาษา")</f>
        <v>ภาษา</v>
      </c>
      <c r="BJ176" s="7" t="str">
        <f>IFERROR(__xludf.DUMMYFUNCTION("GoogleTranslate(C176, ""en"", ""tr"")"),"Diller")</f>
        <v>Diller</v>
      </c>
      <c r="BK176" s="7" t="str">
        <f>IFERROR(__xludf.DUMMYFUNCTION("GoogleTranslate(C176, ""en"", ""uk"")"),"Мови")</f>
        <v>Мови</v>
      </c>
      <c r="BL176" s="7" t="str">
        <f>IFERROR(__xludf.DUMMYFUNCTION("GoogleTranslate(C176, ""en"", ""zu"")"),"Izilimi")</f>
        <v>Izilimi</v>
      </c>
    </row>
    <row r="177">
      <c r="A177" s="5" t="str">
        <f t="shared" si="1"/>
        <v>Developers</v>
      </c>
      <c r="B177" s="6" t="s">
        <v>230</v>
      </c>
      <c r="C177" s="5" t="str">
        <f t="shared" si="2"/>
        <v>Developers</v>
      </c>
      <c r="D177" s="7" t="str">
        <f>IFERROR(__xludf.DUMMYFUNCTION("GoogleTranslate(C177, ""en"", ""es"")"),"Desarrolladores")</f>
        <v>Desarrolladores</v>
      </c>
      <c r="E177" s="7" t="str">
        <f>IFERROR(__xludf.DUMMYFUNCTION("GoogleTranslate(C177, ""en"", ""ar"")"),"المطورين")</f>
        <v>المطورين</v>
      </c>
      <c r="F177" s="7" t="str">
        <f>IFERROR(__xludf.DUMMYFUNCTION("GoogleTranslate(C177, ""en"", ""hy"")"),"Կառուցապատողներ")</f>
        <v>Կառուցապատողներ</v>
      </c>
      <c r="G177" s="7" t="str">
        <f>IFERROR(__xludf.DUMMYFUNCTION("GoogleTranslate(C177, ""en"", ""vi"")"),"Nhà phát triển")</f>
        <v>Nhà phát triển</v>
      </c>
      <c r="H177" s="7" t="str">
        <f>IFERROR(__xludf.DUMMYFUNCTION("GoogleTranslate(C177, ""en"", ""az"")"),"Tərtibatçılar")</f>
        <v>Tərtibatçılar</v>
      </c>
      <c r="I177" s="7" t="str">
        <f>IFERROR(__xludf.DUMMYFUNCTION("GoogleTranslate(C177, ""en"", ""eu"")"),"Garatzaileak")</f>
        <v>Garatzaileak</v>
      </c>
      <c r="J177" s="7" t="str">
        <f>IFERROR(__xludf.DUMMYFUNCTION("GoogleTranslate(C177, ""en"", ""be"")"),"Распрацоўшчыкі")</f>
        <v>Распрацоўшчыкі</v>
      </c>
      <c r="K177" s="7" t="str">
        <f>IFERROR(__xludf.DUMMYFUNCTION("GoogleTranslate(C177, ""en"", ""bn"")"),"বিকাশকারীরা")</f>
        <v>বিকাশকারীরা</v>
      </c>
      <c r="L177" s="7" t="str">
        <f>IFERROR(__xludf.DUMMYFUNCTION("GoogleTranslate(C177, ""en"", ""bg"")"),"Разработчици")</f>
        <v>Разработчици</v>
      </c>
      <c r="M177" s="7" t="str">
        <f>IFERROR(__xludf.DUMMYFUNCTION("GoogleTranslate(C177, ""en"", ""my"")"),"Developer များ")</f>
        <v>Developer များ</v>
      </c>
      <c r="N177" s="7" t="str">
        <f>IFERROR(__xludf.DUMMYFUNCTION("GoogleTranslate(C177, ""en"", ""ca"")"),"Desenvolupadors")</f>
        <v>Desenvolupadors</v>
      </c>
      <c r="O177" s="7" t="str">
        <f>IFERROR(__xludf.DUMMYFUNCTION("GoogleTranslate(C177, ""en"", ""zh-cn"")"),"开发商")</f>
        <v>开发商</v>
      </c>
      <c r="P177" s="7" t="str">
        <f>IFERROR(__xludf.DUMMYFUNCTION("GoogleTranslate(C177, ""en"", ""zh-TW"")"),"開發商")</f>
        <v>開發商</v>
      </c>
      <c r="Q177" s="7" t="str">
        <f>IFERROR(__xludf.DUMMYFUNCTION("GoogleTranslate(C177, ""en"", ""hr"")"),"Programeri")</f>
        <v>Programeri</v>
      </c>
      <c r="R177" s="7" t="str">
        <f>IFERROR(__xludf.DUMMYFUNCTION("GoogleTranslate(C177, ""en"", ""cs"")"),"Vývojáři")</f>
        <v>Vývojáři</v>
      </c>
      <c r="S177" s="7" t="str">
        <f>IFERROR(__xludf.DUMMYFUNCTION("GoogleTranslate(C177, ""en"", ""da"")"),"Udviklere")</f>
        <v>Udviklere</v>
      </c>
      <c r="T177" s="7" t="str">
        <f>IFERROR(__xludf.DUMMYFUNCTION("GoogleTranslate(C177, ""en"", ""nl"")"),"Ontwikkelaars")</f>
        <v>Ontwikkelaars</v>
      </c>
      <c r="U177" s="7" t="str">
        <f>IFERROR(__xludf.DUMMYFUNCTION("GoogleTranslate(C177, ""en"", ""et"")"),"Arendajad")</f>
        <v>Arendajad</v>
      </c>
      <c r="V177" s="5" t="str">
        <f t="shared" si="3"/>
        <v>Developers</v>
      </c>
      <c r="W177" s="7" t="str">
        <f>IFERROR(__xludf.DUMMYFUNCTION("GoogleTranslate(C177, ""en"", ""fi"")"),"Kehittäjät")</f>
        <v>Kehittäjät</v>
      </c>
      <c r="X177" s="7" t="str">
        <f>IFERROR(__xludf.DUMMYFUNCTION("GoogleTranslate(C177, ""en"", ""fr"")"),"Développeurs")</f>
        <v>Développeurs</v>
      </c>
      <c r="Y177" s="7" t="str">
        <f>IFERROR(__xludf.DUMMYFUNCTION("GoogleTranslate(C177, ""en"", ""de"")"),"Entwickler")</f>
        <v>Entwickler</v>
      </c>
      <c r="Z177" s="7" t="str">
        <f>IFERROR(__xludf.DUMMYFUNCTION("GoogleTranslate(C177, ""en"", ""el"")"),"προγραμματιστές")</f>
        <v>προγραμματιστές</v>
      </c>
      <c r="AA177" s="7" t="str">
        <f>IFERROR(__xludf.DUMMYFUNCTION("GoogleTranslate(C177, ""en"", ""iw"")"),"מפתחים")</f>
        <v>מפתחים</v>
      </c>
      <c r="AB177" s="7" t="str">
        <f>IFERROR(__xludf.DUMMYFUNCTION("GoogleTranslate(C177, ""en"", ""hi"")"),"डेवलपर्स")</f>
        <v>डेवलपर्स</v>
      </c>
      <c r="AC177" s="7" t="str">
        <f>IFERROR(__xludf.DUMMYFUNCTION("GoogleTranslate(C177, ""en"", ""hu"")"),"Fejlesztők")</f>
        <v>Fejlesztők</v>
      </c>
      <c r="AD177" s="7" t="str">
        <f>IFERROR(__xludf.DUMMYFUNCTION("GoogleTranslate(C177, ""en"", ""is"")"),"Hönnuðir")</f>
        <v>Hönnuðir</v>
      </c>
      <c r="AE177" s="7" t="str">
        <f>IFERROR(__xludf.DUMMYFUNCTION("GoogleTranslate(C177, ""en"", ""id"")"),"Pengembang")</f>
        <v>Pengembang</v>
      </c>
      <c r="AF177" s="7" t="str">
        <f>IFERROR(__xludf.DUMMYFUNCTION("GoogleTranslate(C177, ""en"", ""in"")"),"Pengembang")</f>
        <v>Pengembang</v>
      </c>
      <c r="AG177" s="7" t="str">
        <f>IFERROR(__xludf.DUMMYFUNCTION("GoogleTranslate(C177, ""en"", ""it"")"),"Sviluppatori")</f>
        <v>Sviluppatori</v>
      </c>
      <c r="AH177" s="7" t="str">
        <f>IFERROR(__xludf.DUMMYFUNCTION("GoogleTranslate(C177, ""en"", ""ja"")"),"開発者")</f>
        <v>開発者</v>
      </c>
      <c r="AI177" s="7" t="str">
        <f>IFERROR(__xludf.DUMMYFUNCTION("GoogleTranslate(C177, ""en"", ""kn"")"),"ಡೆವಲಪರ್‌ಗಳು")</f>
        <v>ಡೆವಲಪರ್‌ಗಳು</v>
      </c>
      <c r="AJ177" s="7" t="str">
        <f>IFERROR(__xludf.DUMMYFUNCTION("GoogleTranslate(C177, ""en"", ""km"")"),"អ្នកអភិវឌ្ឍន៍")</f>
        <v>អ្នកអភិវឌ្ឍន៍</v>
      </c>
      <c r="AK177" s="7" t="str">
        <f>IFERROR(__xludf.DUMMYFUNCTION("GoogleTranslate(C177, ""en"", ""ko"")"),"개발자")</f>
        <v>개발자</v>
      </c>
      <c r="AL177" s="7" t="str">
        <f>IFERROR(__xludf.DUMMYFUNCTION("GoogleTranslate(C177, ""en"", ""lo"")"),"ນັກພັດທະນາ")</f>
        <v>ນັກພັດທະນາ</v>
      </c>
      <c r="AM177" s="7" t="str">
        <f>IFERROR(__xludf.DUMMYFUNCTION("GoogleTranslate(C177, ""en"", ""lv"")"),"Izstrādātāji")</f>
        <v>Izstrādātāji</v>
      </c>
      <c r="AN177" s="7" t="str">
        <f>IFERROR(__xludf.DUMMYFUNCTION("GoogleTranslate(C177, ""en"", ""lt"")"),"Kūrėjai")</f>
        <v>Kūrėjai</v>
      </c>
      <c r="AO177" s="7" t="str">
        <f>IFERROR(__xludf.DUMMYFUNCTION("GoogleTranslate(C177, ""en"", ""mk"")"),"Програмери")</f>
        <v>Програмери</v>
      </c>
      <c r="AP177" s="7" t="str">
        <f>IFERROR(__xludf.DUMMYFUNCTION("GoogleTranslate(C177, ""en"", ""ms"")"),"pemaju")</f>
        <v>pemaju</v>
      </c>
      <c r="AQ177" s="7" t="str">
        <f>IFERROR(__xludf.DUMMYFUNCTION("GoogleTranslate(C177, ""en"", ""ml"")"),"ഡെവലപ്പർമാർ")</f>
        <v>ഡെവലപ്പർമാർ</v>
      </c>
      <c r="AR177" s="7" t="str">
        <f>IFERROR(__xludf.DUMMYFUNCTION("GoogleTranslate(C177, ""en"", ""mr"")"),"विकसक")</f>
        <v>विकसक</v>
      </c>
      <c r="AS177" s="7" t="str">
        <f>IFERROR(__xludf.DUMMYFUNCTION("GoogleTranslate(C177, ""en"", ""mn"")"),"Хөгжүүлэгчид")</f>
        <v>Хөгжүүлэгчид</v>
      </c>
      <c r="AT177" s="7" t="str">
        <f>IFERROR(__xludf.DUMMYFUNCTION("GoogleTranslate(C177, ""en"", ""ne"")"),"विकासकर्ताहरू")</f>
        <v>विकासकर्ताहरू</v>
      </c>
      <c r="AU177" s="7" t="str">
        <f>IFERROR(__xludf.DUMMYFUNCTION("GoogleTranslate(C177, ""en"", ""nb"")"),"Utviklere")</f>
        <v>Utviklere</v>
      </c>
      <c r="AV177" s="7" t="str">
        <f>IFERROR(__xludf.DUMMYFUNCTION("GoogleTranslate(C177, ""en"", ""fa"")"),"توسعه دهندگان")</f>
        <v>توسعه دهندگان</v>
      </c>
      <c r="AW177" s="7" t="str">
        <f>IFERROR(__xludf.DUMMYFUNCTION("GoogleTranslate(C177, ""en"", ""pl"")"),"Deweloperzy")</f>
        <v>Deweloperzy</v>
      </c>
      <c r="AX177" s="7" t="str">
        <f>IFERROR(__xludf.DUMMYFUNCTION("GoogleTranslate(C177, ""en"", ""pt"")"),"Desenvolvedores")</f>
        <v>Desenvolvedores</v>
      </c>
      <c r="AY177" s="7" t="str">
        <f>IFERROR(__xludf.DUMMYFUNCTION("GoogleTranslate(C177, ""en"", ""ro"")"),"Dezvoltatori")</f>
        <v>Dezvoltatori</v>
      </c>
      <c r="AZ177" s="7" t="str">
        <f>IFERROR(__xludf.DUMMYFUNCTION("GoogleTranslate(C177, ""en"", ""ru"")"),"Разработчики")</f>
        <v>Разработчики</v>
      </c>
      <c r="BA177" s="7" t="str">
        <f>IFERROR(__xludf.DUMMYFUNCTION("GoogleTranslate(C177, ""en"", ""sr"")"),"Девелоперс")</f>
        <v>Девелоперс</v>
      </c>
      <c r="BB177" s="7" t="str">
        <f>IFERROR(__xludf.DUMMYFUNCTION("GoogleTranslate(C177, ""en"", ""si"")"),"සංවර්ධකයින්")</f>
        <v>සංවර්ධකයින්</v>
      </c>
      <c r="BC177" s="7" t="str">
        <f>IFERROR(__xludf.DUMMYFUNCTION("GoogleTranslate(C177, ""en"", ""sk"")"),"Vývojári")</f>
        <v>Vývojári</v>
      </c>
      <c r="BD177" s="7" t="str">
        <f>IFERROR(__xludf.DUMMYFUNCTION("GoogleTranslate(C177, ""en"", ""sl"")"),"Razvijalci")</f>
        <v>Razvijalci</v>
      </c>
      <c r="BE177" s="7" t="str">
        <f>IFERROR(__xludf.DUMMYFUNCTION("GoogleTranslate(C177, ""en"", ""es"")"),"Desarrolladores")</f>
        <v>Desarrolladores</v>
      </c>
      <c r="BF177" s="7" t="str">
        <f>IFERROR(__xludf.DUMMYFUNCTION("GoogleTranslate(C177, ""en"", ""sw"")"),"Watengenezaji")</f>
        <v>Watengenezaji</v>
      </c>
      <c r="BG177" s="7" t="str">
        <f>IFERROR(__xludf.DUMMYFUNCTION("GoogleTranslate(C177, ""en"", ""sv"")"),"Utvecklare")</f>
        <v>Utvecklare</v>
      </c>
      <c r="BH177" s="7" t="str">
        <f>IFERROR(__xludf.DUMMYFUNCTION("GoogleTranslate(C177, ""en"", ""te"")"),"డెవలపర్లు")</f>
        <v>డెవలపర్లు</v>
      </c>
      <c r="BI177" s="7" t="str">
        <f>IFERROR(__xludf.DUMMYFUNCTION("GoogleTranslate(C177, ""en"", ""th"")"),"นักพัฒนา")</f>
        <v>นักพัฒนา</v>
      </c>
      <c r="BJ177" s="7" t="str">
        <f>IFERROR(__xludf.DUMMYFUNCTION("GoogleTranslate(C177, ""en"", ""tr"")"),"Geliştiriciler")</f>
        <v>Geliştiriciler</v>
      </c>
      <c r="BK177" s="7" t="str">
        <f>IFERROR(__xludf.DUMMYFUNCTION("GoogleTranslate(C177, ""en"", ""uk"")"),"Розробники")</f>
        <v>Розробники</v>
      </c>
      <c r="BL177" s="7" t="str">
        <f>IFERROR(__xludf.DUMMYFUNCTION("GoogleTranslate(C177, ""en"", ""zu"")"),"Onjiniyela")</f>
        <v>Onjiniyela</v>
      </c>
    </row>
    <row r="178">
      <c r="A178" s="5" t="str">
        <f t="shared" si="1"/>
        <v>Rate_me</v>
      </c>
      <c r="B178" s="6" t="s">
        <v>231</v>
      </c>
      <c r="C178" s="5" t="str">
        <f t="shared" si="2"/>
        <v>Rate me</v>
      </c>
      <c r="D178" s="7" t="str">
        <f>IFERROR(__xludf.DUMMYFUNCTION("GoogleTranslate(C178, ""en"", ""es"")"),"Califícame")</f>
        <v>Califícame</v>
      </c>
      <c r="E178" s="7" t="str">
        <f>IFERROR(__xludf.DUMMYFUNCTION("GoogleTranslate(C178, ""en"", ""ar"")"),"قيمني")</f>
        <v>قيمني</v>
      </c>
      <c r="F178" s="7" t="str">
        <f>IFERROR(__xludf.DUMMYFUNCTION("GoogleTranslate(C178, ""en"", ""hy"")"),"Գնահատեք ինձ")</f>
        <v>Գնահատեք ինձ</v>
      </c>
      <c r="G178" s="7" t="str">
        <f>IFERROR(__xludf.DUMMYFUNCTION("GoogleTranslate(C178, ""en"", ""vi"")"),"Đánh giá tôi")</f>
        <v>Đánh giá tôi</v>
      </c>
      <c r="H178" s="7" t="str">
        <f>IFERROR(__xludf.DUMMYFUNCTION("GoogleTranslate(C178, ""en"", ""az"")"),"Mənə qiymət verin")</f>
        <v>Mənə qiymət verin</v>
      </c>
      <c r="I178" s="7" t="str">
        <f>IFERROR(__xludf.DUMMYFUNCTION("GoogleTranslate(C178, ""en"", ""eu"")"),"Baloratu nazazu")</f>
        <v>Baloratu nazazu</v>
      </c>
      <c r="J178" s="7" t="str">
        <f>IFERROR(__xludf.DUMMYFUNCTION("GoogleTranslate(C178, ""en"", ""be"")"),"Ацані мяне")</f>
        <v>Ацані мяне</v>
      </c>
      <c r="K178" s="7" t="str">
        <f>IFERROR(__xludf.DUMMYFUNCTION("GoogleTranslate(C178, ""en"", ""bn"")"),"আমাকে রেট দিন")</f>
        <v>আমাকে রেট দিন</v>
      </c>
      <c r="L178" s="7" t="str">
        <f>IFERROR(__xludf.DUMMYFUNCTION("GoogleTranslate(C178, ""en"", ""bg"")"),"Оцени ме")</f>
        <v>Оцени ме</v>
      </c>
      <c r="M178" s="7" t="str">
        <f>IFERROR(__xludf.DUMMYFUNCTION("GoogleTranslate(C178, ""en"", ""my"")"),"ငါ့ကို အဆင့်သတ်မှတ်ပါ။")</f>
        <v>ငါ့ကို အဆင့်သတ်မှတ်ပါ။</v>
      </c>
      <c r="N178" s="7" t="str">
        <f>IFERROR(__xludf.DUMMYFUNCTION("GoogleTranslate(C178, ""en"", ""ca"")"),"Valora'm")</f>
        <v>Valora'm</v>
      </c>
      <c r="O178" s="7" t="str">
        <f>IFERROR(__xludf.DUMMYFUNCTION("GoogleTranslate(C178, ""en"", ""zh-cn"")"),"评价我")</f>
        <v>评价我</v>
      </c>
      <c r="P178" s="7" t="str">
        <f>IFERROR(__xludf.DUMMYFUNCTION("GoogleTranslate(C178, ""en"", ""zh-TW"")"),"評價我")</f>
        <v>評價我</v>
      </c>
      <c r="Q178" s="7" t="str">
        <f>IFERROR(__xludf.DUMMYFUNCTION("GoogleTranslate(C178, ""en"", ""hr"")"),"Ocijenite me")</f>
        <v>Ocijenite me</v>
      </c>
      <c r="R178" s="7" t="str">
        <f>IFERROR(__xludf.DUMMYFUNCTION("GoogleTranslate(C178, ""en"", ""cs"")"),"Ohodnoťte mě")</f>
        <v>Ohodnoťte mě</v>
      </c>
      <c r="S178" s="7" t="str">
        <f>IFERROR(__xludf.DUMMYFUNCTION("GoogleTranslate(C178, ""en"", ""da"")"),"Bedøm mig")</f>
        <v>Bedøm mig</v>
      </c>
      <c r="T178" s="7" t="str">
        <f>IFERROR(__xludf.DUMMYFUNCTION("GoogleTranslate(C178, ""en"", ""nl"")"),"Beoordeel mij")</f>
        <v>Beoordeel mij</v>
      </c>
      <c r="U178" s="7" t="str">
        <f>IFERROR(__xludf.DUMMYFUNCTION("GoogleTranslate(C178, ""en"", ""et"")"),"Hinda mind")</f>
        <v>Hinda mind</v>
      </c>
      <c r="V178" s="5" t="str">
        <f t="shared" si="3"/>
        <v>Rate me</v>
      </c>
      <c r="W178" s="7" t="str">
        <f>IFERROR(__xludf.DUMMYFUNCTION("GoogleTranslate(C178, ""en"", ""fi"")"),"Arvioi minua")</f>
        <v>Arvioi minua</v>
      </c>
      <c r="X178" s="7" t="str">
        <f>IFERROR(__xludf.DUMMYFUNCTION("GoogleTranslate(C178, ""en"", ""fr"")"),"Évaluez-moi")</f>
        <v>Évaluez-moi</v>
      </c>
      <c r="Y178" s="7" t="str">
        <f>IFERROR(__xludf.DUMMYFUNCTION("GoogleTranslate(C178, ""en"", ""de"")"),"Bewerten Sie mich")</f>
        <v>Bewerten Sie mich</v>
      </c>
      <c r="Z178" s="7" t="str">
        <f>IFERROR(__xludf.DUMMYFUNCTION("GoogleTranslate(C178, ""en"", ""el"")"),"Βαθμολογήστε με")</f>
        <v>Βαθμολογήστε με</v>
      </c>
      <c r="AA178" s="7" t="str">
        <f>IFERROR(__xludf.DUMMYFUNCTION("GoogleTranslate(C178, ""en"", ""iw"")"),"דרג אותי")</f>
        <v>דרג אותי</v>
      </c>
      <c r="AB178" s="7" t="str">
        <f>IFERROR(__xludf.DUMMYFUNCTION("GoogleTranslate(C178, ""en"", ""hi"")"),"मुझे दर्जा दो")</f>
        <v>मुझे दर्जा दो</v>
      </c>
      <c r="AC178" s="7" t="str">
        <f>IFERROR(__xludf.DUMMYFUNCTION("GoogleTranslate(C178, ""en"", ""hu"")"),"Értékeljen engem")</f>
        <v>Értékeljen engem</v>
      </c>
      <c r="AD178" s="7" t="str">
        <f>IFERROR(__xludf.DUMMYFUNCTION("GoogleTranslate(C178, ""en"", ""is"")"),"Gefðu mér einkunn")</f>
        <v>Gefðu mér einkunn</v>
      </c>
      <c r="AE178" s="7" t="str">
        <f>IFERROR(__xludf.DUMMYFUNCTION("GoogleTranslate(C178, ""en"", ""id"")"),"Nilai saya")</f>
        <v>Nilai saya</v>
      </c>
      <c r="AF178" s="7" t="str">
        <f>IFERROR(__xludf.DUMMYFUNCTION("GoogleTranslate(C178, ""en"", ""in"")"),"Nilai saya")</f>
        <v>Nilai saya</v>
      </c>
      <c r="AG178" s="7" t="str">
        <f>IFERROR(__xludf.DUMMYFUNCTION("GoogleTranslate(C178, ""en"", ""it"")"),"Valutami")</f>
        <v>Valutami</v>
      </c>
      <c r="AH178" s="7" t="str">
        <f>IFERROR(__xludf.DUMMYFUNCTION("GoogleTranslate(C178, ""en"", ""ja"")"),"評価してください")</f>
        <v>評価してください</v>
      </c>
      <c r="AI178" s="7" t="str">
        <f>IFERROR(__xludf.DUMMYFUNCTION("GoogleTranslate(C178, ""en"", ""kn"")"),"ನನಗೆ ರೇಟ್ ಮಾಡಿ")</f>
        <v>ನನಗೆ ರೇಟ್ ಮಾಡಿ</v>
      </c>
      <c r="AJ178" s="7" t="str">
        <f>IFERROR(__xludf.DUMMYFUNCTION("GoogleTranslate(C178, ""en"", ""km"")"),"វាយតម្លៃខ្ញុំ")</f>
        <v>វាយតម្លៃខ្ញុំ</v>
      </c>
      <c r="AK178" s="7" t="str">
        <f>IFERROR(__xludf.DUMMYFUNCTION("GoogleTranslate(C178, ""en"", ""ko"")"),"나를 평가해 주세요")</f>
        <v>나를 평가해 주세요</v>
      </c>
      <c r="AL178" s="7" t="str">
        <f>IFERROR(__xludf.DUMMYFUNCTION("GoogleTranslate(C178, ""en"", ""lo"")"),"ໃຫ້ຄະແນນຂ້ອຍ")</f>
        <v>ໃຫ້ຄະແນນຂ້ອຍ</v>
      </c>
      <c r="AM178" s="7" t="str">
        <f>IFERROR(__xludf.DUMMYFUNCTION("GoogleTranslate(C178, ""en"", ""lv"")"),"Novērtē mani")</f>
        <v>Novērtē mani</v>
      </c>
      <c r="AN178" s="7" t="str">
        <f>IFERROR(__xludf.DUMMYFUNCTION("GoogleTranslate(C178, ""en"", ""lt"")"),"Įvertink mane")</f>
        <v>Įvertink mane</v>
      </c>
      <c r="AO178" s="7" t="str">
        <f>IFERROR(__xludf.DUMMYFUNCTION("GoogleTranslate(C178, ""en"", ""mk"")"),"Оцени ме")</f>
        <v>Оцени ме</v>
      </c>
      <c r="AP178" s="7" t="str">
        <f>IFERROR(__xludf.DUMMYFUNCTION("GoogleTranslate(C178, ""en"", ""ms"")"),"Nilaikan saya")</f>
        <v>Nilaikan saya</v>
      </c>
      <c r="AQ178" s="7" t="str">
        <f>IFERROR(__xludf.DUMMYFUNCTION("GoogleTranslate(C178, ""en"", ""ml"")"),"എന്നെ റേറ്റുചെയ്യുക")</f>
        <v>എന്നെ റേറ്റുചെയ്യുക</v>
      </c>
      <c r="AR178" s="7" t="str">
        <f>IFERROR(__xludf.DUMMYFUNCTION("GoogleTranslate(C178, ""en"", ""mr"")"),"मला रेट करा")</f>
        <v>मला रेट करा</v>
      </c>
      <c r="AS178" s="7" t="str">
        <f>IFERROR(__xludf.DUMMYFUNCTION("GoogleTranslate(C178, ""en"", ""mn"")"),"Надад үнэлээрэй")</f>
        <v>Надад үнэлээрэй</v>
      </c>
      <c r="AT178" s="7" t="str">
        <f>IFERROR(__xludf.DUMMYFUNCTION("GoogleTranslate(C178, ""en"", ""ne"")"),"मलाई मूल्याङ्कन गर्नुहोस्")</f>
        <v>मलाई मूल्याङ्कन गर्नुहोस्</v>
      </c>
      <c r="AU178" s="7" t="str">
        <f>IFERROR(__xludf.DUMMYFUNCTION("GoogleTranslate(C178, ""en"", ""nb"")"),"Vurder meg")</f>
        <v>Vurder meg</v>
      </c>
      <c r="AV178" s="7" t="str">
        <f>IFERROR(__xludf.DUMMYFUNCTION("GoogleTranslate(C178, ""en"", ""fa"")"),"به من امتیاز بده")</f>
        <v>به من امتیاز بده</v>
      </c>
      <c r="AW178" s="7" t="str">
        <f>IFERROR(__xludf.DUMMYFUNCTION("GoogleTranslate(C178, ""en"", ""pl"")"),"Oceń mnie")</f>
        <v>Oceń mnie</v>
      </c>
      <c r="AX178" s="7" t="str">
        <f>IFERROR(__xludf.DUMMYFUNCTION("GoogleTranslate(C178, ""en"", ""pt"")"),"Avalie-me")</f>
        <v>Avalie-me</v>
      </c>
      <c r="AY178" s="7" t="str">
        <f>IFERROR(__xludf.DUMMYFUNCTION("GoogleTranslate(C178, ""en"", ""ro"")"),"Evaluează-mă")</f>
        <v>Evaluează-mă</v>
      </c>
      <c r="AZ178" s="7" t="str">
        <f>IFERROR(__xludf.DUMMYFUNCTION("GoogleTranslate(C178, ""en"", ""ru"")"),"Оцени меня")</f>
        <v>Оцени меня</v>
      </c>
      <c r="BA178" s="7" t="str">
        <f>IFERROR(__xludf.DUMMYFUNCTION("GoogleTranslate(C178, ""en"", ""sr"")"),"Оцените ме")</f>
        <v>Оцените ме</v>
      </c>
      <c r="BB178" s="7" t="str">
        <f>IFERROR(__xludf.DUMMYFUNCTION("GoogleTranslate(C178, ""en"", ""si"")"),"මාව අගයන්න")</f>
        <v>මාව අගයන්න</v>
      </c>
      <c r="BC178" s="7" t="str">
        <f>IFERROR(__xludf.DUMMYFUNCTION("GoogleTranslate(C178, ""en"", ""sk"")"),"Ohodnoťte ma")</f>
        <v>Ohodnoťte ma</v>
      </c>
      <c r="BD178" s="7" t="str">
        <f>IFERROR(__xludf.DUMMYFUNCTION("GoogleTranslate(C178, ""en"", ""sl"")"),"Oceni me")</f>
        <v>Oceni me</v>
      </c>
      <c r="BE178" s="7" t="str">
        <f>IFERROR(__xludf.DUMMYFUNCTION("GoogleTranslate(C178, ""en"", ""es"")"),"Califícame")</f>
        <v>Califícame</v>
      </c>
      <c r="BF178" s="7" t="str">
        <f>IFERROR(__xludf.DUMMYFUNCTION("GoogleTranslate(C178, ""en"", ""sw"")"),"Nikadirie")</f>
        <v>Nikadirie</v>
      </c>
      <c r="BG178" s="7" t="str">
        <f>IFERROR(__xludf.DUMMYFUNCTION("GoogleTranslate(C178, ""en"", ""sv"")"),"Betygsätt mig")</f>
        <v>Betygsätt mig</v>
      </c>
      <c r="BH178" s="7" t="str">
        <f>IFERROR(__xludf.DUMMYFUNCTION("GoogleTranslate(C178, ""en"", ""te"")"),"నాకు రేట్ చేయండి")</f>
        <v>నాకు రేట్ చేయండి</v>
      </c>
      <c r="BI178" s="7" t="str">
        <f>IFERROR(__xludf.DUMMYFUNCTION("GoogleTranslate(C178, ""en"", ""th"")"),"ให้คะแนนฉัน")</f>
        <v>ให้คะแนนฉัน</v>
      </c>
      <c r="BJ178" s="7" t="str">
        <f>IFERROR(__xludf.DUMMYFUNCTION("GoogleTranslate(C178, ""en"", ""tr"")"),"Bana puan ver")</f>
        <v>Bana puan ver</v>
      </c>
      <c r="BK178" s="7" t="str">
        <f>IFERROR(__xludf.DUMMYFUNCTION("GoogleTranslate(C178, ""en"", ""uk"")"),"Оцініть мене")</f>
        <v>Оцініть мене</v>
      </c>
      <c r="BL178" s="7" t="str">
        <f>IFERROR(__xludf.DUMMYFUNCTION("GoogleTranslate(C178, ""en"", ""zu"")"),"Ngilinganisele")</f>
        <v>Ngilinganisele</v>
      </c>
    </row>
    <row r="179">
      <c r="A179" s="5" t="str">
        <f t="shared" si="1"/>
        <v>Report_problem</v>
      </c>
      <c r="B179" s="6" t="s">
        <v>232</v>
      </c>
      <c r="C179" s="5" t="str">
        <f t="shared" si="2"/>
        <v>Report problem</v>
      </c>
      <c r="D179" s="7" t="str">
        <f>IFERROR(__xludf.DUMMYFUNCTION("GoogleTranslate(C179, ""en"", ""es"")"),"Informar problema")</f>
        <v>Informar problema</v>
      </c>
      <c r="E179" s="7" t="str">
        <f>IFERROR(__xludf.DUMMYFUNCTION("GoogleTranslate(C179, ""en"", ""ar"")"),"الإبلاغ عن مشكلة")</f>
        <v>الإبلاغ عن مشكلة</v>
      </c>
      <c r="F179" s="7" t="str">
        <f>IFERROR(__xludf.DUMMYFUNCTION("GoogleTranslate(C179, ""en"", ""hy"")"),"Հաղորդել խնդրի մասին")</f>
        <v>Հաղորդել խնդրի մասին</v>
      </c>
      <c r="G179" s="7" t="str">
        <f>IFERROR(__xludf.DUMMYFUNCTION("GoogleTranslate(C179, ""en"", ""vi"")"),"Báo cáo vấn đề")</f>
        <v>Báo cáo vấn đề</v>
      </c>
      <c r="H179" s="7" t="str">
        <f>IFERROR(__xludf.DUMMYFUNCTION("GoogleTranslate(C179, ""en"", ""az"")"),"Problemi bildirin")</f>
        <v>Problemi bildirin</v>
      </c>
      <c r="I179" s="7" t="str">
        <f>IFERROR(__xludf.DUMMYFUNCTION("GoogleTranslate(C179, ""en"", ""eu"")"),"Salatu arazoa")</f>
        <v>Salatu arazoa</v>
      </c>
      <c r="J179" s="7" t="str">
        <f>IFERROR(__xludf.DUMMYFUNCTION("GoogleTranslate(C179, ""en"", ""be"")"),"Паведаміць аб праблеме")</f>
        <v>Паведаміць аб праблеме</v>
      </c>
      <c r="K179" s="7" t="str">
        <f>IFERROR(__xludf.DUMMYFUNCTION("GoogleTranslate(C179, ""en"", ""bn"")"),"সমস্যা রিপোর্ট করুন")</f>
        <v>সমস্যা রিপোর্ট করুন</v>
      </c>
      <c r="L179" s="7" t="str">
        <f>IFERROR(__xludf.DUMMYFUNCTION("GoogleTranslate(C179, ""en"", ""bg"")"),"Докладвайте за проблем")</f>
        <v>Докладвайте за проблем</v>
      </c>
      <c r="M179" s="7" t="str">
        <f>IFERROR(__xludf.DUMMYFUNCTION("GoogleTranslate(C179, ""en"", ""my"")"),"ပြဿနာကို သတင်းပို့ပါ။")</f>
        <v>ပြဿနာကို သတင်းပို့ပါ။</v>
      </c>
      <c r="N179" s="7" t="str">
        <f>IFERROR(__xludf.DUMMYFUNCTION("GoogleTranslate(C179, ""en"", ""ca"")"),"Informar del problema")</f>
        <v>Informar del problema</v>
      </c>
      <c r="O179" s="7" t="str">
        <f>IFERROR(__xludf.DUMMYFUNCTION("GoogleTranslate(C179, ""en"", ""zh-cn"")"),"报告问题")</f>
        <v>报告问题</v>
      </c>
      <c r="P179" s="7" t="str">
        <f>IFERROR(__xludf.DUMMYFUNCTION("GoogleTranslate(C179, ""en"", ""zh-TW"")"),"報告問題")</f>
        <v>報告問題</v>
      </c>
      <c r="Q179" s="7" t="str">
        <f>IFERROR(__xludf.DUMMYFUNCTION("GoogleTranslate(C179, ""en"", ""hr"")"),"Prijavi problem")</f>
        <v>Prijavi problem</v>
      </c>
      <c r="R179" s="7" t="str">
        <f>IFERROR(__xludf.DUMMYFUNCTION("GoogleTranslate(C179, ""en"", ""cs"")"),"Nahlásit problém")</f>
        <v>Nahlásit problém</v>
      </c>
      <c r="S179" s="7" t="str">
        <f>IFERROR(__xludf.DUMMYFUNCTION("GoogleTranslate(C179, ""en"", ""da"")"),"Rapporter problem")</f>
        <v>Rapporter problem</v>
      </c>
      <c r="T179" s="7" t="str">
        <f>IFERROR(__xludf.DUMMYFUNCTION("GoogleTranslate(C179, ""en"", ""nl"")"),"Rapporteer probleem")</f>
        <v>Rapporteer probleem</v>
      </c>
      <c r="U179" s="7" t="str">
        <f>IFERROR(__xludf.DUMMYFUNCTION("GoogleTranslate(C179, ""en"", ""et"")"),"Teata probleemist")</f>
        <v>Teata probleemist</v>
      </c>
      <c r="V179" s="5" t="str">
        <f t="shared" si="3"/>
        <v>Report problem</v>
      </c>
      <c r="W179" s="7" t="str">
        <f>IFERROR(__xludf.DUMMYFUNCTION("GoogleTranslate(C179, ""en"", ""fi"")"),"Ilmoita ongelmasta")</f>
        <v>Ilmoita ongelmasta</v>
      </c>
      <c r="X179" s="7" t="str">
        <f>IFERROR(__xludf.DUMMYFUNCTION("GoogleTranslate(C179, ""en"", ""fr"")"),"Signaler un problème")</f>
        <v>Signaler un problème</v>
      </c>
      <c r="Y179" s="7" t="str">
        <f>IFERROR(__xludf.DUMMYFUNCTION("GoogleTranslate(C179, ""en"", ""de"")"),"Problem melden")</f>
        <v>Problem melden</v>
      </c>
      <c r="Z179" s="7" t="str">
        <f>IFERROR(__xludf.DUMMYFUNCTION("GoogleTranslate(C179, ""en"", ""el"")"),"Αναφορά προβλήματος")</f>
        <v>Αναφορά προβλήματος</v>
      </c>
      <c r="AA179" s="7" t="str">
        <f>IFERROR(__xludf.DUMMYFUNCTION("GoogleTranslate(C179, ""en"", ""iw"")"),"דווח על בעיה")</f>
        <v>דווח על בעיה</v>
      </c>
      <c r="AB179" s="7" t="str">
        <f>IFERROR(__xludf.DUMMYFUNCTION("GoogleTranslate(C179, ""en"", ""hi"")"),"समस्या की रिपोर्ट करें")</f>
        <v>समस्या की रिपोर्ट करें</v>
      </c>
      <c r="AC179" s="7" t="str">
        <f>IFERROR(__xludf.DUMMYFUNCTION("GoogleTranslate(C179, ""en"", ""hu"")"),"Probléma bejelentése")</f>
        <v>Probléma bejelentése</v>
      </c>
      <c r="AD179" s="7" t="str">
        <f>IFERROR(__xludf.DUMMYFUNCTION("GoogleTranslate(C179, ""en"", ""is"")"),"Tilkynna vandamál")</f>
        <v>Tilkynna vandamál</v>
      </c>
      <c r="AE179" s="7" t="str">
        <f>IFERROR(__xludf.DUMMYFUNCTION("GoogleTranslate(C179, ""en"", ""id"")"),"Laporkan masalah")</f>
        <v>Laporkan masalah</v>
      </c>
      <c r="AF179" s="7" t="str">
        <f>IFERROR(__xludf.DUMMYFUNCTION("GoogleTranslate(C179, ""en"", ""in"")"),"Laporkan masalah")</f>
        <v>Laporkan masalah</v>
      </c>
      <c r="AG179" s="7" t="str">
        <f>IFERROR(__xludf.DUMMYFUNCTION("GoogleTranslate(C179, ""en"", ""it"")"),"Segnala problema")</f>
        <v>Segnala problema</v>
      </c>
      <c r="AH179" s="7" t="str">
        <f>IFERROR(__xludf.DUMMYFUNCTION("GoogleTranslate(C179, ""en"", ""ja"")"),"問題を報告する")</f>
        <v>問題を報告する</v>
      </c>
      <c r="AI179" s="7" t="str">
        <f>IFERROR(__xludf.DUMMYFUNCTION("GoogleTranslate(C179, ""en"", ""kn"")"),"ಸಮಸ್ಯೆಯನ್ನು ವರದಿ ಮಾಡಿ")</f>
        <v>ಸಮಸ್ಯೆಯನ್ನು ವರದಿ ಮಾಡಿ</v>
      </c>
      <c r="AJ179" s="7" t="str">
        <f>IFERROR(__xludf.DUMMYFUNCTION("GoogleTranslate(C179, ""en"", ""km"")"),"រាយការណ៍បញ្ហា")</f>
        <v>រាយការណ៍បញ្ហា</v>
      </c>
      <c r="AK179" s="7" t="str">
        <f>IFERROR(__xludf.DUMMYFUNCTION("GoogleTranslate(C179, ""en"", ""ko"")"),"문제 신고")</f>
        <v>문제 신고</v>
      </c>
      <c r="AL179" s="7" t="str">
        <f>IFERROR(__xludf.DUMMYFUNCTION("GoogleTranslate(C179, ""en"", ""lo"")"),"ລາຍງານບັນຫາ")</f>
        <v>ລາຍງານບັນຫາ</v>
      </c>
      <c r="AM179" s="7" t="str">
        <f>IFERROR(__xludf.DUMMYFUNCTION("GoogleTranslate(C179, ""en"", ""lv"")"),"Ziņot par problēmu")</f>
        <v>Ziņot par problēmu</v>
      </c>
      <c r="AN179" s="7" t="str">
        <f>IFERROR(__xludf.DUMMYFUNCTION("GoogleTranslate(C179, ""en"", ""lt"")"),"Pranešti apie problemą")</f>
        <v>Pranešti apie problemą</v>
      </c>
      <c r="AO179" s="7" t="str">
        <f>IFERROR(__xludf.DUMMYFUNCTION("GoogleTranslate(C179, ""en"", ""mk"")"),"Пријавете проблем")</f>
        <v>Пријавете проблем</v>
      </c>
      <c r="AP179" s="7" t="str">
        <f>IFERROR(__xludf.DUMMYFUNCTION("GoogleTranslate(C179, ""en"", ""ms"")"),"Laporkan masalah")</f>
        <v>Laporkan masalah</v>
      </c>
      <c r="AQ179" s="7" t="str">
        <f>IFERROR(__xludf.DUMMYFUNCTION("GoogleTranslate(C179, ""en"", ""ml"")"),"പ്രശ്നം റിപ്പോർട്ട് ചെയ്യുക")</f>
        <v>പ്രശ്നം റിപ്പോർട്ട് ചെയ്യുക</v>
      </c>
      <c r="AR179" s="7" t="str">
        <f>IFERROR(__xludf.DUMMYFUNCTION("GoogleTranslate(C179, ""en"", ""mr"")"),"समस्या कळवा")</f>
        <v>समस्या कळवा</v>
      </c>
      <c r="AS179" s="7" t="str">
        <f>IFERROR(__xludf.DUMMYFUNCTION("GoogleTranslate(C179, ""en"", ""mn"")"),"Асуудлыг мэдээлэх")</f>
        <v>Асуудлыг мэдээлэх</v>
      </c>
      <c r="AT179" s="7" t="str">
        <f>IFERROR(__xludf.DUMMYFUNCTION("GoogleTranslate(C179, ""en"", ""ne"")"),"समस्या रिपोर्ट गर्नुहोस्")</f>
        <v>समस्या रिपोर्ट गर्नुहोस्</v>
      </c>
      <c r="AU179" s="7" t="str">
        <f>IFERROR(__xludf.DUMMYFUNCTION("GoogleTranslate(C179, ""en"", ""nb"")"),"Rapporter problem")</f>
        <v>Rapporter problem</v>
      </c>
      <c r="AV179" s="7" t="str">
        <f>IFERROR(__xludf.DUMMYFUNCTION("GoogleTranslate(C179, ""en"", ""fa"")"),"مشکل را گزارش کنید")</f>
        <v>مشکل را گزارش کنید</v>
      </c>
      <c r="AW179" s="7" t="str">
        <f>IFERROR(__xludf.DUMMYFUNCTION("GoogleTranslate(C179, ""en"", ""pl"")"),"Zgłoś problem")</f>
        <v>Zgłoś problem</v>
      </c>
      <c r="AX179" s="7" t="str">
        <f>IFERROR(__xludf.DUMMYFUNCTION("GoogleTranslate(C179, ""en"", ""pt"")"),"Informar problema")</f>
        <v>Informar problema</v>
      </c>
      <c r="AY179" s="7" t="str">
        <f>IFERROR(__xludf.DUMMYFUNCTION("GoogleTranslate(C179, ""en"", ""ro"")"),"Raportați problema")</f>
        <v>Raportați problema</v>
      </c>
      <c r="AZ179" s="7" t="str">
        <f>IFERROR(__xludf.DUMMYFUNCTION("GoogleTranslate(C179, ""en"", ""ru"")"),"Сообщить о проблеме")</f>
        <v>Сообщить о проблеме</v>
      </c>
      <c r="BA179" s="7" t="str">
        <f>IFERROR(__xludf.DUMMYFUNCTION("GoogleTranslate(C179, ""en"", ""sr"")"),"Пријавите проблем")</f>
        <v>Пријавите проблем</v>
      </c>
      <c r="BB179" s="7" t="str">
        <f>IFERROR(__xludf.DUMMYFUNCTION("GoogleTranslate(C179, ""en"", ""si"")"),"ගැටලුව වාර්තා කරන්න")</f>
        <v>ගැටලුව වාර්තා කරන්න</v>
      </c>
      <c r="BC179" s="7" t="str">
        <f>IFERROR(__xludf.DUMMYFUNCTION("GoogleTranslate(C179, ""en"", ""sk"")"),"Nahlásiť problém")</f>
        <v>Nahlásiť problém</v>
      </c>
      <c r="BD179" s="7" t="str">
        <f>IFERROR(__xludf.DUMMYFUNCTION("GoogleTranslate(C179, ""en"", ""sl"")"),"Prijavi težavo")</f>
        <v>Prijavi težavo</v>
      </c>
      <c r="BE179" s="7" t="str">
        <f>IFERROR(__xludf.DUMMYFUNCTION("GoogleTranslate(C179, ""en"", ""es"")"),"Informar problema")</f>
        <v>Informar problema</v>
      </c>
      <c r="BF179" s="7" t="str">
        <f>IFERROR(__xludf.DUMMYFUNCTION("GoogleTranslate(C179, ""en"", ""sw"")"),"Ripoti tatizo")</f>
        <v>Ripoti tatizo</v>
      </c>
      <c r="BG179" s="7" t="str">
        <f>IFERROR(__xludf.DUMMYFUNCTION("GoogleTranslate(C179, ""en"", ""sv"")"),"Rapportera problem")</f>
        <v>Rapportera problem</v>
      </c>
      <c r="BH179" s="7" t="str">
        <f>IFERROR(__xludf.DUMMYFUNCTION("GoogleTranslate(C179, ""en"", ""te"")"),"సమస్యను నివేదించండి")</f>
        <v>సమస్యను నివేదించండి</v>
      </c>
      <c r="BI179" s="7" t="str">
        <f>IFERROR(__xludf.DUMMYFUNCTION("GoogleTranslate(C179, ""en"", ""th"")"),"รายงานปัญหา")</f>
        <v>รายงานปัญหา</v>
      </c>
      <c r="BJ179" s="7" t="str">
        <f>IFERROR(__xludf.DUMMYFUNCTION("GoogleTranslate(C179, ""en"", ""tr"")"),"Sorunu bildir")</f>
        <v>Sorunu bildir</v>
      </c>
      <c r="BK179" s="7" t="str">
        <f>IFERROR(__xludf.DUMMYFUNCTION("GoogleTranslate(C179, ""en"", ""uk"")"),"Повідомити про проблему")</f>
        <v>Повідомити про проблему</v>
      </c>
      <c r="BL179" s="7" t="str">
        <f>IFERROR(__xludf.DUMMYFUNCTION("GoogleTranslate(C179, ""en"", ""zu"")"),"Bika inkinga")</f>
        <v>Bika inkinga</v>
      </c>
    </row>
    <row r="180">
      <c r="A180" s="5" t="str">
        <f t="shared" si="1"/>
        <v>Privacy_policy</v>
      </c>
      <c r="B180" s="6" t="s">
        <v>233</v>
      </c>
      <c r="C180" s="5" t="str">
        <f t="shared" si="2"/>
        <v>Privacy policy</v>
      </c>
      <c r="D180" s="7" t="str">
        <f>IFERROR(__xludf.DUMMYFUNCTION("GoogleTranslate(C180, ""en"", ""es"")"),"Política de privacidad")</f>
        <v>Política de privacidad</v>
      </c>
      <c r="E180" s="7" t="str">
        <f>IFERROR(__xludf.DUMMYFUNCTION("GoogleTranslate(C180, ""en"", ""ar"")"),"سياسة الخصوصية")</f>
        <v>سياسة الخصوصية</v>
      </c>
      <c r="F180" s="7" t="str">
        <f>IFERROR(__xludf.DUMMYFUNCTION("GoogleTranslate(C180, ""en"", ""hy"")"),"Գաղտնիության քաղաքականություն")</f>
        <v>Գաղտնիության քաղաքականություն</v>
      </c>
      <c r="G180" s="7" t="str">
        <f>IFERROR(__xludf.DUMMYFUNCTION("GoogleTranslate(C180, ""en"", ""vi"")"),"Chính sách bảo mật")</f>
        <v>Chính sách bảo mật</v>
      </c>
      <c r="H180" s="7" t="str">
        <f>IFERROR(__xludf.DUMMYFUNCTION("GoogleTranslate(C180, ""en"", ""az"")"),"Məxfilik siyasəti")</f>
        <v>Məxfilik siyasəti</v>
      </c>
      <c r="I180" s="7" t="str">
        <f>IFERROR(__xludf.DUMMYFUNCTION("GoogleTranslate(C180, ""en"", ""eu"")"),"Pribatutasun politika")</f>
        <v>Pribatutasun politika</v>
      </c>
      <c r="J180" s="7" t="str">
        <f>IFERROR(__xludf.DUMMYFUNCTION("GoogleTranslate(C180, ""en"", ""be"")"),"Палітыка прыватнасці")</f>
        <v>Палітыка прыватнасці</v>
      </c>
      <c r="K180" s="7" t="str">
        <f>IFERROR(__xludf.DUMMYFUNCTION("GoogleTranslate(C180, ""en"", ""bn"")"),"গোপনীয়তা নীতি")</f>
        <v>গোপনীয়তা নীতি</v>
      </c>
      <c r="L180" s="7" t="str">
        <f>IFERROR(__xludf.DUMMYFUNCTION("GoogleTranslate(C180, ""en"", ""bg"")"),"Политика за поверителност")</f>
        <v>Политика за поверителност</v>
      </c>
      <c r="M180" s="7" t="str">
        <f>IFERROR(__xludf.DUMMYFUNCTION("GoogleTranslate(C180, ""en"", ""my"")"),"ကိုယ်ရေးအချက်အလက်မူဝါဒ")</f>
        <v>ကိုယ်ရေးအချက်အလက်မူဝါဒ</v>
      </c>
      <c r="N180" s="7" t="str">
        <f>IFERROR(__xludf.DUMMYFUNCTION("GoogleTranslate(C180, ""en"", ""ca"")"),"Política de privadesa")</f>
        <v>Política de privadesa</v>
      </c>
      <c r="O180" s="7" t="str">
        <f>IFERROR(__xludf.DUMMYFUNCTION("GoogleTranslate(C180, ""en"", ""zh-cn"")"),"隐私政策")</f>
        <v>隐私政策</v>
      </c>
      <c r="P180" s="7" t="str">
        <f>IFERROR(__xludf.DUMMYFUNCTION("GoogleTranslate(C180, ""en"", ""zh-TW"")"),"隱私權政策")</f>
        <v>隱私權政策</v>
      </c>
      <c r="Q180" s="7" t="str">
        <f>IFERROR(__xludf.DUMMYFUNCTION("GoogleTranslate(C180, ""en"", ""hr"")"),"Politika privatnosti")</f>
        <v>Politika privatnosti</v>
      </c>
      <c r="R180" s="7" t="str">
        <f>IFERROR(__xludf.DUMMYFUNCTION("GoogleTranslate(C180, ""en"", ""cs"")"),"Zásady ochrany osobních údajů")</f>
        <v>Zásady ochrany osobních údajů</v>
      </c>
      <c r="S180" s="7" t="str">
        <f>IFERROR(__xludf.DUMMYFUNCTION("GoogleTranslate(C180, ""en"", ""da"")"),"Privatlivspolitik")</f>
        <v>Privatlivspolitik</v>
      </c>
      <c r="T180" s="7" t="str">
        <f>IFERROR(__xludf.DUMMYFUNCTION("GoogleTranslate(C180, ""en"", ""nl"")"),"Privacybeleid")</f>
        <v>Privacybeleid</v>
      </c>
      <c r="U180" s="7" t="str">
        <f>IFERROR(__xludf.DUMMYFUNCTION("GoogleTranslate(C180, ""en"", ""et"")"),"Privaatsuspoliitika")</f>
        <v>Privaatsuspoliitika</v>
      </c>
      <c r="V180" s="5" t="str">
        <f t="shared" si="3"/>
        <v>Privacy policy</v>
      </c>
      <c r="W180" s="7" t="str">
        <f>IFERROR(__xludf.DUMMYFUNCTION("GoogleTranslate(C180, ""en"", ""fi"")"),"Tietosuojakäytäntö")</f>
        <v>Tietosuojakäytäntö</v>
      </c>
      <c r="X180" s="7" t="str">
        <f>IFERROR(__xludf.DUMMYFUNCTION("GoogleTranslate(C180, ""en"", ""fr"")"),"Politique de confidentialité")</f>
        <v>Politique de confidentialité</v>
      </c>
      <c r="Y180" s="7" t="str">
        <f>IFERROR(__xludf.DUMMYFUNCTION("GoogleTranslate(C180, ""en"", ""de"")"),"Datenschutzrichtlinie")</f>
        <v>Datenschutzrichtlinie</v>
      </c>
      <c r="Z180" s="7" t="str">
        <f>IFERROR(__xludf.DUMMYFUNCTION("GoogleTranslate(C180, ""en"", ""el"")"),"Πολιτική απορρήτου")</f>
        <v>Πολιτική απορρήτου</v>
      </c>
      <c r="AA180" s="7" t="str">
        <f>IFERROR(__xludf.DUMMYFUNCTION("GoogleTranslate(C180, ""en"", ""iw"")"),"מדיניות פרטיות")</f>
        <v>מדיניות פרטיות</v>
      </c>
      <c r="AB180" s="7" t="str">
        <f>IFERROR(__xludf.DUMMYFUNCTION("GoogleTranslate(C180, ""en"", ""hi"")"),"गोपनीयता नीति")</f>
        <v>गोपनीयता नीति</v>
      </c>
      <c r="AC180" s="7" t="str">
        <f>IFERROR(__xludf.DUMMYFUNCTION("GoogleTranslate(C180, ""en"", ""hu"")"),"Adatvédelmi szabályzat")</f>
        <v>Adatvédelmi szabályzat</v>
      </c>
      <c r="AD180" s="7" t="str">
        <f>IFERROR(__xludf.DUMMYFUNCTION("GoogleTranslate(C180, ""en"", ""is"")"),"Persónuverndarstefna")</f>
        <v>Persónuverndarstefna</v>
      </c>
      <c r="AE180" s="7" t="str">
        <f>IFERROR(__xludf.DUMMYFUNCTION("GoogleTranslate(C180, ""en"", ""id"")"),"Kebijakan privasi")</f>
        <v>Kebijakan privasi</v>
      </c>
      <c r="AF180" s="7" t="str">
        <f>IFERROR(__xludf.DUMMYFUNCTION("GoogleTranslate(C180, ""en"", ""in"")"),"Kebijakan privasi")</f>
        <v>Kebijakan privasi</v>
      </c>
      <c r="AG180" s="7" t="str">
        <f>IFERROR(__xludf.DUMMYFUNCTION("GoogleTranslate(C180, ""en"", ""it"")"),"Politica sulla riservatezza")</f>
        <v>Politica sulla riservatezza</v>
      </c>
      <c r="AH180" s="7" t="str">
        <f>IFERROR(__xludf.DUMMYFUNCTION("GoogleTranslate(C180, ""en"", ""ja"")"),"プライバシーポリシー")</f>
        <v>プライバシーポリシー</v>
      </c>
      <c r="AI180" s="7" t="str">
        <f>IFERROR(__xludf.DUMMYFUNCTION("GoogleTranslate(C180, ""en"", ""kn"")"),"ಗೌಪ್ಯತೆ ನೀತಿ")</f>
        <v>ಗೌಪ್ಯತೆ ನೀತಿ</v>
      </c>
      <c r="AJ180" s="7" t="str">
        <f>IFERROR(__xludf.DUMMYFUNCTION("GoogleTranslate(C180, ""en"", ""km"")"),"គោលការណ៍ឯកជនភាព")</f>
        <v>គោលការណ៍ឯកជនភាព</v>
      </c>
      <c r="AK180" s="7" t="str">
        <f>IFERROR(__xludf.DUMMYFUNCTION("GoogleTranslate(C180, ""en"", ""ko"")"),"개인 정보 보호 정책")</f>
        <v>개인 정보 보호 정책</v>
      </c>
      <c r="AL180" s="7" t="str">
        <f>IFERROR(__xludf.DUMMYFUNCTION("GoogleTranslate(C180, ""en"", ""lo"")"),"ນະໂຍບາຍຄວາມເປັນສ່ວນຕົວ")</f>
        <v>ນະໂຍບາຍຄວາມເປັນສ່ວນຕົວ</v>
      </c>
      <c r="AM180" s="7" t="str">
        <f>IFERROR(__xludf.DUMMYFUNCTION("GoogleTranslate(C180, ""en"", ""lv"")"),"Privātuma politika")</f>
        <v>Privātuma politika</v>
      </c>
      <c r="AN180" s="7" t="str">
        <f>IFERROR(__xludf.DUMMYFUNCTION("GoogleTranslate(C180, ""en"", ""lt"")"),"Privatumo politika")</f>
        <v>Privatumo politika</v>
      </c>
      <c r="AO180" s="7" t="str">
        <f>IFERROR(__xludf.DUMMYFUNCTION("GoogleTranslate(C180, ""en"", ""mk"")"),"Политика за приватност")</f>
        <v>Политика за приватност</v>
      </c>
      <c r="AP180" s="7" t="str">
        <f>IFERROR(__xludf.DUMMYFUNCTION("GoogleTranslate(C180, ""en"", ""ms"")"),"Dasar privasi")</f>
        <v>Dasar privasi</v>
      </c>
      <c r="AQ180" s="7" t="str">
        <f>IFERROR(__xludf.DUMMYFUNCTION("GoogleTranslate(C180, ""en"", ""ml"")"),"സ്വകാര്യതാ നയം")</f>
        <v>സ്വകാര്യതാ നയം</v>
      </c>
      <c r="AR180" s="7" t="str">
        <f>IFERROR(__xludf.DUMMYFUNCTION("GoogleTranslate(C180, ""en"", ""mr"")"),"गोपनीयता धोरण")</f>
        <v>गोपनीयता धोरण</v>
      </c>
      <c r="AS180" s="7" t="str">
        <f>IFERROR(__xludf.DUMMYFUNCTION("GoogleTranslate(C180, ""en"", ""mn"")"),"Нууцлалын бодлого")</f>
        <v>Нууцлалын бодлого</v>
      </c>
      <c r="AT180" s="7" t="str">
        <f>IFERROR(__xludf.DUMMYFUNCTION("GoogleTranslate(C180, ""en"", ""ne"")"),"गोपनीयता नीति")</f>
        <v>गोपनीयता नीति</v>
      </c>
      <c r="AU180" s="7" t="str">
        <f>IFERROR(__xludf.DUMMYFUNCTION("GoogleTranslate(C180, ""en"", ""nb"")"),"Personvernerklæring")</f>
        <v>Personvernerklæring</v>
      </c>
      <c r="AV180" s="7" t="str">
        <f>IFERROR(__xludf.DUMMYFUNCTION("GoogleTranslate(C180, ""en"", ""fa"")"),"سیاست حفظ حریم خصوصی")</f>
        <v>سیاست حفظ حریم خصوصی</v>
      </c>
      <c r="AW180" s="7" t="str">
        <f>IFERROR(__xludf.DUMMYFUNCTION("GoogleTranslate(C180, ""en"", ""pl"")"),"Polityka prywatności")</f>
        <v>Polityka prywatności</v>
      </c>
      <c r="AX180" s="7" t="str">
        <f>IFERROR(__xludf.DUMMYFUNCTION("GoogleTranslate(C180, ""en"", ""pt"")"),"Política de Privacidade")</f>
        <v>Política de Privacidade</v>
      </c>
      <c r="AY180" s="7" t="str">
        <f>IFERROR(__xludf.DUMMYFUNCTION("GoogleTranslate(C180, ""en"", ""ro"")"),"Politica de confidențialitate")</f>
        <v>Politica de confidențialitate</v>
      </c>
      <c r="AZ180" s="7" t="str">
        <f>IFERROR(__xludf.DUMMYFUNCTION("GoogleTranslate(C180, ""en"", ""ru"")"),"Политика конфиденциальности")</f>
        <v>Политика конфиденциальности</v>
      </c>
      <c r="BA180" s="7" t="str">
        <f>IFERROR(__xludf.DUMMYFUNCTION("GoogleTranslate(C180, ""en"", ""sr"")"),"Политика приватности")</f>
        <v>Политика приватности</v>
      </c>
      <c r="BB180" s="7" t="str">
        <f>IFERROR(__xludf.DUMMYFUNCTION("GoogleTranslate(C180, ""en"", ""si"")"),"රහස්යතා ප්රතිපත්තිය")</f>
        <v>රහස්යතා ප්රතිපත්තිය</v>
      </c>
      <c r="BC180" s="7" t="str">
        <f>IFERROR(__xludf.DUMMYFUNCTION("GoogleTranslate(C180, ""en"", ""sk"")"),"Zásady ochrany osobných údajov")</f>
        <v>Zásady ochrany osobných údajov</v>
      </c>
      <c r="BD180" s="7" t="str">
        <f>IFERROR(__xludf.DUMMYFUNCTION("GoogleTranslate(C180, ""en"", ""sl"")"),"Politika zasebnosti")</f>
        <v>Politika zasebnosti</v>
      </c>
      <c r="BE180" s="7" t="str">
        <f>IFERROR(__xludf.DUMMYFUNCTION("GoogleTranslate(C180, ""en"", ""es"")"),"Política de privacidad")</f>
        <v>Política de privacidad</v>
      </c>
      <c r="BF180" s="7" t="str">
        <f>IFERROR(__xludf.DUMMYFUNCTION("GoogleTranslate(C180, ""en"", ""sw"")"),"Sera ya faragha")</f>
        <v>Sera ya faragha</v>
      </c>
      <c r="BG180" s="7" t="str">
        <f>IFERROR(__xludf.DUMMYFUNCTION("GoogleTranslate(C180, ""en"", ""sv"")"),"Integritetspolicy")</f>
        <v>Integritetspolicy</v>
      </c>
      <c r="BH180" s="7" t="str">
        <f>IFERROR(__xludf.DUMMYFUNCTION("GoogleTranslate(C180, ""en"", ""te"")"),"గోప్యతా విధానం")</f>
        <v>గోప్యతా విధానం</v>
      </c>
      <c r="BI180" s="7" t="str">
        <f>IFERROR(__xludf.DUMMYFUNCTION("GoogleTranslate(C180, ""en"", ""th"")"),"นโยบายความเป็นส่วนตัว")</f>
        <v>นโยบายความเป็นส่วนตัว</v>
      </c>
      <c r="BJ180" s="7" t="str">
        <f>IFERROR(__xludf.DUMMYFUNCTION("GoogleTranslate(C180, ""en"", ""tr"")"),"Gizlilik politikası")</f>
        <v>Gizlilik politikası</v>
      </c>
      <c r="BK180" s="7" t="str">
        <f>IFERROR(__xludf.DUMMYFUNCTION("GoogleTranslate(C180, ""en"", ""uk"")"),"Політика конфіденційності")</f>
        <v>Політика конфіденційності</v>
      </c>
      <c r="BL180" s="7" t="str">
        <f>IFERROR(__xludf.DUMMYFUNCTION("GoogleTranslate(C180, ""en"", ""zu"")"),"Inqubomgomo yobumfihlo")</f>
        <v>Inqubomgomo yobumfihlo</v>
      </c>
    </row>
    <row r="181">
      <c r="A181" s="5" t="str">
        <f t="shared" si="1"/>
        <v>Company</v>
      </c>
      <c r="B181" s="6" t="s">
        <v>234</v>
      </c>
      <c r="C181" s="5" t="str">
        <f t="shared" si="2"/>
        <v>Company</v>
      </c>
      <c r="D181" s="7" t="str">
        <f>IFERROR(__xludf.DUMMYFUNCTION("GoogleTranslate(C181, ""en"", ""es"")"),"Compañía")</f>
        <v>Compañía</v>
      </c>
      <c r="E181" s="7" t="str">
        <f>IFERROR(__xludf.DUMMYFUNCTION("GoogleTranslate(C181, ""en"", ""ar"")"),"شركة")</f>
        <v>شركة</v>
      </c>
      <c r="F181" s="7" t="str">
        <f>IFERROR(__xludf.DUMMYFUNCTION("GoogleTranslate(C181, ""en"", ""hy"")"),"Ընկերություն")</f>
        <v>Ընկերություն</v>
      </c>
      <c r="G181" s="7" t="str">
        <f>IFERROR(__xludf.DUMMYFUNCTION("GoogleTranslate(C181, ""en"", ""vi"")"),"Công ty")</f>
        <v>Công ty</v>
      </c>
      <c r="H181" s="7" t="str">
        <f>IFERROR(__xludf.DUMMYFUNCTION("GoogleTranslate(C181, ""en"", ""az"")"),"Şirkət")</f>
        <v>Şirkət</v>
      </c>
      <c r="I181" s="7" t="str">
        <f>IFERROR(__xludf.DUMMYFUNCTION("GoogleTranslate(C181, ""en"", ""eu"")"),"Enpresa")</f>
        <v>Enpresa</v>
      </c>
      <c r="J181" s="7" t="str">
        <f>IFERROR(__xludf.DUMMYFUNCTION("GoogleTranslate(C181, ""en"", ""be"")"),"Кампанія")</f>
        <v>Кампанія</v>
      </c>
      <c r="K181" s="7" t="str">
        <f>IFERROR(__xludf.DUMMYFUNCTION("GoogleTranslate(C181, ""en"", ""bn"")"),"কোম্পানি")</f>
        <v>কোম্পানি</v>
      </c>
      <c r="L181" s="7" t="str">
        <f>IFERROR(__xludf.DUMMYFUNCTION("GoogleTranslate(C181, ""en"", ""bg"")"),"Компания")</f>
        <v>Компания</v>
      </c>
      <c r="M181" s="7" t="str">
        <f>IFERROR(__xludf.DUMMYFUNCTION("GoogleTranslate(C181, ""en"", ""my"")"),"ကုမ္ပဏီ")</f>
        <v>ကုမ္ပဏီ</v>
      </c>
      <c r="N181" s="7" t="str">
        <f>IFERROR(__xludf.DUMMYFUNCTION("GoogleTranslate(C181, ""en"", ""ca"")"),"Companyia")</f>
        <v>Companyia</v>
      </c>
      <c r="O181" s="7" t="str">
        <f>IFERROR(__xludf.DUMMYFUNCTION("GoogleTranslate(C181, ""en"", ""zh-cn"")"),"公司")</f>
        <v>公司</v>
      </c>
      <c r="P181" s="7" t="str">
        <f>IFERROR(__xludf.DUMMYFUNCTION("GoogleTranslate(C181, ""en"", ""zh-TW"")"),"公司")</f>
        <v>公司</v>
      </c>
      <c r="Q181" s="7" t="str">
        <f>IFERROR(__xludf.DUMMYFUNCTION("GoogleTranslate(C181, ""en"", ""hr"")"),"Tvrtka")</f>
        <v>Tvrtka</v>
      </c>
      <c r="R181" s="7" t="str">
        <f>IFERROR(__xludf.DUMMYFUNCTION("GoogleTranslate(C181, ""en"", ""cs"")"),"Společnost")</f>
        <v>Společnost</v>
      </c>
      <c r="S181" s="7" t="str">
        <f>IFERROR(__xludf.DUMMYFUNCTION("GoogleTranslate(C181, ""en"", ""da"")"),"Selskab")</f>
        <v>Selskab</v>
      </c>
      <c r="T181" s="7" t="str">
        <f>IFERROR(__xludf.DUMMYFUNCTION("GoogleTranslate(C181, ""en"", ""nl"")"),"Bedrijf")</f>
        <v>Bedrijf</v>
      </c>
      <c r="U181" s="7" t="str">
        <f>IFERROR(__xludf.DUMMYFUNCTION("GoogleTranslate(C181, ""en"", ""et"")"),"Ettevõte")</f>
        <v>Ettevõte</v>
      </c>
      <c r="V181" s="5" t="str">
        <f t="shared" si="3"/>
        <v>Company</v>
      </c>
      <c r="W181" s="7" t="str">
        <f>IFERROR(__xludf.DUMMYFUNCTION("GoogleTranslate(C181, ""en"", ""fi"")"),"Yritys")</f>
        <v>Yritys</v>
      </c>
      <c r="X181" s="7" t="str">
        <f>IFERROR(__xludf.DUMMYFUNCTION("GoogleTranslate(C181, ""en"", ""fr"")"),"Entreprise")</f>
        <v>Entreprise</v>
      </c>
      <c r="Y181" s="7" t="str">
        <f>IFERROR(__xludf.DUMMYFUNCTION("GoogleTranslate(C181, ""en"", ""de"")"),"Unternehmen")</f>
        <v>Unternehmen</v>
      </c>
      <c r="Z181" s="7" t="str">
        <f>IFERROR(__xludf.DUMMYFUNCTION("GoogleTranslate(C181, ""en"", ""el"")"),"Εταιρεία")</f>
        <v>Εταιρεία</v>
      </c>
      <c r="AA181" s="7" t="str">
        <f>IFERROR(__xludf.DUMMYFUNCTION("GoogleTranslate(C181, ""en"", ""iw"")"),"חֶברָה")</f>
        <v>חֶברָה</v>
      </c>
      <c r="AB181" s="7" t="str">
        <f>IFERROR(__xludf.DUMMYFUNCTION("GoogleTranslate(C181, ""en"", ""hi"")"),"कंपनी")</f>
        <v>कंपनी</v>
      </c>
      <c r="AC181" s="7" t="str">
        <f>IFERROR(__xludf.DUMMYFUNCTION("GoogleTranslate(C181, ""en"", ""hu"")"),"Vállalat")</f>
        <v>Vállalat</v>
      </c>
      <c r="AD181" s="7" t="str">
        <f>IFERROR(__xludf.DUMMYFUNCTION("GoogleTranslate(C181, ""en"", ""is"")"),"Fyrirtæki")</f>
        <v>Fyrirtæki</v>
      </c>
      <c r="AE181" s="7" t="str">
        <f>IFERROR(__xludf.DUMMYFUNCTION("GoogleTranslate(C181, ""en"", ""id"")"),"Perusahaan")</f>
        <v>Perusahaan</v>
      </c>
      <c r="AF181" s="7" t="str">
        <f>IFERROR(__xludf.DUMMYFUNCTION("GoogleTranslate(C181, ""en"", ""in"")"),"Perusahaan")</f>
        <v>Perusahaan</v>
      </c>
      <c r="AG181" s="7" t="str">
        <f>IFERROR(__xludf.DUMMYFUNCTION("GoogleTranslate(C181, ""en"", ""it"")"),"Azienda")</f>
        <v>Azienda</v>
      </c>
      <c r="AH181" s="7" t="str">
        <f>IFERROR(__xludf.DUMMYFUNCTION("GoogleTranslate(C181, ""en"", ""ja"")"),"会社")</f>
        <v>会社</v>
      </c>
      <c r="AI181" s="7" t="str">
        <f>IFERROR(__xludf.DUMMYFUNCTION("GoogleTranslate(C181, ""en"", ""kn"")"),"ಕಂಪನಿ")</f>
        <v>ಕಂಪನಿ</v>
      </c>
      <c r="AJ181" s="7" t="str">
        <f>IFERROR(__xludf.DUMMYFUNCTION("GoogleTranslate(C181, ""en"", ""km"")"),"ក្រុមហ៊ុន")</f>
        <v>ក្រុមហ៊ុន</v>
      </c>
      <c r="AK181" s="7" t="str">
        <f>IFERROR(__xludf.DUMMYFUNCTION("GoogleTranslate(C181, ""en"", ""ko"")"),"회사")</f>
        <v>회사</v>
      </c>
      <c r="AL181" s="7" t="str">
        <f>IFERROR(__xludf.DUMMYFUNCTION("GoogleTranslate(C181, ""en"", ""lo"")"),"ບໍລິສັດ")</f>
        <v>ບໍລິສັດ</v>
      </c>
      <c r="AM181" s="7" t="str">
        <f>IFERROR(__xludf.DUMMYFUNCTION("GoogleTranslate(C181, ""en"", ""lv"")"),"Uzņēmums")</f>
        <v>Uzņēmums</v>
      </c>
      <c r="AN181" s="7" t="str">
        <f>IFERROR(__xludf.DUMMYFUNCTION("GoogleTranslate(C181, ""en"", ""lt"")"),"Įmonė")</f>
        <v>Įmonė</v>
      </c>
      <c r="AO181" s="7" t="str">
        <f>IFERROR(__xludf.DUMMYFUNCTION("GoogleTranslate(C181, ""en"", ""mk"")"),"Компанијата")</f>
        <v>Компанијата</v>
      </c>
      <c r="AP181" s="7" t="str">
        <f>IFERROR(__xludf.DUMMYFUNCTION("GoogleTranslate(C181, ""en"", ""ms"")"),"Syarikat")</f>
        <v>Syarikat</v>
      </c>
      <c r="AQ181" s="7" t="str">
        <f>IFERROR(__xludf.DUMMYFUNCTION("GoogleTranslate(C181, ""en"", ""ml"")"),"കമ്പനി")</f>
        <v>കമ്പനി</v>
      </c>
      <c r="AR181" s="7" t="str">
        <f>IFERROR(__xludf.DUMMYFUNCTION("GoogleTranslate(C181, ""en"", ""mr"")"),"कंपनी")</f>
        <v>कंपनी</v>
      </c>
      <c r="AS181" s="7" t="str">
        <f>IFERROR(__xludf.DUMMYFUNCTION("GoogleTranslate(C181, ""en"", ""mn"")"),"Компани")</f>
        <v>Компани</v>
      </c>
      <c r="AT181" s="7" t="str">
        <f>IFERROR(__xludf.DUMMYFUNCTION("GoogleTranslate(C181, ""en"", ""ne"")"),"कम्पनी")</f>
        <v>कम्पनी</v>
      </c>
      <c r="AU181" s="7" t="str">
        <f>IFERROR(__xludf.DUMMYFUNCTION("GoogleTranslate(C181, ""en"", ""nb"")"),"Bedrift")</f>
        <v>Bedrift</v>
      </c>
      <c r="AV181" s="7" t="str">
        <f>IFERROR(__xludf.DUMMYFUNCTION("GoogleTranslate(C181, ""en"", ""fa"")"),"شرکت")</f>
        <v>شرکت</v>
      </c>
      <c r="AW181" s="7" t="str">
        <f>IFERROR(__xludf.DUMMYFUNCTION("GoogleTranslate(C181, ""en"", ""pl"")"),"Firma")</f>
        <v>Firma</v>
      </c>
      <c r="AX181" s="7" t="str">
        <f>IFERROR(__xludf.DUMMYFUNCTION("GoogleTranslate(C181, ""en"", ""pt"")"),"Empresa")</f>
        <v>Empresa</v>
      </c>
      <c r="AY181" s="7" t="str">
        <f>IFERROR(__xludf.DUMMYFUNCTION("GoogleTranslate(C181, ""en"", ""ro"")"),"Companie")</f>
        <v>Companie</v>
      </c>
      <c r="AZ181" s="7" t="str">
        <f>IFERROR(__xludf.DUMMYFUNCTION("GoogleTranslate(C181, ""en"", ""ru"")"),"Компания")</f>
        <v>Компания</v>
      </c>
      <c r="BA181" s="7" t="str">
        <f>IFERROR(__xludf.DUMMYFUNCTION("GoogleTranslate(C181, ""en"", ""sr"")"),"Компанија")</f>
        <v>Компанија</v>
      </c>
      <c r="BB181" s="7" t="str">
        <f>IFERROR(__xludf.DUMMYFUNCTION("GoogleTranslate(C181, ""en"", ""si"")"),"සමාගම")</f>
        <v>සමාගම</v>
      </c>
      <c r="BC181" s="7" t="str">
        <f>IFERROR(__xludf.DUMMYFUNCTION("GoogleTranslate(C181, ""en"", ""sk"")"),"Spoločnosť")</f>
        <v>Spoločnosť</v>
      </c>
      <c r="BD181" s="7" t="str">
        <f>IFERROR(__xludf.DUMMYFUNCTION("GoogleTranslate(C181, ""en"", ""sl"")"),"Podjetje")</f>
        <v>Podjetje</v>
      </c>
      <c r="BE181" s="7" t="str">
        <f>IFERROR(__xludf.DUMMYFUNCTION("GoogleTranslate(C181, ""en"", ""es"")"),"Compañía")</f>
        <v>Compañía</v>
      </c>
      <c r="BF181" s="7" t="str">
        <f>IFERROR(__xludf.DUMMYFUNCTION("GoogleTranslate(C181, ""en"", ""sw"")"),"Kampuni")</f>
        <v>Kampuni</v>
      </c>
      <c r="BG181" s="7" t="str">
        <f>IFERROR(__xludf.DUMMYFUNCTION("GoogleTranslate(C181, ""en"", ""sv"")"),"Företag")</f>
        <v>Företag</v>
      </c>
      <c r="BH181" s="7" t="str">
        <f>IFERROR(__xludf.DUMMYFUNCTION("GoogleTranslate(C181, ""en"", ""te"")"),"కంపెనీ")</f>
        <v>కంపెనీ</v>
      </c>
      <c r="BI181" s="7" t="str">
        <f>IFERROR(__xludf.DUMMYFUNCTION("GoogleTranslate(C181, ""en"", ""th"")"),"บริษัท")</f>
        <v>บริษัท</v>
      </c>
      <c r="BJ181" s="7" t="str">
        <f>IFERROR(__xludf.DUMMYFUNCTION("GoogleTranslate(C181, ""en"", ""tr"")"),"Şirket")</f>
        <v>Şirket</v>
      </c>
      <c r="BK181" s="7" t="str">
        <f>IFERROR(__xludf.DUMMYFUNCTION("GoogleTranslate(C181, ""en"", ""uk"")"),"Компанія")</f>
        <v>Компанія</v>
      </c>
      <c r="BL181" s="7" t="str">
        <f>IFERROR(__xludf.DUMMYFUNCTION("GoogleTranslate(C181, ""en"", ""zu"")"),"Inkampani")</f>
        <v>Inkampani</v>
      </c>
    </row>
    <row r="182">
      <c r="A182" s="5" t="str">
        <f t="shared" si="1"/>
        <v>Proven_Superior_Accuracy</v>
      </c>
      <c r="B182" s="6" t="s">
        <v>235</v>
      </c>
      <c r="C182" s="5" t="str">
        <f t="shared" si="2"/>
        <v>Proven Superior Accuracy</v>
      </c>
      <c r="D182" s="7" t="str">
        <f>IFERROR(__xludf.DUMMYFUNCTION("GoogleTranslate(C182, ""en"", ""es"")"),"Precisión superior comprobada")</f>
        <v>Precisión superior comprobada</v>
      </c>
      <c r="E182" s="7" t="str">
        <f>IFERROR(__xludf.DUMMYFUNCTION("GoogleTranslate(C182, ""en"", ""ar"")"),"دقة فائقة مثبتة")</f>
        <v>دقة فائقة مثبتة</v>
      </c>
      <c r="F182" s="7" t="str">
        <f>IFERROR(__xludf.DUMMYFUNCTION("GoogleTranslate(C182, ""en"", ""hy"")"),"Ապացուցված բարձր ճշգրտություն")</f>
        <v>Ապացուցված բարձր ճշգրտություն</v>
      </c>
      <c r="G182" s="7" t="str">
        <f>IFERROR(__xludf.DUMMYFUNCTION("GoogleTranslate(C182, ""en"", ""vi"")"),"Độ chính xác vượt trội đã được chứng minh")</f>
        <v>Độ chính xác vượt trội đã được chứng minh</v>
      </c>
      <c r="H182" s="7" t="str">
        <f>IFERROR(__xludf.DUMMYFUNCTION("GoogleTranslate(C182, ""en"", ""az"")"),"Sübut edilmiş Üstün Dəqiqlik")</f>
        <v>Sübut edilmiş Üstün Dəqiqlik</v>
      </c>
      <c r="I182" s="7" t="str">
        <f>IFERROR(__xludf.DUMMYFUNCTION("GoogleTranslate(C182, ""en"", ""eu"")"),"Goi-mailako zehaztasun frogatua")</f>
        <v>Goi-mailako zehaztasun frogatua</v>
      </c>
      <c r="J182" s="7" t="str">
        <f>IFERROR(__xludf.DUMMYFUNCTION("GoogleTranslate(C182, ""en"", ""be"")"),"Правераная найвышэйшая дакладнасць")</f>
        <v>Правераная найвышэйшая дакладнасць</v>
      </c>
      <c r="K182" s="7" t="str">
        <f>IFERROR(__xludf.DUMMYFUNCTION("GoogleTranslate(C182, ""en"", ""bn"")"),"প্রমাণিত উচ্চতর নির্ভুলতা")</f>
        <v>প্রমাণিত উচ্চতর নির্ভুলতা</v>
      </c>
      <c r="L182" s="7" t="str">
        <f>IFERROR(__xludf.DUMMYFUNCTION("GoogleTranslate(C182, ""en"", ""bg"")"),"Доказана превъзходна точност")</f>
        <v>Доказана превъзходна точност</v>
      </c>
      <c r="M182" s="7" t="str">
        <f>IFERROR(__xludf.DUMMYFUNCTION("GoogleTranslate(C182, ""en"", ""my"")"),"သာလွန်တိကျမှုကို သက်သေပြထားသည်။")</f>
        <v>သာလွန်တိကျမှုကို သက်သေပြထားသည်။</v>
      </c>
      <c r="N182" s="7" t="str">
        <f>IFERROR(__xludf.DUMMYFUNCTION("GoogleTranslate(C182, ""en"", ""ca"")"),"Precisió superior provada")</f>
        <v>Precisió superior provada</v>
      </c>
      <c r="O182" s="7" t="str">
        <f>IFERROR(__xludf.DUMMYFUNCTION("GoogleTranslate(C182, ""en"", ""zh-cn"")"),"经验证的卓越精度")</f>
        <v>经验证的卓越精度</v>
      </c>
      <c r="P182" s="7" t="str">
        <f>IFERROR(__xludf.DUMMYFUNCTION("GoogleTranslate(C182, ""en"", ""zh-TW"")"),"經驗證的卓越精度")</f>
        <v>經驗證的卓越精度</v>
      </c>
      <c r="Q182" s="7" t="str">
        <f>IFERROR(__xludf.DUMMYFUNCTION("GoogleTranslate(C182, ""en"", ""hr"")"),"Dokazana vrhunska točnost")</f>
        <v>Dokazana vrhunska točnost</v>
      </c>
      <c r="R182" s="7" t="str">
        <f>IFERROR(__xludf.DUMMYFUNCTION("GoogleTranslate(C182, ""en"", ""cs"")"),"Osvědčená špičková přesnost")</f>
        <v>Osvědčená špičková přesnost</v>
      </c>
      <c r="S182" s="7" t="str">
        <f>IFERROR(__xludf.DUMMYFUNCTION("GoogleTranslate(C182, ""en"", ""da"")"),"Bevist overlegen nøjagtighed")</f>
        <v>Bevist overlegen nøjagtighed</v>
      </c>
      <c r="T182" s="7" t="str">
        <f>IFERROR(__xludf.DUMMYFUNCTION("GoogleTranslate(C182, ""en"", ""nl"")"),"Bewezen superieure nauwkeurigheid")</f>
        <v>Bewezen superieure nauwkeurigheid</v>
      </c>
      <c r="U182" s="7" t="str">
        <f>IFERROR(__xludf.DUMMYFUNCTION("GoogleTranslate(C182, ""en"", ""et"")"),"Tõestatud ülim täpsus")</f>
        <v>Tõestatud ülim täpsus</v>
      </c>
      <c r="V182" s="5" t="str">
        <f t="shared" si="3"/>
        <v>Proven Superior Accuracy</v>
      </c>
      <c r="W182" s="7" t="str">
        <f>IFERROR(__xludf.DUMMYFUNCTION("GoogleTranslate(C182, ""en"", ""fi"")"),"Todistettu huipputarkkuus")</f>
        <v>Todistettu huipputarkkuus</v>
      </c>
      <c r="X182" s="7" t="str">
        <f>IFERROR(__xludf.DUMMYFUNCTION("GoogleTranslate(C182, ""en"", ""fr"")"),"Précision supérieure éprouvée")</f>
        <v>Précision supérieure éprouvée</v>
      </c>
      <c r="Y182" s="7" t="str">
        <f>IFERROR(__xludf.DUMMYFUNCTION("GoogleTranslate(C182, ""en"", ""de"")"),"Bewährte überlegene Genauigkeit")</f>
        <v>Bewährte überlegene Genauigkeit</v>
      </c>
      <c r="Z182" s="7" t="str">
        <f>IFERROR(__xludf.DUMMYFUNCTION("GoogleTranslate(C182, ""en"", ""el"")"),"Αποδεδειγμένη Ανώτερη Ακρίβεια")</f>
        <v>Αποδεδειγμένη Ανώτερη Ακρίβεια</v>
      </c>
      <c r="AA182" s="7" t="str">
        <f>IFERROR(__xludf.DUMMYFUNCTION("GoogleTranslate(C182, ""en"", ""iw"")"),"דיוק מעולה מוכח")</f>
        <v>דיוק מעולה מוכח</v>
      </c>
      <c r="AB182" s="7" t="str">
        <f>IFERROR(__xludf.DUMMYFUNCTION("GoogleTranslate(C182, ""en"", ""hi"")"),"सिद्ध श्रेष्ठ सटीकता")</f>
        <v>सिद्ध श्रेष्ठ सटीकता</v>
      </c>
      <c r="AC182" s="7" t="str">
        <f>IFERROR(__xludf.DUMMYFUNCTION("GoogleTranslate(C182, ""en"", ""hu"")"),"Bizonyított kiváló pontosság")</f>
        <v>Bizonyított kiváló pontosság</v>
      </c>
      <c r="AD182" s="7" t="str">
        <f>IFERROR(__xludf.DUMMYFUNCTION("GoogleTranslate(C182, ""en"", ""is"")"),"Sannað yfirburða nákvæmni")</f>
        <v>Sannað yfirburða nákvæmni</v>
      </c>
      <c r="AE182" s="7" t="str">
        <f>IFERROR(__xludf.DUMMYFUNCTION("GoogleTranslate(C182, ""en"", ""id"")"),"Akurasi Unggul Terbukti")</f>
        <v>Akurasi Unggul Terbukti</v>
      </c>
      <c r="AF182" s="7" t="str">
        <f>IFERROR(__xludf.DUMMYFUNCTION("GoogleTranslate(C182, ""en"", ""in"")"),"Akurasi Unggul Terbukti")</f>
        <v>Akurasi Unggul Terbukti</v>
      </c>
      <c r="AG182" s="7" t="str">
        <f>IFERROR(__xludf.DUMMYFUNCTION("GoogleTranslate(C182, ""en"", ""it"")"),"Precisione superiore comprovata")</f>
        <v>Precisione superiore comprovata</v>
      </c>
      <c r="AH182" s="7" t="str">
        <f>IFERROR(__xludf.DUMMYFUNCTION("GoogleTranslate(C182, ""en"", ""ja"")"),"実証された優れた精度")</f>
        <v>実証された優れた精度</v>
      </c>
      <c r="AI182" s="7" t="str">
        <f>IFERROR(__xludf.DUMMYFUNCTION("GoogleTranslate(C182, ""en"", ""kn"")"),"ಸಾಬೀತಾದ ಸುಪೀರಿಯರ್ ನಿಖರತೆ")</f>
        <v>ಸಾಬೀತಾದ ಸುಪೀರಿಯರ್ ನಿಖರತೆ</v>
      </c>
      <c r="AJ182" s="7" t="str">
        <f>IFERROR(__xludf.DUMMYFUNCTION("GoogleTranslate(C182, ""en"", ""km"")"),"បញ្ជាក់ភាពត្រឹមត្រូវខ្ពស់បំផុត")</f>
        <v>បញ្ជាក់ភាពត្រឹមត្រូវខ្ពស់បំផុត</v>
      </c>
      <c r="AK182" s="7" t="str">
        <f>IFERROR(__xludf.DUMMYFUNCTION("GoogleTranslate(C182, ""en"", ""ko"")"),"입증된 뛰어난 정확도")</f>
        <v>입증된 뛰어난 정확도</v>
      </c>
      <c r="AL182" s="7" t="str">
        <f>IFERROR(__xludf.DUMMYFUNCTION("GoogleTranslate(C182, ""en"", ""lo"")"),"ພິສູດຄວາມຖືກຕ້ອງດີກວ່າ")</f>
        <v>ພິສູດຄວາມຖືກຕ້ອງດີກວ່າ</v>
      </c>
      <c r="AM182" s="7" t="str">
        <f>IFERROR(__xludf.DUMMYFUNCTION("GoogleTranslate(C182, ""en"", ""lv"")"),"Pierādīta izcila precizitāte")</f>
        <v>Pierādīta izcila precizitāte</v>
      </c>
      <c r="AN182" s="7" t="str">
        <f>IFERROR(__xludf.DUMMYFUNCTION("GoogleTranslate(C182, ""en"", ""lt"")"),"Įrodytas puikus tikslumas")</f>
        <v>Įrodytas puikus tikslumas</v>
      </c>
      <c r="AO182" s="7" t="str">
        <f>IFERROR(__xludf.DUMMYFUNCTION("GoogleTranslate(C182, ""en"", ""mk"")"),"Докажана супериорна точност")</f>
        <v>Докажана супериорна точност</v>
      </c>
      <c r="AP182" s="7" t="str">
        <f>IFERROR(__xludf.DUMMYFUNCTION("GoogleTranslate(C182, ""en"", ""ms"")"),"Terbukti Ketepatan Unggul")</f>
        <v>Terbukti Ketepatan Unggul</v>
      </c>
      <c r="AQ182" s="7" t="str">
        <f>IFERROR(__xludf.DUMMYFUNCTION("GoogleTranslate(C182, ""en"", ""ml"")"),"തെളിയിക്കപ്പെട്ട സുപ്പീരിയർ കൃത്യത")</f>
        <v>തെളിയിക്കപ്പെട്ട സുപ്പീരിയർ കൃത്യത</v>
      </c>
      <c r="AR182" s="7" t="str">
        <f>IFERROR(__xludf.DUMMYFUNCTION("GoogleTranslate(C182, ""en"", ""mr"")"),"सिद्ध उत्कृष्ट अचूकता")</f>
        <v>सिद्ध उत्कृष्ट अचूकता</v>
      </c>
      <c r="AS182" s="7" t="str">
        <f>IFERROR(__xludf.DUMMYFUNCTION("GoogleTranslate(C182, ""en"", ""mn"")"),"Батлагдсан дээд зэргийн нарийвчлал")</f>
        <v>Батлагдсан дээд зэргийн нарийвчлал</v>
      </c>
      <c r="AT182" s="7" t="str">
        <f>IFERROR(__xludf.DUMMYFUNCTION("GoogleTranslate(C182, ""en"", ""ne"")"),"प्रमाणित सुपीरियर शुद्धता")</f>
        <v>प्रमाणित सुपीरियर शुद्धता</v>
      </c>
      <c r="AU182" s="7" t="str">
        <f>IFERROR(__xludf.DUMMYFUNCTION("GoogleTranslate(C182, ""en"", ""nb"")"),"Påvist overlegen nøyaktighet")</f>
        <v>Påvist overlegen nøyaktighet</v>
      </c>
      <c r="AV182" s="7" t="str">
        <f>IFERROR(__xludf.DUMMYFUNCTION("GoogleTranslate(C182, ""en"", ""fa"")"),"دقت برتر ثابت شده")</f>
        <v>دقت برتر ثابت شده</v>
      </c>
      <c r="AW182" s="7" t="str">
        <f>IFERROR(__xludf.DUMMYFUNCTION("GoogleTranslate(C182, ""en"", ""pl"")"),"Sprawdzona najwyższa dokładność")</f>
        <v>Sprawdzona najwyższa dokładność</v>
      </c>
      <c r="AX182" s="7" t="str">
        <f>IFERROR(__xludf.DUMMYFUNCTION("GoogleTranslate(C182, ""en"", ""pt"")"),"Precisão superior comprovada")</f>
        <v>Precisão superior comprovada</v>
      </c>
      <c r="AY182" s="7" t="str">
        <f>IFERROR(__xludf.DUMMYFUNCTION("GoogleTranslate(C182, ""en"", ""ro"")"),"Precizie superioară dovedită")</f>
        <v>Precizie superioară dovedită</v>
      </c>
      <c r="AZ182" s="7" t="str">
        <f>IFERROR(__xludf.DUMMYFUNCTION("GoogleTranslate(C182, ""en"", ""ru"")"),"Проверенная превосходная точность")</f>
        <v>Проверенная превосходная точность</v>
      </c>
      <c r="BA182" s="7" t="str">
        <f>IFERROR(__xludf.DUMMYFUNCTION("GoogleTranslate(C182, ""en"", ""sr"")"),"Доказана врхунска прецизност")</f>
        <v>Доказана врхунска прецизност</v>
      </c>
      <c r="BB182" s="7" t="str">
        <f>IFERROR(__xludf.DUMMYFUNCTION("GoogleTranslate(C182, ""en"", ""si"")"),"උසස් නිරවද්‍යතාවය ඔප්පු කර ඇත")</f>
        <v>උසස් නිරවද්‍යතාවය ඔප්පු කර ඇත</v>
      </c>
      <c r="BC182" s="7" t="str">
        <f>IFERROR(__xludf.DUMMYFUNCTION("GoogleTranslate(C182, ""en"", ""sk"")"),"Overená špičková presnosť")</f>
        <v>Overená špičková presnosť</v>
      </c>
      <c r="BD182" s="7" t="str">
        <f>IFERROR(__xludf.DUMMYFUNCTION("GoogleTranslate(C182, ""en"", ""sl"")"),"Preizkušena vrhunska natančnost")</f>
        <v>Preizkušena vrhunska natančnost</v>
      </c>
      <c r="BE182" s="7" t="str">
        <f>IFERROR(__xludf.DUMMYFUNCTION("GoogleTranslate(C182, ""en"", ""es"")"),"Precisión superior comprobada")</f>
        <v>Precisión superior comprobada</v>
      </c>
      <c r="BF182" s="7" t="str">
        <f>IFERROR(__xludf.DUMMYFUNCTION("GoogleTranslate(C182, ""en"", ""sw"")"),"Imethibitishwa Usahihi wa Juu")</f>
        <v>Imethibitishwa Usahihi wa Juu</v>
      </c>
      <c r="BG182" s="7" t="str">
        <f>IFERROR(__xludf.DUMMYFUNCTION("GoogleTranslate(C182, ""en"", ""sv"")"),"Beprövad överlägsen noggrannhet")</f>
        <v>Beprövad överlägsen noggrannhet</v>
      </c>
      <c r="BH182" s="7" t="str">
        <f>IFERROR(__xludf.DUMMYFUNCTION("GoogleTranslate(C182, ""en"", ""te"")"),"సుపీరియర్ ఖచ్చితత్వం నిరూపించబడింది")</f>
        <v>సుపీరియర్ ఖచ్చితత్వం నిరూపించబడింది</v>
      </c>
      <c r="BI182" s="7" t="str">
        <f>IFERROR(__xludf.DUMMYFUNCTION("GoogleTranslate(C182, ""en"", ""th"")"),"ความแม่นยำที่เหนือกว่าที่ได้รับการพิสูจน์แล้ว")</f>
        <v>ความแม่นยำที่เหนือกว่าที่ได้รับการพิสูจน์แล้ว</v>
      </c>
      <c r="BJ182" s="7" t="str">
        <f>IFERROR(__xludf.DUMMYFUNCTION("GoogleTranslate(C182, ""en"", ""tr"")"),"Kanıtlanmış Üstün Doğruluk")</f>
        <v>Kanıtlanmış Üstün Doğruluk</v>
      </c>
      <c r="BK182" s="7" t="str">
        <f>IFERROR(__xludf.DUMMYFUNCTION("GoogleTranslate(C182, ""en"", ""uk"")"),"Перевірена неперевершена точність")</f>
        <v>Перевірена неперевершена точність</v>
      </c>
      <c r="BL182" s="7" t="str">
        <f>IFERROR(__xludf.DUMMYFUNCTION("GoogleTranslate(C182, ""en"", ""zu"")"),"Ukunemba Okuphakeme Okuqinisekisiwe")</f>
        <v>Ukunemba Okuphakeme Okuqinisekisiwe</v>
      </c>
    </row>
    <row r="183">
      <c r="A183" s="5" t="str">
        <f t="shared" si="1"/>
        <v>About_Weather</v>
      </c>
      <c r="B183" s="6" t="s">
        <v>236</v>
      </c>
      <c r="C183" s="5" t="str">
        <f t="shared" si="2"/>
        <v>About Weather</v>
      </c>
      <c r="D183" s="7" t="str">
        <f>IFERROR(__xludf.DUMMYFUNCTION("GoogleTranslate(C183, ""en"", ""es"")"),"Acerca del clima")</f>
        <v>Acerca del clima</v>
      </c>
      <c r="E183" s="7" t="str">
        <f>IFERROR(__xludf.DUMMYFUNCTION("GoogleTranslate(C183, ""en"", ""ar"")"),"حول الطقس")</f>
        <v>حول الطقس</v>
      </c>
      <c r="F183" s="7" t="str">
        <f>IFERROR(__xludf.DUMMYFUNCTION("GoogleTranslate(C183, ""en"", ""hy"")"),"Եղանակի մասին")</f>
        <v>Եղանակի մասին</v>
      </c>
      <c r="G183" s="7" t="str">
        <f>IFERROR(__xludf.DUMMYFUNCTION("GoogleTranslate(C183, ""en"", ""vi"")"),"Về thời tiết")</f>
        <v>Về thời tiết</v>
      </c>
      <c r="H183" s="7" t="str">
        <f>IFERROR(__xludf.DUMMYFUNCTION("GoogleTranslate(C183, ""en"", ""az"")"),"Hava haqqında")</f>
        <v>Hava haqqında</v>
      </c>
      <c r="I183" s="7" t="str">
        <f>IFERROR(__xludf.DUMMYFUNCTION("GoogleTranslate(C183, ""en"", ""eu"")"),"Eguraldiari buruz")</f>
        <v>Eguraldiari buruz</v>
      </c>
      <c r="J183" s="7" t="str">
        <f>IFERROR(__xludf.DUMMYFUNCTION("GoogleTranslate(C183, ""en"", ""be"")"),"Пра надвор'е")</f>
        <v>Пра надвор'е</v>
      </c>
      <c r="K183" s="7" t="str">
        <f>IFERROR(__xludf.DUMMYFUNCTION("GoogleTranslate(C183, ""en"", ""bn"")"),"আবহাওয়া সম্পর্কে")</f>
        <v>আবহাওয়া সম্পর্কে</v>
      </c>
      <c r="L183" s="7" t="str">
        <f>IFERROR(__xludf.DUMMYFUNCTION("GoogleTranslate(C183, ""en"", ""bg"")"),"Относно времето")</f>
        <v>Относно времето</v>
      </c>
      <c r="M183" s="7" t="str">
        <f>IFERROR(__xludf.DUMMYFUNCTION("GoogleTranslate(C183, ""en"", ""my"")"),"ရာသီဥတုအကြောင်း")</f>
        <v>ရာသီဥတုအကြောင်း</v>
      </c>
      <c r="N183" s="7" t="str">
        <f>IFERROR(__xludf.DUMMYFUNCTION("GoogleTranslate(C183, ""en"", ""ca"")"),"Sobre el temps")</f>
        <v>Sobre el temps</v>
      </c>
      <c r="O183" s="7" t="str">
        <f>IFERROR(__xludf.DUMMYFUNCTION("GoogleTranslate(C183, ""en"", ""zh-cn"")"),"关于天气")</f>
        <v>关于天气</v>
      </c>
      <c r="P183" s="7" t="str">
        <f>IFERROR(__xludf.DUMMYFUNCTION("GoogleTranslate(C183, ""en"", ""zh-TW"")"),"關於天氣")</f>
        <v>關於天氣</v>
      </c>
      <c r="Q183" s="7" t="str">
        <f>IFERROR(__xludf.DUMMYFUNCTION("GoogleTranslate(C183, ""en"", ""hr"")"),"O vremenu")</f>
        <v>O vremenu</v>
      </c>
      <c r="R183" s="7" t="str">
        <f>IFERROR(__xludf.DUMMYFUNCTION("GoogleTranslate(C183, ""en"", ""cs"")"),"O počasí")</f>
        <v>O počasí</v>
      </c>
      <c r="S183" s="7" t="str">
        <f>IFERROR(__xludf.DUMMYFUNCTION("GoogleTranslate(C183, ""en"", ""da"")"),"Om vejret")</f>
        <v>Om vejret</v>
      </c>
      <c r="T183" s="7" t="str">
        <f>IFERROR(__xludf.DUMMYFUNCTION("GoogleTranslate(C183, ""en"", ""nl"")"),"Over het weer")</f>
        <v>Over het weer</v>
      </c>
      <c r="U183" s="7" t="str">
        <f>IFERROR(__xludf.DUMMYFUNCTION("GoogleTranslate(C183, ""en"", ""et"")"),"Ilma kohta")</f>
        <v>Ilma kohta</v>
      </c>
      <c r="V183" s="5" t="str">
        <f t="shared" si="3"/>
        <v>About Weather</v>
      </c>
      <c r="W183" s="7" t="str">
        <f>IFERROR(__xludf.DUMMYFUNCTION("GoogleTranslate(C183, ""en"", ""fi"")"),"Tietoja säästä")</f>
        <v>Tietoja säästä</v>
      </c>
      <c r="X183" s="7" t="str">
        <f>IFERROR(__xludf.DUMMYFUNCTION("GoogleTranslate(C183, ""en"", ""fr"")"),"À propos de la météo")</f>
        <v>À propos de la météo</v>
      </c>
      <c r="Y183" s="7" t="str">
        <f>IFERROR(__xludf.DUMMYFUNCTION("GoogleTranslate(C183, ""en"", ""de"")"),"Über das Wetter")</f>
        <v>Über das Wetter</v>
      </c>
      <c r="Z183" s="7" t="str">
        <f>IFERROR(__xludf.DUMMYFUNCTION("GoogleTranslate(C183, ""en"", ""el"")"),"Σχετικά με τον καιρό")</f>
        <v>Σχετικά με τον καιρό</v>
      </c>
      <c r="AA183" s="7" t="str">
        <f>IFERROR(__xludf.DUMMYFUNCTION("GoogleTranslate(C183, ""en"", ""iw"")"),"על מזג האוויר")</f>
        <v>על מזג האוויר</v>
      </c>
      <c r="AB183" s="7" t="str">
        <f>IFERROR(__xludf.DUMMYFUNCTION("GoogleTranslate(C183, ""en"", ""hi"")"),"मौसम के बारे में")</f>
        <v>मौसम के बारे में</v>
      </c>
      <c r="AC183" s="7" t="str">
        <f>IFERROR(__xludf.DUMMYFUNCTION("GoogleTranslate(C183, ""en"", ""hu"")"),"Az időjárásról")</f>
        <v>Az időjárásról</v>
      </c>
      <c r="AD183" s="7" t="str">
        <f>IFERROR(__xludf.DUMMYFUNCTION("GoogleTranslate(C183, ""en"", ""is"")"),"Um Veður")</f>
        <v>Um Veður</v>
      </c>
      <c r="AE183" s="7" t="str">
        <f>IFERROR(__xludf.DUMMYFUNCTION("GoogleTranslate(C183, ""en"", ""id"")"),"Tentang Cuaca")</f>
        <v>Tentang Cuaca</v>
      </c>
      <c r="AF183" s="7" t="str">
        <f>IFERROR(__xludf.DUMMYFUNCTION("GoogleTranslate(C183, ""en"", ""in"")"),"Tentang Cuaca")</f>
        <v>Tentang Cuaca</v>
      </c>
      <c r="AG183" s="7" t="str">
        <f>IFERROR(__xludf.DUMMYFUNCTION("GoogleTranslate(C183, ""en"", ""it"")"),"Informazioni sul meteo")</f>
        <v>Informazioni sul meteo</v>
      </c>
      <c r="AH183" s="7" t="str">
        <f>IFERROR(__xludf.DUMMYFUNCTION("GoogleTranslate(C183, ""en"", ""ja"")"),"天気について")</f>
        <v>天気について</v>
      </c>
      <c r="AI183" s="7" t="str">
        <f>IFERROR(__xludf.DUMMYFUNCTION("GoogleTranslate(C183, ""en"", ""kn"")"),"ಹವಾಮಾನದ ಬಗ್ಗೆ")</f>
        <v>ಹವಾಮಾನದ ಬಗ್ಗೆ</v>
      </c>
      <c r="AJ183" s="7" t="str">
        <f>IFERROR(__xludf.DUMMYFUNCTION("GoogleTranslate(C183, ""en"", ""km"")"),"អំពីអាកាសធាតុ")</f>
        <v>អំពីអាកាសធាតុ</v>
      </c>
      <c r="AK183" s="7" t="str">
        <f>IFERROR(__xludf.DUMMYFUNCTION("GoogleTranslate(C183, ""en"", ""ko"")"),"날씨에 대하여")</f>
        <v>날씨에 대하여</v>
      </c>
      <c r="AL183" s="7" t="str">
        <f>IFERROR(__xludf.DUMMYFUNCTION("GoogleTranslate(C183, ""en"", ""lo"")"),"ກ່ຽວກັບສະພາບອາກາດ")</f>
        <v>ກ່ຽວກັບສະພາບອາກາດ</v>
      </c>
      <c r="AM183" s="7" t="str">
        <f>IFERROR(__xludf.DUMMYFUNCTION("GoogleTranslate(C183, ""en"", ""lv"")"),"Par laikapstākļiem")</f>
        <v>Par laikapstākļiem</v>
      </c>
      <c r="AN183" s="7" t="str">
        <f>IFERROR(__xludf.DUMMYFUNCTION("GoogleTranslate(C183, ""en"", ""lt"")"),"Apie Orus")</f>
        <v>Apie Orus</v>
      </c>
      <c r="AO183" s="7" t="str">
        <f>IFERROR(__xludf.DUMMYFUNCTION("GoogleTranslate(C183, ""en"", ""mk"")"),"За времето")</f>
        <v>За времето</v>
      </c>
      <c r="AP183" s="7" t="str">
        <f>IFERROR(__xludf.DUMMYFUNCTION("GoogleTranslate(C183, ""en"", ""ms"")"),"Mengenai Cuaca")</f>
        <v>Mengenai Cuaca</v>
      </c>
      <c r="AQ183" s="7" t="str">
        <f>IFERROR(__xludf.DUMMYFUNCTION("GoogleTranslate(C183, ""en"", ""ml"")"),"കാലാവസ്ഥയെക്കുറിച്ച്")</f>
        <v>കാലാവസ്ഥയെക്കുറിച്ച്</v>
      </c>
      <c r="AR183" s="7" t="str">
        <f>IFERROR(__xludf.DUMMYFUNCTION("GoogleTranslate(C183, ""en"", ""mr"")"),"हवामानाबद्दल")</f>
        <v>हवामानाबद्दल</v>
      </c>
      <c r="AS183" s="7" t="str">
        <f>IFERROR(__xludf.DUMMYFUNCTION("GoogleTranslate(C183, ""en"", ""mn"")"),"Цаг агаарын тухай")</f>
        <v>Цаг агаарын тухай</v>
      </c>
      <c r="AT183" s="7" t="str">
        <f>IFERROR(__xludf.DUMMYFUNCTION("GoogleTranslate(C183, ""en"", ""ne"")"),"मौसमको बारेमा")</f>
        <v>मौसमको बारेमा</v>
      </c>
      <c r="AU183" s="7" t="str">
        <f>IFERROR(__xludf.DUMMYFUNCTION("GoogleTranslate(C183, ""en"", ""nb"")"),"Om vær")</f>
        <v>Om vær</v>
      </c>
      <c r="AV183" s="7" t="str">
        <f>IFERROR(__xludf.DUMMYFUNCTION("GoogleTranslate(C183, ""en"", ""fa"")"),"درباره آب و هوا")</f>
        <v>درباره آب و هوا</v>
      </c>
      <c r="AW183" s="7" t="str">
        <f>IFERROR(__xludf.DUMMYFUNCTION("GoogleTranslate(C183, ""en"", ""pl"")"),"O pogodzie")</f>
        <v>O pogodzie</v>
      </c>
      <c r="AX183" s="7" t="str">
        <f>IFERROR(__xludf.DUMMYFUNCTION("GoogleTranslate(C183, ""en"", ""pt"")"),"Sobre o clima")</f>
        <v>Sobre o clima</v>
      </c>
      <c r="AY183" s="7" t="str">
        <f>IFERROR(__xludf.DUMMYFUNCTION("GoogleTranslate(C183, ""en"", ""ro"")"),"Despre vreme")</f>
        <v>Despre vreme</v>
      </c>
      <c r="AZ183" s="7" t="str">
        <f>IFERROR(__xludf.DUMMYFUNCTION("GoogleTranslate(C183, ""en"", ""ru"")"),"О погоде")</f>
        <v>О погоде</v>
      </c>
      <c r="BA183" s="7" t="str">
        <f>IFERROR(__xludf.DUMMYFUNCTION("GoogleTranslate(C183, ""en"", ""sr"")"),"О времену")</f>
        <v>О времену</v>
      </c>
      <c r="BB183" s="7" t="str">
        <f>IFERROR(__xludf.DUMMYFUNCTION("GoogleTranslate(C183, ""en"", ""si"")"),"කාලගුණය ගැන")</f>
        <v>කාලගුණය ගැන</v>
      </c>
      <c r="BC183" s="7" t="str">
        <f>IFERROR(__xludf.DUMMYFUNCTION("GoogleTranslate(C183, ""en"", ""sk"")"),"O počasí")</f>
        <v>O počasí</v>
      </c>
      <c r="BD183" s="7" t="str">
        <f>IFERROR(__xludf.DUMMYFUNCTION("GoogleTranslate(C183, ""en"", ""sl"")"),"O vremenu")</f>
        <v>O vremenu</v>
      </c>
      <c r="BE183" s="7" t="str">
        <f>IFERROR(__xludf.DUMMYFUNCTION("GoogleTranslate(C183, ""en"", ""es"")"),"Acerca del clima")</f>
        <v>Acerca del clima</v>
      </c>
      <c r="BF183" s="7" t="str">
        <f>IFERROR(__xludf.DUMMYFUNCTION("GoogleTranslate(C183, ""en"", ""sw"")"),"Kuhusu Hali ya Hewa")</f>
        <v>Kuhusu Hali ya Hewa</v>
      </c>
      <c r="BG183" s="7" t="str">
        <f>IFERROR(__xludf.DUMMYFUNCTION("GoogleTranslate(C183, ""en"", ""sv"")"),"Om väder")</f>
        <v>Om väder</v>
      </c>
      <c r="BH183" s="7" t="str">
        <f>IFERROR(__xludf.DUMMYFUNCTION("GoogleTranslate(C183, ""en"", ""te"")"),"వాతావరణం గురించి")</f>
        <v>వాతావరణం గురించి</v>
      </c>
      <c r="BI183" s="7" t="str">
        <f>IFERROR(__xludf.DUMMYFUNCTION("GoogleTranslate(C183, ""en"", ""th"")"),"เกี่ยวกับสภาพอากาศ")</f>
        <v>เกี่ยวกับสภาพอากาศ</v>
      </c>
      <c r="BJ183" s="7" t="str">
        <f>IFERROR(__xludf.DUMMYFUNCTION("GoogleTranslate(C183, ""en"", ""tr"")"),"Hava Durumu Hakkında")</f>
        <v>Hava Durumu Hakkında</v>
      </c>
      <c r="BK183" s="7" t="str">
        <f>IFERROR(__xludf.DUMMYFUNCTION("GoogleTranslate(C183, ""en"", ""uk"")"),"Про погоду")</f>
        <v>Про погоду</v>
      </c>
      <c r="BL183" s="7" t="str">
        <f>IFERROR(__xludf.DUMMYFUNCTION("GoogleTranslate(C183, ""en"", ""zu"")"),"Mayelana Nesimo Sezulu")</f>
        <v>Mayelana Nesimo Sezulu</v>
      </c>
    </row>
    <row r="184">
      <c r="A184" s="5" t="str">
        <f t="shared" si="1"/>
        <v>Contact_Us</v>
      </c>
      <c r="B184" s="6" t="s">
        <v>237</v>
      </c>
      <c r="C184" s="5" t="str">
        <f t="shared" si="2"/>
        <v>Contact Us</v>
      </c>
      <c r="D184" s="7" t="str">
        <f>IFERROR(__xludf.DUMMYFUNCTION("GoogleTranslate(C184, ""en"", ""es"")"),"Contáctenos")</f>
        <v>Contáctenos</v>
      </c>
      <c r="E184" s="7" t="str">
        <f>IFERROR(__xludf.DUMMYFUNCTION("GoogleTranslate(C184, ""en"", ""ar"")"),"اتصل بنا")</f>
        <v>اتصل بنا</v>
      </c>
      <c r="F184" s="7" t="str">
        <f>IFERROR(__xludf.DUMMYFUNCTION("GoogleTranslate(C184, ""en"", ""hy"")"),"Կապ մեզ հետ")</f>
        <v>Կապ մեզ հետ</v>
      </c>
      <c r="G184" s="7" t="str">
        <f>IFERROR(__xludf.DUMMYFUNCTION("GoogleTranslate(C184, ""en"", ""vi"")"),"Liên hệ với chúng tôi")</f>
        <v>Liên hệ với chúng tôi</v>
      </c>
      <c r="H184" s="7" t="str">
        <f>IFERROR(__xludf.DUMMYFUNCTION("GoogleTranslate(C184, ""en"", ""az"")"),"Bizimlə əlaqə saxlayın")</f>
        <v>Bizimlə əlaqə saxlayın</v>
      </c>
      <c r="I184" s="7" t="str">
        <f>IFERROR(__xludf.DUMMYFUNCTION("GoogleTranslate(C184, ""en"", ""eu"")"),"Jarri gurekin harremanetan")</f>
        <v>Jarri gurekin harremanetan</v>
      </c>
      <c r="J184" s="7" t="str">
        <f>IFERROR(__xludf.DUMMYFUNCTION("GoogleTranslate(C184, ""en"", ""be"")"),"Звяжыцеся з намі")</f>
        <v>Звяжыцеся з намі</v>
      </c>
      <c r="K184" s="7" t="str">
        <f>IFERROR(__xludf.DUMMYFUNCTION("GoogleTranslate(C184, ""en"", ""bn"")"),"আমাদের সাথে যোগাযোগ করুন")</f>
        <v>আমাদের সাথে যোগাযোগ করুন</v>
      </c>
      <c r="L184" s="7" t="str">
        <f>IFERROR(__xludf.DUMMYFUNCTION("GoogleTranslate(C184, ""en"", ""bg"")"),"Свържете се с нас")</f>
        <v>Свържете се с нас</v>
      </c>
      <c r="M184" s="7" t="str">
        <f>IFERROR(__xludf.DUMMYFUNCTION("GoogleTranslate(C184, ""en"", ""my"")"),"ကြှနျုပျတို့ကိုဆကျသှယျရနျ")</f>
        <v>ကြှနျုပျတို့ကိုဆကျသှယျရနျ</v>
      </c>
      <c r="N184" s="7" t="str">
        <f>IFERROR(__xludf.DUMMYFUNCTION("GoogleTranslate(C184, ""en"", ""ca"")"),"Contacta amb nosaltres")</f>
        <v>Contacta amb nosaltres</v>
      </c>
      <c r="O184" s="7" t="str">
        <f>IFERROR(__xludf.DUMMYFUNCTION("GoogleTranslate(C184, ""en"", ""zh-cn"")"),"联系我们")</f>
        <v>联系我们</v>
      </c>
      <c r="P184" s="7" t="str">
        <f>IFERROR(__xludf.DUMMYFUNCTION("GoogleTranslate(C184, ""en"", ""zh-TW"")"),"聯絡我們")</f>
        <v>聯絡我們</v>
      </c>
      <c r="Q184" s="7" t="str">
        <f>IFERROR(__xludf.DUMMYFUNCTION("GoogleTranslate(C184, ""en"", ""hr"")"),"Kontaktirajte nas")</f>
        <v>Kontaktirajte nas</v>
      </c>
      <c r="R184" s="7" t="str">
        <f>IFERROR(__xludf.DUMMYFUNCTION("GoogleTranslate(C184, ""en"", ""cs"")"),"Kontaktujte nás")</f>
        <v>Kontaktujte nás</v>
      </c>
      <c r="S184" s="7" t="str">
        <f>IFERROR(__xludf.DUMMYFUNCTION("GoogleTranslate(C184, ""en"", ""da"")"),"Kontakt os")</f>
        <v>Kontakt os</v>
      </c>
      <c r="T184" s="7" t="str">
        <f>IFERROR(__xludf.DUMMYFUNCTION("GoogleTranslate(C184, ""en"", ""nl"")"),"Neem contact met ons op")</f>
        <v>Neem contact met ons op</v>
      </c>
      <c r="U184" s="7" t="str">
        <f>IFERROR(__xludf.DUMMYFUNCTION("GoogleTranslate(C184, ""en"", ""et"")"),"Võtke meiega ühendust")</f>
        <v>Võtke meiega ühendust</v>
      </c>
      <c r="V184" s="5" t="str">
        <f t="shared" si="3"/>
        <v>Contact Us</v>
      </c>
      <c r="W184" s="7" t="str">
        <f>IFERROR(__xludf.DUMMYFUNCTION("GoogleTranslate(C184, ""en"", ""fi"")"),"Ota yhteyttä")</f>
        <v>Ota yhteyttä</v>
      </c>
      <c r="X184" s="7" t="str">
        <f>IFERROR(__xludf.DUMMYFUNCTION("GoogleTranslate(C184, ""en"", ""fr"")"),"Contactez-nous")</f>
        <v>Contactez-nous</v>
      </c>
      <c r="Y184" s="7" t="str">
        <f>IFERROR(__xludf.DUMMYFUNCTION("GoogleTranslate(C184, ""en"", ""de"")"),"Kontaktieren Sie uns")</f>
        <v>Kontaktieren Sie uns</v>
      </c>
      <c r="Z184" s="7" t="str">
        <f>IFERROR(__xludf.DUMMYFUNCTION("GoogleTranslate(C184, ""en"", ""el"")"),"Επικοινωνήστε μαζί μας")</f>
        <v>Επικοινωνήστε μαζί μας</v>
      </c>
      <c r="AA184" s="7" t="str">
        <f>IFERROR(__xludf.DUMMYFUNCTION("GoogleTranslate(C184, ""en"", ""iw"")"),"צור קשר")</f>
        <v>צור קשר</v>
      </c>
      <c r="AB184" s="7" t="str">
        <f>IFERROR(__xludf.DUMMYFUNCTION("GoogleTranslate(C184, ""en"", ""hi"")"),"हमसे संपर्क करें")</f>
        <v>हमसे संपर्क करें</v>
      </c>
      <c r="AC184" s="7" t="str">
        <f>IFERROR(__xludf.DUMMYFUNCTION("GoogleTranslate(C184, ""en"", ""hu"")"),"Lépjen kapcsolatba velünk")</f>
        <v>Lépjen kapcsolatba velünk</v>
      </c>
      <c r="AD184" s="7" t="str">
        <f>IFERROR(__xludf.DUMMYFUNCTION("GoogleTranslate(C184, ""en"", ""is"")"),"Hafðu samband")</f>
        <v>Hafðu samband</v>
      </c>
      <c r="AE184" s="7" t="str">
        <f>IFERROR(__xludf.DUMMYFUNCTION("GoogleTranslate(C184, ""en"", ""id"")"),"Hubungi kami")</f>
        <v>Hubungi kami</v>
      </c>
      <c r="AF184" s="7" t="str">
        <f>IFERROR(__xludf.DUMMYFUNCTION("GoogleTranslate(C184, ""en"", ""in"")"),"Hubungi kami")</f>
        <v>Hubungi kami</v>
      </c>
      <c r="AG184" s="7" t="str">
        <f>IFERROR(__xludf.DUMMYFUNCTION("GoogleTranslate(C184, ""en"", ""it"")"),"Contattaci")</f>
        <v>Contattaci</v>
      </c>
      <c r="AH184" s="7" t="str">
        <f>IFERROR(__xludf.DUMMYFUNCTION("GoogleTranslate(C184, ""en"", ""ja"")"),"お問い合わせ")</f>
        <v>お問い合わせ</v>
      </c>
      <c r="AI184" s="7" t="str">
        <f>IFERROR(__xludf.DUMMYFUNCTION("GoogleTranslate(C184, ""en"", ""kn"")"),"ನಮ್ಮನ್ನು ಸಂಪರ್ಕಿಸಿ")</f>
        <v>ನಮ್ಮನ್ನು ಸಂಪರ್ಕಿಸಿ</v>
      </c>
      <c r="AJ184" s="7" t="str">
        <f>IFERROR(__xludf.DUMMYFUNCTION("GoogleTranslate(C184, ""en"", ""km"")"),"ទាក់ទងមកយើងខ្ញុំ")</f>
        <v>ទាក់ទងមកយើងខ្ញុំ</v>
      </c>
      <c r="AK184" s="7" t="str">
        <f>IFERROR(__xludf.DUMMYFUNCTION("GoogleTranslate(C184, ""en"", ""ko"")"),"문의하기")</f>
        <v>문의하기</v>
      </c>
      <c r="AL184" s="7" t="str">
        <f>IFERROR(__xludf.DUMMYFUNCTION("GoogleTranslate(C184, ""en"", ""lo"")"),"ຕິດຕໍ່ພວກເຮົາ")</f>
        <v>ຕິດຕໍ່ພວກເຮົາ</v>
      </c>
      <c r="AM184" s="7" t="str">
        <f>IFERROR(__xludf.DUMMYFUNCTION("GoogleTranslate(C184, ""en"", ""lv"")"),"Sazinieties ar mums")</f>
        <v>Sazinieties ar mums</v>
      </c>
      <c r="AN184" s="7" t="str">
        <f>IFERROR(__xludf.DUMMYFUNCTION("GoogleTranslate(C184, ""en"", ""lt"")"),"Susisiekite su mumis")</f>
        <v>Susisiekite su mumis</v>
      </c>
      <c r="AO184" s="7" t="str">
        <f>IFERROR(__xludf.DUMMYFUNCTION("GoogleTranslate(C184, ""en"", ""mk"")"),"Контактирајте со нас")</f>
        <v>Контактирајте со нас</v>
      </c>
      <c r="AP184" s="7" t="str">
        <f>IFERROR(__xludf.DUMMYFUNCTION("GoogleTranslate(C184, ""en"", ""ms"")"),"Hubungi Kami")</f>
        <v>Hubungi Kami</v>
      </c>
      <c r="AQ184" s="7" t="str">
        <f>IFERROR(__xludf.DUMMYFUNCTION("GoogleTranslate(C184, ""en"", ""ml"")"),"ഞങ്ങളെ സമീപിക്കുക")</f>
        <v>ഞങ്ങളെ സമീപിക്കുക</v>
      </c>
      <c r="AR184" s="7" t="str">
        <f>IFERROR(__xludf.DUMMYFUNCTION("GoogleTranslate(C184, ""en"", ""mr"")"),"आमच्याशी संपर्क साधा")</f>
        <v>आमच्याशी संपर्क साधा</v>
      </c>
      <c r="AS184" s="7" t="str">
        <f>IFERROR(__xludf.DUMMYFUNCTION("GoogleTranslate(C184, ""en"", ""mn"")"),"Бидэнтэй холбоо барина уу")</f>
        <v>Бидэнтэй холбоо барина уу</v>
      </c>
      <c r="AT184" s="7" t="str">
        <f>IFERROR(__xludf.DUMMYFUNCTION("GoogleTranslate(C184, ""en"", ""ne"")"),"हामीलाई सम्पर्क गर्नुहोस्")</f>
        <v>हामीलाई सम्पर्क गर्नुहोस्</v>
      </c>
      <c r="AU184" s="7" t="str">
        <f>IFERROR(__xludf.DUMMYFUNCTION("GoogleTranslate(C184, ""en"", ""nb"")"),"Kontakt oss")</f>
        <v>Kontakt oss</v>
      </c>
      <c r="AV184" s="7" t="str">
        <f>IFERROR(__xludf.DUMMYFUNCTION("GoogleTranslate(C184, ""en"", ""fa"")"),"تماس با ما")</f>
        <v>تماس با ما</v>
      </c>
      <c r="AW184" s="7" t="str">
        <f>IFERROR(__xludf.DUMMYFUNCTION("GoogleTranslate(C184, ""en"", ""pl"")"),"Skontaktuj się z nami")</f>
        <v>Skontaktuj się z nami</v>
      </c>
      <c r="AX184" s="7" t="str">
        <f>IFERROR(__xludf.DUMMYFUNCTION("GoogleTranslate(C184, ""en"", ""pt"")"),"Contate-nos")</f>
        <v>Contate-nos</v>
      </c>
      <c r="AY184" s="7" t="str">
        <f>IFERROR(__xludf.DUMMYFUNCTION("GoogleTranslate(C184, ""en"", ""ro"")"),"Contactaţi-ne")</f>
        <v>Contactaţi-ne</v>
      </c>
      <c r="AZ184" s="7" t="str">
        <f>IFERROR(__xludf.DUMMYFUNCTION("GoogleTranslate(C184, ""en"", ""ru"")"),"Связаться с нами")</f>
        <v>Связаться с нами</v>
      </c>
      <c r="BA184" s="7" t="str">
        <f>IFERROR(__xludf.DUMMYFUNCTION("GoogleTranslate(C184, ""en"", ""sr"")"),"Контактирајте нас")</f>
        <v>Контактирајте нас</v>
      </c>
      <c r="BB184" s="7" t="str">
        <f>IFERROR(__xludf.DUMMYFUNCTION("GoogleTranslate(C184, ""en"", ""si"")"),"අපව අමතන්න")</f>
        <v>අපව අමතන්න</v>
      </c>
      <c r="BC184" s="7" t="str">
        <f>IFERROR(__xludf.DUMMYFUNCTION("GoogleTranslate(C184, ""en"", ""sk"")"),"Kontaktujte nás")</f>
        <v>Kontaktujte nás</v>
      </c>
      <c r="BD184" s="7" t="str">
        <f>IFERROR(__xludf.DUMMYFUNCTION("GoogleTranslate(C184, ""en"", ""sl"")"),"Kontaktirajte nas")</f>
        <v>Kontaktirajte nas</v>
      </c>
      <c r="BE184" s="7" t="str">
        <f>IFERROR(__xludf.DUMMYFUNCTION("GoogleTranslate(C184, ""en"", ""es"")"),"Contáctenos")</f>
        <v>Contáctenos</v>
      </c>
      <c r="BF184" s="7" t="str">
        <f>IFERROR(__xludf.DUMMYFUNCTION("GoogleTranslate(C184, ""en"", ""sw"")"),"Wasiliana Nasi")</f>
        <v>Wasiliana Nasi</v>
      </c>
      <c r="BG184" s="7" t="str">
        <f>IFERROR(__xludf.DUMMYFUNCTION("GoogleTranslate(C184, ""en"", ""sv"")"),"Kontakta oss")</f>
        <v>Kontakta oss</v>
      </c>
      <c r="BH184" s="7" t="str">
        <f>IFERROR(__xludf.DUMMYFUNCTION("GoogleTranslate(C184, ""en"", ""te"")"),"మమ్మల్ని సంప్రదించండి")</f>
        <v>మమ్మల్ని సంప్రదించండి</v>
      </c>
      <c r="BI184" s="7" t="str">
        <f>IFERROR(__xludf.DUMMYFUNCTION("GoogleTranslate(C184, ""en"", ""th"")"),"ติดต่อเรา")</f>
        <v>ติดต่อเรา</v>
      </c>
      <c r="BJ184" s="7" t="str">
        <f>IFERROR(__xludf.DUMMYFUNCTION("GoogleTranslate(C184, ""en"", ""tr"")"),"Bize Ulaşın")</f>
        <v>Bize Ulaşın</v>
      </c>
      <c r="BK184" s="7" t="str">
        <f>IFERROR(__xludf.DUMMYFUNCTION("GoogleTranslate(C184, ""en"", ""uk"")"),"Зв'яжіться з нами")</f>
        <v>Зв'яжіться з нами</v>
      </c>
      <c r="BL184" s="7" t="str">
        <f>IFERROR(__xludf.DUMMYFUNCTION("GoogleTranslate(C184, ""en"", ""zu"")"),"Xhumana nathi")</f>
        <v>Xhumana nathi</v>
      </c>
    </row>
    <row r="185">
      <c r="A185" s="5" t="str">
        <f t="shared" si="1"/>
        <v>Press</v>
      </c>
      <c r="B185" s="6" t="s">
        <v>238</v>
      </c>
      <c r="C185" s="5" t="str">
        <f t="shared" si="2"/>
        <v>Press</v>
      </c>
      <c r="D185" s="7" t="str">
        <f>IFERROR(__xludf.DUMMYFUNCTION("GoogleTranslate(C185, ""en"", ""es"")"),"Prensa")</f>
        <v>Prensa</v>
      </c>
      <c r="E185" s="7" t="str">
        <f>IFERROR(__xludf.DUMMYFUNCTION("GoogleTranslate(C185, ""en"", ""ar"")"),"يضعط")</f>
        <v>يضعط</v>
      </c>
      <c r="F185" s="7" t="str">
        <f>IFERROR(__xludf.DUMMYFUNCTION("GoogleTranslate(C185, ""en"", ""hy"")"),"Մամուլ")</f>
        <v>Մամուլ</v>
      </c>
      <c r="G185" s="7" t="str">
        <f>IFERROR(__xludf.DUMMYFUNCTION("GoogleTranslate(C185, ""en"", ""vi"")"),"Nhấn")</f>
        <v>Nhấn</v>
      </c>
      <c r="H185" s="7" t="str">
        <f>IFERROR(__xludf.DUMMYFUNCTION("GoogleTranslate(C185, ""en"", ""az"")"),"basın")</f>
        <v>basın</v>
      </c>
      <c r="I185" s="7" t="str">
        <f>IFERROR(__xludf.DUMMYFUNCTION("GoogleTranslate(C185, ""en"", ""eu"")"),"Sakatu")</f>
        <v>Sakatu</v>
      </c>
      <c r="J185" s="7" t="str">
        <f>IFERROR(__xludf.DUMMYFUNCTION("GoogleTranslate(C185, ""en"", ""be"")"),"Прэса")</f>
        <v>Прэса</v>
      </c>
      <c r="K185" s="7" t="str">
        <f>IFERROR(__xludf.DUMMYFUNCTION("GoogleTranslate(C185, ""en"", ""bn"")"),"চাপুন")</f>
        <v>চাপুন</v>
      </c>
      <c r="L185" s="7" t="str">
        <f>IFERROR(__xludf.DUMMYFUNCTION("GoogleTranslate(C185, ""en"", ""bg"")"),"Натиснете")</f>
        <v>Натиснете</v>
      </c>
      <c r="M185" s="7" t="str">
        <f>IFERROR(__xludf.DUMMYFUNCTION("GoogleTranslate(C185, ""en"", ""my"")"),"စာနယ်ဇင်း")</f>
        <v>စာနယ်ဇင်း</v>
      </c>
      <c r="N185" s="7" t="str">
        <f>IFERROR(__xludf.DUMMYFUNCTION("GoogleTranslate(C185, ""en"", ""ca"")"),"Premeu")</f>
        <v>Premeu</v>
      </c>
      <c r="O185" s="7" t="str">
        <f>IFERROR(__xludf.DUMMYFUNCTION("GoogleTranslate(C185, ""en"", ""zh-cn"")"),"按")</f>
        <v>按</v>
      </c>
      <c r="P185" s="7" t="str">
        <f>IFERROR(__xludf.DUMMYFUNCTION("GoogleTranslate(C185, ""en"", ""zh-TW"")"),"按")</f>
        <v>按</v>
      </c>
      <c r="Q185" s="7" t="str">
        <f>IFERROR(__xludf.DUMMYFUNCTION("GoogleTranslate(C185, ""en"", ""hr"")"),"Pritisnite")</f>
        <v>Pritisnite</v>
      </c>
      <c r="R185" s="7" t="str">
        <f>IFERROR(__xludf.DUMMYFUNCTION("GoogleTranslate(C185, ""en"", ""cs"")"),"Stiskněte")</f>
        <v>Stiskněte</v>
      </c>
      <c r="S185" s="7" t="str">
        <f>IFERROR(__xludf.DUMMYFUNCTION("GoogleTranslate(C185, ""en"", ""da"")"),"Trykke")</f>
        <v>Trykke</v>
      </c>
      <c r="T185" s="7" t="str">
        <f>IFERROR(__xludf.DUMMYFUNCTION("GoogleTranslate(C185, ""en"", ""nl"")"),"Druk op")</f>
        <v>Druk op</v>
      </c>
      <c r="U185" s="7" t="str">
        <f>IFERROR(__xludf.DUMMYFUNCTION("GoogleTranslate(C185, ""en"", ""et"")"),"Vajutage")</f>
        <v>Vajutage</v>
      </c>
      <c r="V185" s="5" t="str">
        <f t="shared" si="3"/>
        <v>Press</v>
      </c>
      <c r="W185" s="7" t="str">
        <f>IFERROR(__xludf.DUMMYFUNCTION("GoogleTranslate(C185, ""en"", ""fi"")"),"Paina")</f>
        <v>Paina</v>
      </c>
      <c r="X185" s="7" t="str">
        <f>IFERROR(__xludf.DUMMYFUNCTION("GoogleTranslate(C185, ""en"", ""fr"")"),"Presse")</f>
        <v>Presse</v>
      </c>
      <c r="Y185" s="7" t="str">
        <f>IFERROR(__xludf.DUMMYFUNCTION("GoogleTranslate(C185, ""en"", ""de"")"),"Drücken")</f>
        <v>Drücken</v>
      </c>
      <c r="Z185" s="7" t="str">
        <f>IFERROR(__xludf.DUMMYFUNCTION("GoogleTranslate(C185, ""en"", ""el"")"),"Τύπος")</f>
        <v>Τύπος</v>
      </c>
      <c r="AA185" s="7" t="str">
        <f>IFERROR(__xludf.DUMMYFUNCTION("GoogleTranslate(C185, ""en"", ""iw"")"),"לִלְחוֹץ")</f>
        <v>לִלְחוֹץ</v>
      </c>
      <c r="AB185" s="7" t="str">
        <f>IFERROR(__xludf.DUMMYFUNCTION("GoogleTranslate(C185, ""en"", ""hi"")"),"प्रेस")</f>
        <v>प्रेस</v>
      </c>
      <c r="AC185" s="7" t="str">
        <f>IFERROR(__xludf.DUMMYFUNCTION("GoogleTranslate(C185, ""en"", ""hu"")"),"Sajtó")</f>
        <v>Sajtó</v>
      </c>
      <c r="AD185" s="7" t="str">
        <f>IFERROR(__xludf.DUMMYFUNCTION("GoogleTranslate(C185, ""en"", ""is"")"),"Ýttu á")</f>
        <v>Ýttu á</v>
      </c>
      <c r="AE185" s="7" t="str">
        <f>IFERROR(__xludf.DUMMYFUNCTION("GoogleTranslate(C185, ""en"", ""id"")"),"Tekan")</f>
        <v>Tekan</v>
      </c>
      <c r="AF185" s="7" t="str">
        <f>IFERROR(__xludf.DUMMYFUNCTION("GoogleTranslate(C185, ""en"", ""in"")"),"Tekan")</f>
        <v>Tekan</v>
      </c>
      <c r="AG185" s="7" t="str">
        <f>IFERROR(__xludf.DUMMYFUNCTION("GoogleTranslate(C185, ""en"", ""it"")"),"Premere")</f>
        <v>Premere</v>
      </c>
      <c r="AH185" s="7" t="str">
        <f>IFERROR(__xludf.DUMMYFUNCTION("GoogleTranslate(C185, ""en"", ""ja"")"),"プレス")</f>
        <v>プレス</v>
      </c>
      <c r="AI185" s="7" t="str">
        <f>IFERROR(__xludf.DUMMYFUNCTION("GoogleTranslate(C185, ""en"", ""kn"")"),"ಒತ್ತಿರಿ")</f>
        <v>ಒತ್ತಿರಿ</v>
      </c>
      <c r="AJ185" s="7" t="str">
        <f>IFERROR(__xludf.DUMMYFUNCTION("GoogleTranslate(C185, ""en"", ""km"")"),"ចុច")</f>
        <v>ចុច</v>
      </c>
      <c r="AK185" s="7" t="str">
        <f>IFERROR(__xludf.DUMMYFUNCTION("GoogleTranslate(C185, ""en"", ""ko"")"),"누르다")</f>
        <v>누르다</v>
      </c>
      <c r="AL185" s="7" t="str">
        <f>IFERROR(__xludf.DUMMYFUNCTION("GoogleTranslate(C185, ""en"", ""lo"")"),"ກົດ")</f>
        <v>ກົດ</v>
      </c>
      <c r="AM185" s="7" t="str">
        <f>IFERROR(__xludf.DUMMYFUNCTION("GoogleTranslate(C185, ""en"", ""lv"")"),"Nospiediet")</f>
        <v>Nospiediet</v>
      </c>
      <c r="AN185" s="7" t="str">
        <f>IFERROR(__xludf.DUMMYFUNCTION("GoogleTranslate(C185, ""en"", ""lt"")"),"Paspauskite")</f>
        <v>Paspauskite</v>
      </c>
      <c r="AO185" s="7" t="str">
        <f>IFERROR(__xludf.DUMMYFUNCTION("GoogleTranslate(C185, ""en"", ""mk"")"),"Притиснете")</f>
        <v>Притиснете</v>
      </c>
      <c r="AP185" s="7" t="str">
        <f>IFERROR(__xludf.DUMMYFUNCTION("GoogleTranslate(C185, ""en"", ""ms"")"),"Tekan")</f>
        <v>Tekan</v>
      </c>
      <c r="AQ185" s="7" t="str">
        <f>IFERROR(__xludf.DUMMYFUNCTION("GoogleTranslate(C185, ""en"", ""ml"")"),"അമർത്തുക")</f>
        <v>അമർത്തുക</v>
      </c>
      <c r="AR185" s="7" t="str">
        <f>IFERROR(__xludf.DUMMYFUNCTION("GoogleTranslate(C185, ""en"", ""mr"")"),"दाबा")</f>
        <v>दाबा</v>
      </c>
      <c r="AS185" s="7" t="str">
        <f>IFERROR(__xludf.DUMMYFUNCTION("GoogleTranslate(C185, ""en"", ""mn"")"),"дарна уу")</f>
        <v>дарна уу</v>
      </c>
      <c r="AT185" s="7" t="str">
        <f>IFERROR(__xludf.DUMMYFUNCTION("GoogleTranslate(C185, ""en"", ""ne"")"),"थिच्नुहोस्")</f>
        <v>थिच्नुहोस्</v>
      </c>
      <c r="AU185" s="7" t="str">
        <f>IFERROR(__xludf.DUMMYFUNCTION("GoogleTranslate(C185, ""en"", ""nb"")"),"Pressen")</f>
        <v>Pressen</v>
      </c>
      <c r="AV185" s="7" t="str">
        <f>IFERROR(__xludf.DUMMYFUNCTION("GoogleTranslate(C185, ""en"", ""fa"")"),"را فشار دهید")</f>
        <v>را فشار دهید</v>
      </c>
      <c r="AW185" s="7" t="str">
        <f>IFERROR(__xludf.DUMMYFUNCTION("GoogleTranslate(C185, ""en"", ""pl"")"),"Naciskać")</f>
        <v>Naciskać</v>
      </c>
      <c r="AX185" s="7" t="str">
        <f>IFERROR(__xludf.DUMMYFUNCTION("GoogleTranslate(C185, ""en"", ""pt"")"),"Imprensa")</f>
        <v>Imprensa</v>
      </c>
      <c r="AY185" s="7" t="str">
        <f>IFERROR(__xludf.DUMMYFUNCTION("GoogleTranslate(C185, ""en"", ""ro"")"),"Presa")</f>
        <v>Presa</v>
      </c>
      <c r="AZ185" s="7" t="str">
        <f>IFERROR(__xludf.DUMMYFUNCTION("GoogleTranslate(C185, ""en"", ""ru"")"),"Нажимать")</f>
        <v>Нажимать</v>
      </c>
      <c r="BA185" s="7" t="str">
        <f>IFERROR(__xludf.DUMMYFUNCTION("GoogleTranslate(C185, ""en"", ""sr"")"),"Притисните")</f>
        <v>Притисните</v>
      </c>
      <c r="BB185" s="7" t="str">
        <f>IFERROR(__xludf.DUMMYFUNCTION("GoogleTranslate(C185, ""en"", ""si"")"),"ඔබන්න")</f>
        <v>ඔබන්න</v>
      </c>
      <c r="BC185" s="7" t="str">
        <f>IFERROR(__xludf.DUMMYFUNCTION("GoogleTranslate(C185, ""en"", ""sk"")"),"Stlačte tlačidlo")</f>
        <v>Stlačte tlačidlo</v>
      </c>
      <c r="BD185" s="7" t="str">
        <f>IFERROR(__xludf.DUMMYFUNCTION("GoogleTranslate(C185, ""en"", ""sl"")"),"Pritisnite")</f>
        <v>Pritisnite</v>
      </c>
      <c r="BE185" s="7" t="str">
        <f>IFERROR(__xludf.DUMMYFUNCTION("GoogleTranslate(C185, ""en"", ""es"")"),"Prensa")</f>
        <v>Prensa</v>
      </c>
      <c r="BF185" s="7" t="str">
        <f>IFERROR(__xludf.DUMMYFUNCTION("GoogleTranslate(C185, ""en"", ""sw"")"),"Bonyeza")</f>
        <v>Bonyeza</v>
      </c>
      <c r="BG185" s="7" t="str">
        <f>IFERROR(__xludf.DUMMYFUNCTION("GoogleTranslate(C185, ""en"", ""sv"")"),"Trycka")</f>
        <v>Trycka</v>
      </c>
      <c r="BH185" s="7" t="str">
        <f>IFERROR(__xludf.DUMMYFUNCTION("GoogleTranslate(C185, ""en"", ""te"")"),"నొక్కండి")</f>
        <v>నొక్కండి</v>
      </c>
      <c r="BI185" s="7" t="str">
        <f>IFERROR(__xludf.DUMMYFUNCTION("GoogleTranslate(C185, ""en"", ""th"")"),"กด")</f>
        <v>กด</v>
      </c>
      <c r="BJ185" s="7" t="str">
        <f>IFERROR(__xludf.DUMMYFUNCTION("GoogleTranslate(C185, ""en"", ""tr"")"),"Basmak")</f>
        <v>Basmak</v>
      </c>
      <c r="BK185" s="7" t="str">
        <f>IFERROR(__xludf.DUMMYFUNCTION("GoogleTranslate(C185, ""en"", ""uk"")"),"Прес")</f>
        <v>Прес</v>
      </c>
      <c r="BL185" s="7" t="str">
        <f>IFERROR(__xludf.DUMMYFUNCTION("GoogleTranslate(C185, ""en"", ""zu"")"),"Cindezela")</f>
        <v>Cindezela</v>
      </c>
    </row>
    <row r="186">
      <c r="A186" s="5" t="str">
        <f t="shared" si="1"/>
        <v>PRODUCTS_&amp;_SERVICES</v>
      </c>
      <c r="B186" s="6" t="s">
        <v>239</v>
      </c>
      <c r="C186" s="5" t="str">
        <f t="shared" si="2"/>
        <v>PRODUCTS &amp; SERVICES</v>
      </c>
      <c r="D186" s="7" t="str">
        <f>IFERROR(__xludf.DUMMYFUNCTION("GoogleTranslate(C186, ""en"", ""es"")"),"PRODUCTOS Y SERVICIOS")</f>
        <v>PRODUCTOS Y SERVICIOS</v>
      </c>
      <c r="E186" s="7" t="str">
        <f>IFERROR(__xludf.DUMMYFUNCTION("GoogleTranslate(C186, ""en"", ""ar"")"),"المنتجات والخدمات")</f>
        <v>المنتجات والخدمات</v>
      </c>
      <c r="F186" s="7" t="str">
        <f>IFERROR(__xludf.DUMMYFUNCTION("GoogleTranslate(C186, ""en"", ""hy"")"),"ԱՊՐԱՆՔՆԵՐ ԵՎ ԾԱՌԱՅՈՒԹՅՈՒՆՆԵՐ")</f>
        <v>ԱՊՐԱՆՔՆԵՐ ԵՎ ԾԱՌԱՅՈՒԹՅՈՒՆՆԵՐ</v>
      </c>
      <c r="G186" s="7" t="str">
        <f>IFERROR(__xludf.DUMMYFUNCTION("GoogleTranslate(C186, ""en"", ""vi"")"),"SẢN PHẨM &amp; DỊCH VỤ")</f>
        <v>SẢN PHẨM &amp; DỊCH VỤ</v>
      </c>
      <c r="H186" s="7" t="str">
        <f>IFERROR(__xludf.DUMMYFUNCTION("GoogleTranslate(C186, ""en"", ""az"")"),"MƏHSUL VƏ XİDMƏTLƏR")</f>
        <v>MƏHSUL VƏ XİDMƏTLƏR</v>
      </c>
      <c r="I186" s="7" t="str">
        <f>IFERROR(__xludf.DUMMYFUNCTION("GoogleTranslate(C186, ""en"", ""eu"")"),"PRODUKTUAK ETA ZERBITZUAK")</f>
        <v>PRODUKTUAK ETA ZERBITZUAK</v>
      </c>
      <c r="J186" s="7" t="str">
        <f>IFERROR(__xludf.DUMMYFUNCTION("GoogleTranslate(C186, ""en"", ""be"")"),"ПРАДУКЦЫІ І ПАСЛУГІ")</f>
        <v>ПРАДУКЦЫІ І ПАСЛУГІ</v>
      </c>
      <c r="K186" s="7" t="str">
        <f>IFERROR(__xludf.DUMMYFUNCTION("GoogleTranslate(C186, ""en"", ""bn"")"),"পণ্য ও সেবা")</f>
        <v>পণ্য ও সেবা</v>
      </c>
      <c r="L186" s="7" t="str">
        <f>IFERROR(__xludf.DUMMYFUNCTION("GoogleTranslate(C186, ""en"", ""bg"")"),"ПРОДУКТИ И УСЛУГИ")</f>
        <v>ПРОДУКТИ И УСЛУГИ</v>
      </c>
      <c r="M186" s="7" t="str">
        <f>IFERROR(__xludf.DUMMYFUNCTION("GoogleTranslate(C186, ""en"", ""my"")"),"ထုတ်ကုန်များနှင့် ဝန်ဆောင်မှုများ")</f>
        <v>ထုတ်ကုန်များနှင့် ဝန်ဆောင်မှုများ</v>
      </c>
      <c r="N186" s="7" t="str">
        <f>IFERROR(__xludf.DUMMYFUNCTION("GoogleTranslate(C186, ""en"", ""ca"")"),"PRODUCTES I SERVEIS")</f>
        <v>PRODUCTES I SERVEIS</v>
      </c>
      <c r="O186" s="7" t="str">
        <f>IFERROR(__xludf.DUMMYFUNCTION("GoogleTranslate(C186, ""en"", ""zh-cn"")"),"产品与服务")</f>
        <v>产品与服务</v>
      </c>
      <c r="P186" s="7" t="str">
        <f>IFERROR(__xludf.DUMMYFUNCTION("GoogleTranslate(C186, ""en"", ""zh-TW"")"),"產品與服務")</f>
        <v>產品與服務</v>
      </c>
      <c r="Q186" s="7" t="str">
        <f>IFERROR(__xludf.DUMMYFUNCTION("GoogleTranslate(C186, ""en"", ""hr"")"),"PROIZVODI I USLUGE")</f>
        <v>PROIZVODI I USLUGE</v>
      </c>
      <c r="R186" s="7" t="str">
        <f>IFERROR(__xludf.DUMMYFUNCTION("GoogleTranslate(C186, ""en"", ""cs"")"),"PRODUKTY A SLUŽBY")</f>
        <v>PRODUKTY A SLUŽBY</v>
      </c>
      <c r="S186" s="7" t="str">
        <f>IFERROR(__xludf.DUMMYFUNCTION("GoogleTranslate(C186, ""en"", ""da"")"),"PRODUKTER OG TJENESTER")</f>
        <v>PRODUKTER OG TJENESTER</v>
      </c>
      <c r="T186" s="7" t="str">
        <f>IFERROR(__xludf.DUMMYFUNCTION("GoogleTranslate(C186, ""en"", ""nl"")"),"PRODUCTEN &amp; DIENSTEN")</f>
        <v>PRODUCTEN &amp; DIENSTEN</v>
      </c>
      <c r="U186" s="7" t="str">
        <f>IFERROR(__xludf.DUMMYFUNCTION("GoogleTranslate(C186, ""en"", ""et"")"),"TOOTED JA TEENUSED")</f>
        <v>TOOTED JA TEENUSED</v>
      </c>
      <c r="V186" s="5" t="str">
        <f t="shared" si="3"/>
        <v>PRODUCTS &amp; SERVICES</v>
      </c>
      <c r="W186" s="7" t="str">
        <f>IFERROR(__xludf.DUMMYFUNCTION("GoogleTranslate(C186, ""en"", ""fi"")"),"TUOTTEET &amp; PALVELUT")</f>
        <v>TUOTTEET &amp; PALVELUT</v>
      </c>
      <c r="X186" s="7" t="str">
        <f>IFERROR(__xludf.DUMMYFUNCTION("GoogleTranslate(C186, ""en"", ""fr"")"),"PRODUITS ET SERVICES")</f>
        <v>PRODUITS ET SERVICES</v>
      </c>
      <c r="Y186" s="7" t="str">
        <f>IFERROR(__xludf.DUMMYFUNCTION("GoogleTranslate(C186, ""en"", ""de"")"),"PRODUKTE &amp; DIENSTLEISTUNGEN")</f>
        <v>PRODUKTE &amp; DIENSTLEISTUNGEN</v>
      </c>
      <c r="Z186" s="7" t="str">
        <f>IFERROR(__xludf.DUMMYFUNCTION("GoogleTranslate(C186, ""en"", ""el"")"),"ΠΡΟΪΟΝΤΑ &amp; ΥΠΗΡΕΣΙΕΣ")</f>
        <v>ΠΡΟΪΟΝΤΑ &amp; ΥΠΗΡΕΣΙΕΣ</v>
      </c>
      <c r="AA186" s="7" t="str">
        <f>IFERROR(__xludf.DUMMYFUNCTION("GoogleTranslate(C186, ""en"", ""iw"")"),"מוצרים ושירותים")</f>
        <v>מוצרים ושירותים</v>
      </c>
      <c r="AB186" s="7" t="str">
        <f>IFERROR(__xludf.DUMMYFUNCTION("GoogleTranslate(C186, ""en"", ""hi"")"),"उत्पाद एवं सेवाएँ")</f>
        <v>उत्पाद एवं सेवाएँ</v>
      </c>
      <c r="AC186" s="7" t="str">
        <f>IFERROR(__xludf.DUMMYFUNCTION("GoogleTranslate(C186, ""en"", ""hu"")"),"TERMÉKEK ÉS SZOLGÁLTATÁSOK")</f>
        <v>TERMÉKEK ÉS SZOLGÁLTATÁSOK</v>
      </c>
      <c r="AD186" s="7" t="str">
        <f>IFERROR(__xludf.DUMMYFUNCTION("GoogleTranslate(C186, ""en"", ""is"")"),"VÖRUR OG ÞJÓNUSTA")</f>
        <v>VÖRUR OG ÞJÓNUSTA</v>
      </c>
      <c r="AE186" s="7" t="str">
        <f>IFERROR(__xludf.DUMMYFUNCTION("GoogleTranslate(C186, ""en"", ""id"")"),"PRODUK &amp; LAYANAN")</f>
        <v>PRODUK &amp; LAYANAN</v>
      </c>
      <c r="AF186" s="7" t="str">
        <f>IFERROR(__xludf.DUMMYFUNCTION("GoogleTranslate(C186, ""en"", ""in"")"),"PRODUK &amp; LAYANAN")</f>
        <v>PRODUK &amp; LAYANAN</v>
      </c>
      <c r="AG186" s="7" t="str">
        <f>IFERROR(__xludf.DUMMYFUNCTION("GoogleTranslate(C186, ""en"", ""it"")"),"PRODOTTI E SERVIZI")</f>
        <v>PRODOTTI E SERVIZI</v>
      </c>
      <c r="AH186" s="7" t="str">
        <f>IFERROR(__xludf.DUMMYFUNCTION("GoogleTranslate(C186, ""en"", ""ja"")"),"製品とサービス")</f>
        <v>製品とサービス</v>
      </c>
      <c r="AI186" s="7" t="str">
        <f>IFERROR(__xludf.DUMMYFUNCTION("GoogleTranslate(C186, ""en"", ""kn"")"),"ಉತ್ಪನ್ನಗಳು ಮತ್ತು ಸೇವೆಗಳು")</f>
        <v>ಉತ್ಪನ್ನಗಳು ಮತ್ತು ಸೇವೆಗಳು</v>
      </c>
      <c r="AJ186" s="7" t="str">
        <f>IFERROR(__xludf.DUMMYFUNCTION("GoogleTranslate(C186, ""en"", ""km"")"),"ផលិតផល និងសេវាកម្ម")</f>
        <v>ផលិតផល និងសេវាកម្ម</v>
      </c>
      <c r="AK186" s="7" t="str">
        <f>IFERROR(__xludf.DUMMYFUNCTION("GoogleTranslate(C186, ""en"", ""ko"")"),"제품 및 서비스")</f>
        <v>제품 및 서비스</v>
      </c>
      <c r="AL186" s="7" t="str">
        <f>IFERROR(__xludf.DUMMYFUNCTION("GoogleTranslate(C186, ""en"", ""lo"")"),"ຜະລິດຕະພັນ ແລະການບໍລິການ")</f>
        <v>ຜະລິດຕະພັນ ແລະການບໍລິການ</v>
      </c>
      <c r="AM186" s="7" t="str">
        <f>IFERROR(__xludf.DUMMYFUNCTION("GoogleTranslate(C186, ""en"", ""lv"")"),"PRODUKTI UN PAKALPOJUMI")</f>
        <v>PRODUKTI UN PAKALPOJUMI</v>
      </c>
      <c r="AN186" s="7" t="str">
        <f>IFERROR(__xludf.DUMMYFUNCTION("GoogleTranslate(C186, ""en"", ""lt"")"),"PRODUKTAI IR PASLAUGOS")</f>
        <v>PRODUKTAI IR PASLAUGOS</v>
      </c>
      <c r="AO186" s="7" t="str">
        <f>IFERROR(__xludf.DUMMYFUNCTION("GoogleTranslate(C186, ""en"", ""mk"")"),"ПРОИЗВОДИ И УСЛУГИ")</f>
        <v>ПРОИЗВОДИ И УСЛУГИ</v>
      </c>
      <c r="AP186" s="7" t="str">
        <f>IFERROR(__xludf.DUMMYFUNCTION("GoogleTranslate(C186, ""en"", ""ms"")"),"PRODUK &amp; PERKHIDMATAN")</f>
        <v>PRODUK &amp; PERKHIDMATAN</v>
      </c>
      <c r="AQ186" s="7" t="str">
        <f>IFERROR(__xludf.DUMMYFUNCTION("GoogleTranslate(C186, ""en"", ""ml"")"),"ഉൽപ്പന്നങ്ങളും സേവനങ്ങളും")</f>
        <v>ഉൽപ്പന്നങ്ങളും സേവനങ്ങളും</v>
      </c>
      <c r="AR186" s="7" t="str">
        <f>IFERROR(__xludf.DUMMYFUNCTION("GoogleTranslate(C186, ""en"", ""mr"")"),"उत्पादने आणि सेवा")</f>
        <v>उत्पादने आणि सेवा</v>
      </c>
      <c r="AS186" s="7" t="str">
        <f>IFERROR(__xludf.DUMMYFUNCTION("GoogleTranslate(C186, ""en"", ""mn"")"),"БҮТЭЭГДЭХҮҮН, ҮЙЛЧИЛГЭЭ")</f>
        <v>БҮТЭЭГДЭХҮҮН, ҮЙЛЧИЛГЭЭ</v>
      </c>
      <c r="AT186" s="7" t="str">
        <f>IFERROR(__xludf.DUMMYFUNCTION("GoogleTranslate(C186, ""en"", ""ne"")"),"उत्पादन र सेवाहरू")</f>
        <v>उत्पादन र सेवाहरू</v>
      </c>
      <c r="AU186" s="7" t="str">
        <f>IFERROR(__xludf.DUMMYFUNCTION("GoogleTranslate(C186, ""en"", ""nb"")"),"PRODUKTER OG TJENESTER")</f>
        <v>PRODUKTER OG TJENESTER</v>
      </c>
      <c r="AV186" s="7" t="str">
        <f>IFERROR(__xludf.DUMMYFUNCTION("GoogleTranslate(C186, ""en"", ""fa"")"),"محصولات و خدمات")</f>
        <v>محصولات و خدمات</v>
      </c>
      <c r="AW186" s="7" t="str">
        <f>IFERROR(__xludf.DUMMYFUNCTION("GoogleTranslate(C186, ""en"", ""pl"")"),"PRODUKTY I USŁUGI")</f>
        <v>PRODUKTY I USŁUGI</v>
      </c>
      <c r="AX186" s="7" t="str">
        <f>IFERROR(__xludf.DUMMYFUNCTION("GoogleTranslate(C186, ""en"", ""pt"")"),"PRODUTOS E SERVIÇOS")</f>
        <v>PRODUTOS E SERVIÇOS</v>
      </c>
      <c r="AY186" s="7" t="str">
        <f>IFERROR(__xludf.DUMMYFUNCTION("GoogleTranslate(C186, ""en"", ""ro"")"),"PRODUSE &amp; SERVICII")</f>
        <v>PRODUSE &amp; SERVICII</v>
      </c>
      <c r="AZ186" s="7" t="str">
        <f>IFERROR(__xludf.DUMMYFUNCTION("GoogleTranslate(C186, ""en"", ""ru"")"),"ПРОДУКТЫ И УСЛУГИ")</f>
        <v>ПРОДУКТЫ И УСЛУГИ</v>
      </c>
      <c r="BA186" s="7" t="str">
        <f>IFERROR(__xludf.DUMMYFUNCTION("GoogleTranslate(C186, ""en"", ""sr"")"),"ПРОИЗВОДИ И УСЛУГЕ")</f>
        <v>ПРОИЗВОДИ И УСЛУГЕ</v>
      </c>
      <c r="BB186" s="7" t="str">
        <f>IFERROR(__xludf.DUMMYFUNCTION("GoogleTranslate(C186, ""en"", ""si"")"),"නිෂ්පාදන සහ සේවා")</f>
        <v>නිෂ්පාදන සහ සේවා</v>
      </c>
      <c r="BC186" s="7" t="str">
        <f>IFERROR(__xludf.DUMMYFUNCTION("GoogleTranslate(C186, ""en"", ""sk"")"),"PRODUKTY A SLUŽBY")</f>
        <v>PRODUKTY A SLUŽBY</v>
      </c>
      <c r="BD186" s="7" t="str">
        <f>IFERROR(__xludf.DUMMYFUNCTION("GoogleTranslate(C186, ""en"", ""sl"")"),"IZDELKI IN STORITVE")</f>
        <v>IZDELKI IN STORITVE</v>
      </c>
      <c r="BE186" s="7" t="str">
        <f>IFERROR(__xludf.DUMMYFUNCTION("GoogleTranslate(C186, ""en"", ""es"")"),"PRODUCTOS Y SERVICIOS")</f>
        <v>PRODUCTOS Y SERVICIOS</v>
      </c>
      <c r="BF186" s="7" t="str">
        <f>IFERROR(__xludf.DUMMYFUNCTION("GoogleTranslate(C186, ""en"", ""sw"")"),"BIDHAA NA HUDUMA")</f>
        <v>BIDHAA NA HUDUMA</v>
      </c>
      <c r="BG186" s="7" t="str">
        <f>IFERROR(__xludf.DUMMYFUNCTION("GoogleTranslate(C186, ""en"", ""sv"")"),"PRODUKTER &amp; TJÄNSTER")</f>
        <v>PRODUKTER &amp; TJÄNSTER</v>
      </c>
      <c r="BH186" s="7" t="str">
        <f>IFERROR(__xludf.DUMMYFUNCTION("GoogleTranslate(C186, ""en"", ""te"")"),"ఉత్పత్తులు &amp; సేవలు")</f>
        <v>ఉత్పత్తులు &amp; సేవలు</v>
      </c>
      <c r="BI186" s="7" t="str">
        <f>IFERROR(__xludf.DUMMYFUNCTION("GoogleTranslate(C186, ""en"", ""th"")"),"ผลิตภัณฑ์และบริการ")</f>
        <v>ผลิตภัณฑ์และบริการ</v>
      </c>
      <c r="BJ186" s="7" t="str">
        <f>IFERROR(__xludf.DUMMYFUNCTION("GoogleTranslate(C186, ""en"", ""tr"")"),"ÜRÜNLER &amp; HİZMETLER")</f>
        <v>ÜRÜNLER &amp; HİZMETLER</v>
      </c>
      <c r="BK186" s="7" t="str">
        <f>IFERROR(__xludf.DUMMYFUNCTION("GoogleTranslate(C186, ""en"", ""uk"")"),"ПРОДУКТИ ТА ПОСЛУГИ")</f>
        <v>ПРОДУКТИ ТА ПОСЛУГИ</v>
      </c>
      <c r="BL186" s="7" t="str">
        <f>IFERROR(__xludf.DUMMYFUNCTION("GoogleTranslate(C186, ""en"", ""zu"")"),"IMIKHIQIZO NEZINKONZO")</f>
        <v>IMIKHIQIZO NEZINKONZO</v>
      </c>
    </row>
    <row r="187">
      <c r="A187" s="5" t="str">
        <f t="shared" si="1"/>
        <v>For_Business</v>
      </c>
      <c r="B187" s="6" t="s">
        <v>240</v>
      </c>
      <c r="C187" s="5" t="str">
        <f t="shared" si="2"/>
        <v>For Business</v>
      </c>
      <c r="D187" s="7" t="str">
        <f>IFERROR(__xludf.DUMMYFUNCTION("GoogleTranslate(C187, ""en"", ""es"")"),"Para negocios")</f>
        <v>Para negocios</v>
      </c>
      <c r="E187" s="7" t="str">
        <f>IFERROR(__xludf.DUMMYFUNCTION("GoogleTranslate(C187, ""en"", ""ar"")"),"للأعمال")</f>
        <v>للأعمال</v>
      </c>
      <c r="F187" s="7" t="str">
        <f>IFERROR(__xludf.DUMMYFUNCTION("GoogleTranslate(C187, ""en"", ""hy"")"),"Բիզնեսի համար")</f>
        <v>Բիզնեսի համար</v>
      </c>
      <c r="G187" s="7" t="str">
        <f>IFERROR(__xludf.DUMMYFUNCTION("GoogleTranslate(C187, ""en"", ""vi"")"),"Dành cho doanh nghiệp")</f>
        <v>Dành cho doanh nghiệp</v>
      </c>
      <c r="H187" s="7" t="str">
        <f>IFERROR(__xludf.DUMMYFUNCTION("GoogleTranslate(C187, ""en"", ""az"")"),"Biznes üçün")</f>
        <v>Biznes üçün</v>
      </c>
      <c r="I187" s="7" t="str">
        <f>IFERROR(__xludf.DUMMYFUNCTION("GoogleTranslate(C187, ""en"", ""eu"")"),"Negozioetarako")</f>
        <v>Negozioetarako</v>
      </c>
      <c r="J187" s="7" t="str">
        <f>IFERROR(__xludf.DUMMYFUNCTION("GoogleTranslate(C187, ""en"", ""be"")"),"Для бізнесу")</f>
        <v>Для бізнесу</v>
      </c>
      <c r="K187" s="7" t="str">
        <f>IFERROR(__xludf.DUMMYFUNCTION("GoogleTranslate(C187, ""en"", ""bn"")"),"ব্যবসার জন্য")</f>
        <v>ব্যবসার জন্য</v>
      </c>
      <c r="L187" s="7" t="str">
        <f>IFERROR(__xludf.DUMMYFUNCTION("GoogleTranslate(C187, ""en"", ""bg"")"),"За Бизнес")</f>
        <v>За Бизнес</v>
      </c>
      <c r="M187" s="7" t="str">
        <f>IFERROR(__xludf.DUMMYFUNCTION("GoogleTranslate(C187, ""en"", ""my"")"),"စီးပွားရေးအတွက်")</f>
        <v>စီးပွားရေးအတွက်</v>
      </c>
      <c r="N187" s="7" t="str">
        <f>IFERROR(__xludf.DUMMYFUNCTION("GoogleTranslate(C187, ""en"", ""ca"")"),"Per a negocis")</f>
        <v>Per a negocis</v>
      </c>
      <c r="O187" s="7" t="str">
        <f>IFERROR(__xludf.DUMMYFUNCTION("GoogleTranslate(C187, ""en"", ""zh-cn"")"),"商务用")</f>
        <v>商务用</v>
      </c>
      <c r="P187" s="7" t="str">
        <f>IFERROR(__xludf.DUMMYFUNCTION("GoogleTranslate(C187, ""en"", ""zh-TW"")"),"商務用")</f>
        <v>商務用</v>
      </c>
      <c r="Q187" s="7" t="str">
        <f>IFERROR(__xludf.DUMMYFUNCTION("GoogleTranslate(C187, ""en"", ""hr"")"),"Za posao")</f>
        <v>Za posao</v>
      </c>
      <c r="R187" s="7" t="str">
        <f>IFERROR(__xludf.DUMMYFUNCTION("GoogleTranslate(C187, ""en"", ""cs"")"),"Pro podnikání")</f>
        <v>Pro podnikání</v>
      </c>
      <c r="S187" s="7" t="str">
        <f>IFERROR(__xludf.DUMMYFUNCTION("GoogleTranslate(C187, ""en"", ""da"")"),"Til Erhverv")</f>
        <v>Til Erhverv</v>
      </c>
      <c r="T187" s="7" t="str">
        <f>IFERROR(__xludf.DUMMYFUNCTION("GoogleTranslate(C187, ""en"", ""nl"")"),"Voor zaken")</f>
        <v>Voor zaken</v>
      </c>
      <c r="U187" s="7" t="str">
        <f>IFERROR(__xludf.DUMMYFUNCTION("GoogleTranslate(C187, ""en"", ""et"")"),"Ettevõtluse jaoks")</f>
        <v>Ettevõtluse jaoks</v>
      </c>
      <c r="V187" s="5" t="str">
        <f t="shared" si="3"/>
        <v>For Business</v>
      </c>
      <c r="W187" s="7" t="str">
        <f>IFERROR(__xludf.DUMMYFUNCTION("GoogleTranslate(C187, ""en"", ""fi"")"),"Yrityksille")</f>
        <v>Yrityksille</v>
      </c>
      <c r="X187" s="7" t="str">
        <f>IFERROR(__xludf.DUMMYFUNCTION("GoogleTranslate(C187, ""en"", ""fr"")"),"Pour les entreprises")</f>
        <v>Pour les entreprises</v>
      </c>
      <c r="Y187" s="7" t="str">
        <f>IFERROR(__xludf.DUMMYFUNCTION("GoogleTranslate(C187, ""en"", ""de"")"),"Für Unternehmen")</f>
        <v>Für Unternehmen</v>
      </c>
      <c r="Z187" s="7" t="str">
        <f>IFERROR(__xludf.DUMMYFUNCTION("GoogleTranslate(C187, ""en"", ""el"")"),"Για Επιχειρήσεις")</f>
        <v>Για Επιχειρήσεις</v>
      </c>
      <c r="AA187" s="7" t="str">
        <f>IFERROR(__xludf.DUMMYFUNCTION("GoogleTranslate(C187, ""en"", ""iw"")"),"לעסקים")</f>
        <v>לעסקים</v>
      </c>
      <c r="AB187" s="7" t="str">
        <f>IFERROR(__xludf.DUMMYFUNCTION("GoogleTranslate(C187, ""en"", ""hi"")"),"बिज़नेस के लिए")</f>
        <v>बिज़नेस के लिए</v>
      </c>
      <c r="AC187" s="7" t="str">
        <f>IFERROR(__xludf.DUMMYFUNCTION("GoogleTranslate(C187, ""en"", ""hu"")"),"Vállalkozásoknak")</f>
        <v>Vállalkozásoknak</v>
      </c>
      <c r="AD187" s="7" t="str">
        <f>IFERROR(__xludf.DUMMYFUNCTION("GoogleTranslate(C187, ""en"", ""is"")"),"Fyrir Viðskipti")</f>
        <v>Fyrir Viðskipti</v>
      </c>
      <c r="AE187" s="7" t="str">
        <f>IFERROR(__xludf.DUMMYFUNCTION("GoogleTranslate(C187, ""en"", ""id"")"),"Untuk Bisnis")</f>
        <v>Untuk Bisnis</v>
      </c>
      <c r="AF187" s="7" t="str">
        <f>IFERROR(__xludf.DUMMYFUNCTION("GoogleTranslate(C187, ""en"", ""in"")"),"Untuk Bisnis")</f>
        <v>Untuk Bisnis</v>
      </c>
      <c r="AG187" s="7" t="str">
        <f>IFERROR(__xludf.DUMMYFUNCTION("GoogleTranslate(C187, ""en"", ""it"")"),"Per affari")</f>
        <v>Per affari</v>
      </c>
      <c r="AH187" s="7" t="str">
        <f>IFERROR(__xludf.DUMMYFUNCTION("GoogleTranslate(C187, ""en"", ""ja"")"),"ビジネス向け")</f>
        <v>ビジネス向け</v>
      </c>
      <c r="AI187" s="7" t="str">
        <f>IFERROR(__xludf.DUMMYFUNCTION("GoogleTranslate(C187, ""en"", ""kn"")"),"ವ್ಯಾಪಾರಕ್ಕಾಗಿ")</f>
        <v>ವ್ಯಾಪಾರಕ್ಕಾಗಿ</v>
      </c>
      <c r="AJ187" s="7" t="str">
        <f>IFERROR(__xludf.DUMMYFUNCTION("GoogleTranslate(C187, ""en"", ""km"")"),"សម្រាប់អាជីវកម្ម")</f>
        <v>សម្រាប់អាជីវកម្ម</v>
      </c>
      <c r="AK187" s="7" t="str">
        <f>IFERROR(__xludf.DUMMYFUNCTION("GoogleTranslate(C187, ""en"", ""ko"")"),"비즈니스용")</f>
        <v>비즈니스용</v>
      </c>
      <c r="AL187" s="7" t="str">
        <f>IFERROR(__xludf.DUMMYFUNCTION("GoogleTranslate(C187, ""en"", ""lo"")"),"ສໍາລັບທຸລະກິດ")</f>
        <v>ສໍາລັບທຸລະກິດ</v>
      </c>
      <c r="AM187" s="7" t="str">
        <f>IFERROR(__xludf.DUMMYFUNCTION("GoogleTranslate(C187, ""en"", ""lv"")"),"Biznesam")</f>
        <v>Biznesam</v>
      </c>
      <c r="AN187" s="7" t="str">
        <f>IFERROR(__xludf.DUMMYFUNCTION("GoogleTranslate(C187, ""en"", ""lt"")"),"Verslui")</f>
        <v>Verslui</v>
      </c>
      <c r="AO187" s="7" t="str">
        <f>IFERROR(__xludf.DUMMYFUNCTION("GoogleTranslate(C187, ""en"", ""mk"")"),"За бизнис")</f>
        <v>За бизнис</v>
      </c>
      <c r="AP187" s="7" t="str">
        <f>IFERROR(__xludf.DUMMYFUNCTION("GoogleTranslate(C187, ""en"", ""ms"")"),"Untuk Perniagaan")</f>
        <v>Untuk Perniagaan</v>
      </c>
      <c r="AQ187" s="7" t="str">
        <f>IFERROR(__xludf.DUMMYFUNCTION("GoogleTranslate(C187, ""en"", ""ml"")"),"ബിസിനസ്സിനായി")</f>
        <v>ബിസിനസ്സിനായി</v>
      </c>
      <c r="AR187" s="7" t="str">
        <f>IFERROR(__xludf.DUMMYFUNCTION("GoogleTranslate(C187, ""en"", ""mr"")"),"व्यवसायासाठी")</f>
        <v>व्यवसायासाठी</v>
      </c>
      <c r="AS187" s="7" t="str">
        <f>IFERROR(__xludf.DUMMYFUNCTION("GoogleTranslate(C187, ""en"", ""mn"")"),"Бизнесийн хувьд")</f>
        <v>Бизнесийн хувьд</v>
      </c>
      <c r="AT187" s="7" t="str">
        <f>IFERROR(__xludf.DUMMYFUNCTION("GoogleTranslate(C187, ""en"", ""ne"")"),"व्यापार को लागी")</f>
        <v>व्यापार को लागी</v>
      </c>
      <c r="AU187" s="7" t="str">
        <f>IFERROR(__xludf.DUMMYFUNCTION("GoogleTranslate(C187, ""en"", ""nb"")"),"For Business")</f>
        <v>For Business</v>
      </c>
      <c r="AV187" s="7" t="str">
        <f>IFERROR(__xludf.DUMMYFUNCTION("GoogleTranslate(C187, ""en"", ""fa"")"),"برای تجارت")</f>
        <v>برای تجارت</v>
      </c>
      <c r="AW187" s="7" t="str">
        <f>IFERROR(__xludf.DUMMYFUNCTION("GoogleTranslate(C187, ""en"", ""pl"")"),"Dla Biznesu")</f>
        <v>Dla Biznesu</v>
      </c>
      <c r="AX187" s="7" t="str">
        <f>IFERROR(__xludf.DUMMYFUNCTION("GoogleTranslate(C187, ""en"", ""pt"")"),"Para negócios")</f>
        <v>Para negócios</v>
      </c>
      <c r="AY187" s="7" t="str">
        <f>IFERROR(__xludf.DUMMYFUNCTION("GoogleTranslate(C187, ""en"", ""ro"")"),"Pentru afaceri")</f>
        <v>Pentru afaceri</v>
      </c>
      <c r="AZ187" s="7" t="str">
        <f>IFERROR(__xludf.DUMMYFUNCTION("GoogleTranslate(C187, ""en"", ""ru"")"),"Для бизнеса")</f>
        <v>Для бизнеса</v>
      </c>
      <c r="BA187" s="7" t="str">
        <f>IFERROR(__xludf.DUMMYFUNCTION("GoogleTranslate(C187, ""en"", ""sr"")"),"За посао")</f>
        <v>За посао</v>
      </c>
      <c r="BB187" s="7" t="str">
        <f>IFERROR(__xludf.DUMMYFUNCTION("GoogleTranslate(C187, ""en"", ""si"")"),"ව්යාපාර සඳහා")</f>
        <v>ව්යාපාර සඳහා</v>
      </c>
      <c r="BC187" s="7" t="str">
        <f>IFERROR(__xludf.DUMMYFUNCTION("GoogleTranslate(C187, ""en"", ""sk"")"),"Pre podnikanie")</f>
        <v>Pre podnikanie</v>
      </c>
      <c r="BD187" s="7" t="str">
        <f>IFERROR(__xludf.DUMMYFUNCTION("GoogleTranslate(C187, ""en"", ""sl"")"),"Za posel")</f>
        <v>Za posel</v>
      </c>
      <c r="BE187" s="7" t="str">
        <f>IFERROR(__xludf.DUMMYFUNCTION("GoogleTranslate(C187, ""en"", ""es"")"),"Para negocios")</f>
        <v>Para negocios</v>
      </c>
      <c r="BF187" s="7" t="str">
        <f>IFERROR(__xludf.DUMMYFUNCTION("GoogleTranslate(C187, ""en"", ""sw"")"),"Kwa Biashara")</f>
        <v>Kwa Biashara</v>
      </c>
      <c r="BG187" s="7" t="str">
        <f>IFERROR(__xludf.DUMMYFUNCTION("GoogleTranslate(C187, ""en"", ""sv"")"),"För företag")</f>
        <v>För företag</v>
      </c>
      <c r="BH187" s="7" t="str">
        <f>IFERROR(__xludf.DUMMYFUNCTION("GoogleTranslate(C187, ""en"", ""te"")"),"వ్యాపారం కోసం")</f>
        <v>వ్యాపారం కోసం</v>
      </c>
      <c r="BI187" s="7" t="str">
        <f>IFERROR(__xludf.DUMMYFUNCTION("GoogleTranslate(C187, ""en"", ""th"")"),"สำหรับธุรกิจ")</f>
        <v>สำหรับธุรกิจ</v>
      </c>
      <c r="BJ187" s="7" t="str">
        <f>IFERROR(__xludf.DUMMYFUNCTION("GoogleTranslate(C187, ""en"", ""tr"")"),"İş Amaçlı")</f>
        <v>İş Amaçlı</v>
      </c>
      <c r="BK187" s="7" t="str">
        <f>IFERROR(__xludf.DUMMYFUNCTION("GoogleTranslate(C187, ""en"", ""uk"")"),"Для бізнесу")</f>
        <v>Для бізнесу</v>
      </c>
      <c r="BL187" s="7" t="str">
        <f>IFERROR(__xludf.DUMMYFUNCTION("GoogleTranslate(C187, ""en"", ""zu"")"),"OkweBhizinisi")</f>
        <v>OkweBhizinisi</v>
      </c>
    </row>
    <row r="188">
      <c r="A188" s="5" t="str">
        <f t="shared" si="1"/>
        <v>APPS_&amp;_DOWNLOADS</v>
      </c>
      <c r="B188" s="6" t="s">
        <v>241</v>
      </c>
      <c r="C188" s="5" t="str">
        <f t="shared" si="2"/>
        <v>APPS &amp; DOWNLOADS</v>
      </c>
      <c r="D188" s="7" t="str">
        <f>IFERROR(__xludf.DUMMYFUNCTION("GoogleTranslate(C188, ""en"", ""es"")"),"APLICACIONES Y DESCARGAS")</f>
        <v>APLICACIONES Y DESCARGAS</v>
      </c>
      <c r="E188" s="7" t="str">
        <f>IFERROR(__xludf.DUMMYFUNCTION("GoogleTranslate(C188, ""en"", ""ar"")"),"التطبيقات والتنزيلات")</f>
        <v>التطبيقات والتنزيلات</v>
      </c>
      <c r="F188" s="7" t="str">
        <f>IFERROR(__xludf.DUMMYFUNCTION("GoogleTranslate(C188, ""en"", ""hy"")"),"ՀԱՎԵԼՎԱԾՆԵՐ ԵՎ ՆԵՐբեռնումներ")</f>
        <v>ՀԱՎԵԼՎԱԾՆԵՐ ԵՎ ՆԵՐբեռնումներ</v>
      </c>
      <c r="G188" s="7" t="str">
        <f>IFERROR(__xludf.DUMMYFUNCTION("GoogleTranslate(C188, ""en"", ""vi"")"),"ỨNG DỤNG &amp; TẢI XUỐNG")</f>
        <v>ỨNG DỤNG &amp; TẢI XUỐNG</v>
      </c>
      <c r="H188" s="7" t="str">
        <f>IFERROR(__xludf.DUMMYFUNCTION("GoogleTranslate(C188, ""en"", ""az"")"),"TƏTBİQLƏR VƏ YÜKLƏMƏLƏR")</f>
        <v>TƏTBİQLƏR VƏ YÜKLƏMƏLƏR</v>
      </c>
      <c r="I188" s="7" t="str">
        <f>IFERROR(__xludf.DUMMYFUNCTION("GoogleTranslate(C188, ""en"", ""eu"")"),"APLIKAZIOAK ETA DESkargak")</f>
        <v>APLIKAZIOAK ETA DESkargak</v>
      </c>
      <c r="J188" s="7" t="str">
        <f>IFERROR(__xludf.DUMMYFUNCTION("GoogleTranslate(C188, ""en"", ""be"")"),"ПРАГРАМЫ І СПАМПОЎКІ")</f>
        <v>ПРАГРАМЫ І СПАМПОЎКІ</v>
      </c>
      <c r="K188" s="7" t="str">
        <f>IFERROR(__xludf.DUMMYFUNCTION("GoogleTranslate(C188, ""en"", ""bn"")"),"অ্যাপস এবং ডাউনলোড")</f>
        <v>অ্যাপস এবং ডাউনলোড</v>
      </c>
      <c r="L188" s="7" t="str">
        <f>IFERROR(__xludf.DUMMYFUNCTION("GoogleTranslate(C188, ""en"", ""bg"")"),"ПРИЛОЖЕНИЯ И ИЗТЕГЛЯНИ")</f>
        <v>ПРИЛОЖЕНИЯ И ИЗТЕГЛЯНИ</v>
      </c>
      <c r="M188" s="7" t="str">
        <f>IFERROR(__xludf.DUMMYFUNCTION("GoogleTranslate(C188, ""en"", ""my"")"),"အက်ပ်များနှင့် ဒေါင်းလုဒ်များ")</f>
        <v>အက်ပ်များနှင့် ဒေါင်းလုဒ်များ</v>
      </c>
      <c r="N188" s="7" t="str">
        <f>IFERROR(__xludf.DUMMYFUNCTION("GoogleTranslate(C188, ""en"", ""ca"")"),"APLICACIONS I DESCÀRREGAS")</f>
        <v>APLICACIONS I DESCÀRREGAS</v>
      </c>
      <c r="O188" s="7" t="str">
        <f>IFERROR(__xludf.DUMMYFUNCTION("GoogleTranslate(C188, ""en"", ""zh-cn"")"),"应用程序和下载")</f>
        <v>应用程序和下载</v>
      </c>
      <c r="P188" s="7" t="str">
        <f>IFERROR(__xludf.DUMMYFUNCTION("GoogleTranslate(C188, ""en"", ""zh-TW"")"),"應用程式和下載")</f>
        <v>應用程式和下載</v>
      </c>
      <c r="Q188" s="7" t="str">
        <f>IFERROR(__xludf.DUMMYFUNCTION("GoogleTranslate(C188, ""en"", ""hr"")"),"APLIKACIJE I PREUZIMANJA")</f>
        <v>APLIKACIJE I PREUZIMANJA</v>
      </c>
      <c r="R188" s="7" t="str">
        <f>IFERROR(__xludf.DUMMYFUNCTION("GoogleTranslate(C188, ""en"", ""cs"")"),"APLIKACE A STAŽENÍ")</f>
        <v>APLIKACE A STAŽENÍ</v>
      </c>
      <c r="S188" s="7" t="str">
        <f>IFERROR(__xludf.DUMMYFUNCTION("GoogleTranslate(C188, ""en"", ""da"")"),"APPS OG DOWNLOADS")</f>
        <v>APPS OG DOWNLOADS</v>
      </c>
      <c r="T188" s="7" t="str">
        <f>IFERROR(__xludf.DUMMYFUNCTION("GoogleTranslate(C188, ""en"", ""nl"")"),"APPS EN DOWNLOADS")</f>
        <v>APPS EN DOWNLOADS</v>
      </c>
      <c r="U188" s="7" t="str">
        <f>IFERROR(__xludf.DUMMYFUNCTION("GoogleTranslate(C188, ""en"", ""et"")"),"RAKENDUSED JA ALLALAADIMINE")</f>
        <v>RAKENDUSED JA ALLALAADIMINE</v>
      </c>
      <c r="V188" s="5" t="str">
        <f t="shared" si="3"/>
        <v>APPS &amp; DOWNLOADS</v>
      </c>
      <c r="W188" s="7" t="str">
        <f>IFERROR(__xludf.DUMMYFUNCTION("GoogleTranslate(C188, ""en"", ""fi"")"),"SOVELLUKSET &amp; LATAUKSET")</f>
        <v>SOVELLUKSET &amp; LATAUKSET</v>
      </c>
      <c r="X188" s="7" t="str">
        <f>IFERROR(__xludf.DUMMYFUNCTION("GoogleTranslate(C188, ""en"", ""fr"")"),"APPLICATIONS ET TÉLÉCHARGEMENTS")</f>
        <v>APPLICATIONS ET TÉLÉCHARGEMENTS</v>
      </c>
      <c r="Y188" s="7" t="str">
        <f>IFERROR(__xludf.DUMMYFUNCTION("GoogleTranslate(C188, ""en"", ""de"")"),"APPS &amp; DOWNLOADS")</f>
        <v>APPS &amp; DOWNLOADS</v>
      </c>
      <c r="Z188" s="7" t="str">
        <f>IFERROR(__xludf.DUMMYFUNCTION("GoogleTranslate(C188, ""en"", ""el"")"),"ΕΦΑΡΜΟΓΕΣ &amp; ΛΗΨΕΙΣ")</f>
        <v>ΕΦΑΡΜΟΓΕΣ &amp; ΛΗΨΕΙΣ</v>
      </c>
      <c r="AA188" s="7" t="str">
        <f>IFERROR(__xludf.DUMMYFUNCTION("GoogleTranslate(C188, ""en"", ""iw"")"),"אפליקציות והורדות")</f>
        <v>אפליקציות והורדות</v>
      </c>
      <c r="AB188" s="7" t="str">
        <f>IFERROR(__xludf.DUMMYFUNCTION("GoogleTranslate(C188, ""en"", ""hi"")"),"ऐप्स और डाउनलोड")</f>
        <v>ऐप्स और डाउनलोड</v>
      </c>
      <c r="AC188" s="7" t="str">
        <f>IFERROR(__xludf.DUMMYFUNCTION("GoogleTranslate(C188, ""en"", ""hu"")"),"ALKALMAZÁSOK ÉS LETÖLTÉSEK")</f>
        <v>ALKALMAZÁSOK ÉS LETÖLTÉSEK</v>
      </c>
      <c r="AD188" s="7" t="str">
        <f>IFERROR(__xludf.DUMMYFUNCTION("GoogleTranslate(C188, ""en"", ""is"")"),"APPAR OG NIÐURHALDA")</f>
        <v>APPAR OG NIÐURHALDA</v>
      </c>
      <c r="AE188" s="7" t="str">
        <f>IFERROR(__xludf.DUMMYFUNCTION("GoogleTranslate(C188, ""en"", ""id"")"),"APLIKASI &amp; UNDUHAN")</f>
        <v>APLIKASI &amp; UNDUHAN</v>
      </c>
      <c r="AF188" s="7" t="str">
        <f>IFERROR(__xludf.DUMMYFUNCTION("GoogleTranslate(C188, ""en"", ""in"")"),"APLIKASI &amp; UNDUHAN")</f>
        <v>APLIKASI &amp; UNDUHAN</v>
      </c>
      <c r="AG188" s="7" t="str">
        <f>IFERROR(__xludf.DUMMYFUNCTION("GoogleTranslate(C188, ""en"", ""it"")"),"APP E DOWNLOAD")</f>
        <v>APP E DOWNLOAD</v>
      </c>
      <c r="AH188" s="7" t="str">
        <f>IFERROR(__xludf.DUMMYFUNCTION("GoogleTranslate(C188, ""en"", ""ja"")"),"アプリとダウンロード")</f>
        <v>アプリとダウンロード</v>
      </c>
      <c r="AI188" s="7" t="str">
        <f>IFERROR(__xludf.DUMMYFUNCTION("GoogleTranslate(C188, ""en"", ""kn"")"),"ಅಪ್ಲಿಕೇಶನ್‌ಗಳು ಮತ್ತು ಡೌನ್‌ಲೋಡ್‌ಗಳು")</f>
        <v>ಅಪ್ಲಿಕೇಶನ್‌ಗಳು ಮತ್ತು ಡೌನ್‌ಲೋಡ್‌ಗಳು</v>
      </c>
      <c r="AJ188" s="7" t="str">
        <f>IFERROR(__xludf.DUMMYFUNCTION("GoogleTranslate(C188, ""en"", ""km"")"),"កម្មវិធី &amp; ទាញយក")</f>
        <v>កម្មវិធី &amp; ទាញយក</v>
      </c>
      <c r="AK188" s="7" t="str">
        <f>IFERROR(__xludf.DUMMYFUNCTION("GoogleTranslate(C188, ""en"", ""ko"")"),"앱 및 다운로드")</f>
        <v>앱 및 다운로드</v>
      </c>
      <c r="AL188" s="7" t="str">
        <f>IFERROR(__xludf.DUMMYFUNCTION("GoogleTranslate(C188, ""en"", ""lo"")"),"ແອັບ &amp; ດາວໂຫຼດ")</f>
        <v>ແອັບ &amp; ດາວໂຫຼດ</v>
      </c>
      <c r="AM188" s="7" t="str">
        <f>IFERROR(__xludf.DUMMYFUNCTION("GoogleTranslate(C188, ""en"", ""lv"")"),"LIETOTNES UN LEJUPIELĀDES")</f>
        <v>LIETOTNES UN LEJUPIELĀDES</v>
      </c>
      <c r="AN188" s="7" t="str">
        <f>IFERROR(__xludf.DUMMYFUNCTION("GoogleTranslate(C188, ""en"", ""lt"")"),"PROGRAMOS IR ATSISIUNTIMAI")</f>
        <v>PROGRAMOS IR ATSISIUNTIMAI</v>
      </c>
      <c r="AO188" s="7" t="str">
        <f>IFERROR(__xludf.DUMMYFUNCTION("GoogleTranslate(C188, ""en"", ""mk"")"),"АПЛИКАЦИИ И ПРЕЗЕМАЊА")</f>
        <v>АПЛИКАЦИИ И ПРЕЗЕМАЊА</v>
      </c>
      <c r="AP188" s="7" t="str">
        <f>IFERROR(__xludf.DUMMYFUNCTION("GoogleTranslate(C188, ""en"", ""ms"")"),"APLIKASI &amp; MUAT TURUN")</f>
        <v>APLIKASI &amp; MUAT TURUN</v>
      </c>
      <c r="AQ188" s="7" t="str">
        <f>IFERROR(__xludf.DUMMYFUNCTION("GoogleTranslate(C188, ""en"", ""ml"")"),"ആപ്പുകളും ഡൗൺലോഡുകളും")</f>
        <v>ആപ്പുകളും ഡൗൺലോഡുകളും</v>
      </c>
      <c r="AR188" s="7" t="str">
        <f>IFERROR(__xludf.DUMMYFUNCTION("GoogleTranslate(C188, ""en"", ""mr"")"),"ॲप्स आणि डाउनलोड")</f>
        <v>ॲप्स आणि डाउनलोड</v>
      </c>
      <c r="AS188" s="7" t="str">
        <f>IFERROR(__xludf.DUMMYFUNCTION("GoogleTranslate(C188, ""en"", ""mn"")"),"АПП БА ТАТАЛТ")</f>
        <v>АПП БА ТАТАЛТ</v>
      </c>
      <c r="AT188" s="7" t="str">
        <f>IFERROR(__xludf.DUMMYFUNCTION("GoogleTranslate(C188, ""en"", ""ne"")"),"एप्स र डाउनलोडहरू")</f>
        <v>एप्स र डाउनलोडहरू</v>
      </c>
      <c r="AU188" s="7" t="str">
        <f>IFERROR(__xludf.DUMMYFUNCTION("GoogleTranslate(C188, ""en"", ""nb"")"),"APPER OG NEDLASTINGER")</f>
        <v>APPER OG NEDLASTINGER</v>
      </c>
      <c r="AV188" s="7" t="str">
        <f>IFERROR(__xludf.DUMMYFUNCTION("GoogleTranslate(C188, ""en"", ""fa"")"),"برنامه ها و دانلودها")</f>
        <v>برنامه ها و دانلودها</v>
      </c>
      <c r="AW188" s="7" t="str">
        <f>IFERROR(__xludf.DUMMYFUNCTION("GoogleTranslate(C188, ""en"", ""pl"")"),"APLIKACJE I POBRANIA")</f>
        <v>APLIKACJE I POBRANIA</v>
      </c>
      <c r="AX188" s="7" t="str">
        <f>IFERROR(__xludf.DUMMYFUNCTION("GoogleTranslate(C188, ""en"", ""pt"")"),"APLICATIVOS E DOWNLOADS")</f>
        <v>APLICATIVOS E DOWNLOADS</v>
      </c>
      <c r="AY188" s="7" t="str">
        <f>IFERROR(__xludf.DUMMYFUNCTION("GoogleTranslate(C188, ""en"", ""ro"")"),"APLICAȚII ȘI DESCĂRCĂRI")</f>
        <v>APLICAȚII ȘI DESCĂRCĂRI</v>
      </c>
      <c r="AZ188" s="7" t="str">
        <f>IFERROR(__xludf.DUMMYFUNCTION("GoogleTranslate(C188, ""en"", ""ru"")"),"ПРИЛОЖЕНИЯ И ЗАГРУЗКИ")</f>
        <v>ПРИЛОЖЕНИЯ И ЗАГРУЗКИ</v>
      </c>
      <c r="BA188" s="7" t="str">
        <f>IFERROR(__xludf.DUMMYFUNCTION("GoogleTranslate(C188, ""en"", ""sr"")"),"АПЛИКАЦИЈЕ И ПРЕУЗИМАЊА")</f>
        <v>АПЛИКАЦИЈЕ И ПРЕУЗИМАЊА</v>
      </c>
      <c r="BB188" s="7" t="str">
        <f>IFERROR(__xludf.DUMMYFUNCTION("GoogleTranslate(C188, ""en"", ""si"")"),"යෙදුම් සහ බාගැනීම්")</f>
        <v>යෙදුම් සහ බාගැනීම්</v>
      </c>
      <c r="BC188" s="7" t="str">
        <f>IFERROR(__xludf.DUMMYFUNCTION("GoogleTranslate(C188, ""en"", ""sk"")"),"APLIKÁCIE A NA STIAHNUTIE")</f>
        <v>APLIKÁCIE A NA STIAHNUTIE</v>
      </c>
      <c r="BD188" s="7" t="str">
        <f>IFERROR(__xludf.DUMMYFUNCTION("GoogleTranslate(C188, ""en"", ""sl"")"),"APLIKACIJE IN PRENOSI")</f>
        <v>APLIKACIJE IN PRENOSI</v>
      </c>
      <c r="BE188" s="7" t="str">
        <f>IFERROR(__xludf.DUMMYFUNCTION("GoogleTranslate(C188, ""en"", ""es"")"),"APLICACIONES Y DESCARGAS")</f>
        <v>APLICACIONES Y DESCARGAS</v>
      </c>
      <c r="BF188" s="7" t="str">
        <f>IFERROR(__xludf.DUMMYFUNCTION("GoogleTranslate(C188, ""en"", ""sw"")"),"APPS NA VIPAKUA")</f>
        <v>APPS NA VIPAKUA</v>
      </c>
      <c r="BG188" s="7" t="str">
        <f>IFERROR(__xludf.DUMMYFUNCTION("GoogleTranslate(C188, ""en"", ""sv"")"),"APPAR &amp; NEDLADDNINGAR")</f>
        <v>APPAR &amp; NEDLADDNINGAR</v>
      </c>
      <c r="BH188" s="7" t="str">
        <f>IFERROR(__xludf.DUMMYFUNCTION("GoogleTranslate(C188, ""en"", ""te"")"),"యాప్‌లు &amp; డౌన్‌లోడ్‌లు")</f>
        <v>యాప్‌లు &amp; డౌన్‌లోడ్‌లు</v>
      </c>
      <c r="BI188" s="7" t="str">
        <f>IFERROR(__xludf.DUMMYFUNCTION("GoogleTranslate(C188, ""en"", ""th"")"),"แอพและดาวน์โหลด")</f>
        <v>แอพและดาวน์โหลด</v>
      </c>
      <c r="BJ188" s="7" t="str">
        <f>IFERROR(__xludf.DUMMYFUNCTION("GoogleTranslate(C188, ""en"", ""tr"")"),"UYGULAMALAR VE İNDİRMELER")</f>
        <v>UYGULAMALAR VE İNDİRMELER</v>
      </c>
      <c r="BK188" s="7" t="str">
        <f>IFERROR(__xludf.DUMMYFUNCTION("GoogleTranslate(C188, ""en"", ""uk"")"),"ПРОГРАМИ ТА ЗАВАНТАЖЕННЯ")</f>
        <v>ПРОГРАМИ ТА ЗАВАНТАЖЕННЯ</v>
      </c>
      <c r="BL188" s="7" t="str">
        <f>IFERROR(__xludf.DUMMYFUNCTION("GoogleTranslate(C188, ""en"", ""zu"")"),"IZINHLELO ZOKUSEBENZA NOKULANDIWA")</f>
        <v>IZINHLELO ZOKUSEBENZA NOKULANDIWA</v>
      </c>
    </row>
    <row r="189">
      <c r="A189" s="5" t="str">
        <f t="shared" si="1"/>
        <v>Iphone_App</v>
      </c>
      <c r="B189" s="6" t="s">
        <v>242</v>
      </c>
      <c r="C189" s="5" t="str">
        <f t="shared" si="2"/>
        <v>Iphone App</v>
      </c>
      <c r="D189" s="7" t="str">
        <f>IFERROR(__xludf.DUMMYFUNCTION("GoogleTranslate(C189, ""en"", ""es"")"),"Aplicación para iPhone")</f>
        <v>Aplicación para iPhone</v>
      </c>
      <c r="E189" s="7" t="str">
        <f>IFERROR(__xludf.DUMMYFUNCTION("GoogleTranslate(C189, ""en"", ""ar"")"),"تطبيق ايفون")</f>
        <v>تطبيق ايفون</v>
      </c>
      <c r="F189" s="7" t="str">
        <f>IFERROR(__xludf.DUMMYFUNCTION("GoogleTranslate(C189, ""en"", ""hy"")"),"Iphone հավելված")</f>
        <v>Iphone հավելված</v>
      </c>
      <c r="G189" s="7" t="str">
        <f>IFERROR(__xludf.DUMMYFUNCTION("GoogleTranslate(C189, ""en"", ""vi"")"),"Ứng dụng iPhone")</f>
        <v>Ứng dụng iPhone</v>
      </c>
      <c r="H189" s="7" t="str">
        <f>IFERROR(__xludf.DUMMYFUNCTION("GoogleTranslate(C189, ""en"", ""az"")"),"Iphone Proqramı")</f>
        <v>Iphone Proqramı</v>
      </c>
      <c r="I189" s="7" t="str">
        <f>IFERROR(__xludf.DUMMYFUNCTION("GoogleTranslate(C189, ""en"", ""eu"")"),"Iphone aplikazioa")</f>
        <v>Iphone aplikazioa</v>
      </c>
      <c r="J189" s="7" t="str">
        <f>IFERROR(__xludf.DUMMYFUNCTION("GoogleTranslate(C189, ""en"", ""be"")"),"Прыкладанне для iphone")</f>
        <v>Прыкладанне для iphone</v>
      </c>
      <c r="K189" s="7" t="str">
        <f>IFERROR(__xludf.DUMMYFUNCTION("GoogleTranslate(C189, ""en"", ""bn"")"),"আইফোন অ্যাপ")</f>
        <v>আইফোন অ্যাপ</v>
      </c>
      <c r="L189" s="7" t="str">
        <f>IFERROR(__xludf.DUMMYFUNCTION("GoogleTranslate(C189, ""en"", ""bg"")"),"Приложение за Iphone")</f>
        <v>Приложение за Iphone</v>
      </c>
      <c r="M189" s="7" t="str">
        <f>IFERROR(__xludf.DUMMYFUNCTION("GoogleTranslate(C189, ""en"", ""my"")"),"Iphone App ပါ။")</f>
        <v>Iphone App ပါ။</v>
      </c>
      <c r="N189" s="7" t="str">
        <f>IFERROR(__xludf.DUMMYFUNCTION("GoogleTranslate(C189, ""en"", ""ca"")"),"Aplicació Iphone")</f>
        <v>Aplicació Iphone</v>
      </c>
      <c r="O189" s="7" t="str">
        <f>IFERROR(__xludf.DUMMYFUNCTION("GoogleTranslate(C189, ""en"", ""zh-cn"")"),"苹果手机应用程序")</f>
        <v>苹果手机应用程序</v>
      </c>
      <c r="P189" s="7" t="str">
        <f>IFERROR(__xludf.DUMMYFUNCTION("GoogleTranslate(C189, ""en"", ""zh-TW"")"),"蘋果手機應用程式")</f>
        <v>蘋果手機應用程式</v>
      </c>
      <c r="Q189" s="7" t="str">
        <f>IFERROR(__xludf.DUMMYFUNCTION("GoogleTranslate(C189, ""en"", ""hr"")"),"Aplikacija za iPhone")</f>
        <v>Aplikacija za iPhone</v>
      </c>
      <c r="R189" s="7" t="str">
        <f>IFERROR(__xludf.DUMMYFUNCTION("GoogleTranslate(C189, ""en"", ""cs"")"),"Aplikace pro iPhone")</f>
        <v>Aplikace pro iPhone</v>
      </c>
      <c r="S189" s="7" t="str">
        <f>IFERROR(__xludf.DUMMYFUNCTION("GoogleTranslate(C189, ""en"", ""da"")"),"Iphone app")</f>
        <v>Iphone app</v>
      </c>
      <c r="T189" s="7" t="str">
        <f>IFERROR(__xludf.DUMMYFUNCTION("GoogleTranslate(C189, ""en"", ""nl"")"),"Iphone-app")</f>
        <v>Iphone-app</v>
      </c>
      <c r="U189" s="7" t="str">
        <f>IFERROR(__xludf.DUMMYFUNCTION("GoogleTranslate(C189, ""en"", ""et"")"),"iPhone'i rakendus")</f>
        <v>iPhone'i rakendus</v>
      </c>
      <c r="V189" s="5" t="str">
        <f t="shared" si="3"/>
        <v>Iphone App</v>
      </c>
      <c r="W189" s="7" t="str">
        <f>IFERROR(__xludf.DUMMYFUNCTION("GoogleTranslate(C189, ""en"", ""fi"")"),"Iphone-sovellus")</f>
        <v>Iphone-sovellus</v>
      </c>
      <c r="X189" s="7" t="str">
        <f>IFERROR(__xludf.DUMMYFUNCTION("GoogleTranslate(C189, ""en"", ""fr"")"),"Application iPhone")</f>
        <v>Application iPhone</v>
      </c>
      <c r="Y189" s="7" t="str">
        <f>IFERROR(__xludf.DUMMYFUNCTION("GoogleTranslate(C189, ""en"", ""de"")"),"iPhone-App")</f>
        <v>iPhone-App</v>
      </c>
      <c r="Z189" s="7" t="str">
        <f>IFERROR(__xludf.DUMMYFUNCTION("GoogleTranslate(C189, ""en"", ""el"")"),"Εφαρμογή Iphone")</f>
        <v>Εφαρμογή Iphone</v>
      </c>
      <c r="AA189" s="7" t="str">
        <f>IFERROR(__xludf.DUMMYFUNCTION("GoogleTranslate(C189, ""en"", ""iw"")"),"אפליקציית אייפון")</f>
        <v>אפליקציית אייפון</v>
      </c>
      <c r="AB189" s="7" t="str">
        <f>IFERROR(__xludf.DUMMYFUNCTION("GoogleTranslate(C189, ""en"", ""hi"")"),"आईफोन ऐप")</f>
        <v>आईफोन ऐप</v>
      </c>
      <c r="AC189" s="7" t="str">
        <f>IFERROR(__xludf.DUMMYFUNCTION("GoogleTranslate(C189, ""en"", ""hu"")"),"iPhone App")</f>
        <v>iPhone App</v>
      </c>
      <c r="AD189" s="7" t="str">
        <f>IFERROR(__xludf.DUMMYFUNCTION("GoogleTranslate(C189, ""en"", ""is"")"),"Iphone app")</f>
        <v>Iphone app</v>
      </c>
      <c r="AE189" s="7" t="str">
        <f>IFERROR(__xludf.DUMMYFUNCTION("GoogleTranslate(C189, ""en"", ""id"")"),"Aplikasi Iphone")</f>
        <v>Aplikasi Iphone</v>
      </c>
      <c r="AF189" s="7" t="str">
        <f>IFERROR(__xludf.DUMMYFUNCTION("GoogleTranslate(C189, ""en"", ""in"")"),"Aplikasi Iphone")</f>
        <v>Aplikasi Iphone</v>
      </c>
      <c r="AG189" s="7" t="str">
        <f>IFERROR(__xludf.DUMMYFUNCTION("GoogleTranslate(C189, ""en"", ""it"")"),"Applicazione per iPhone")</f>
        <v>Applicazione per iPhone</v>
      </c>
      <c r="AH189" s="7" t="str">
        <f>IFERROR(__xludf.DUMMYFUNCTION("GoogleTranslate(C189, ""en"", ""ja"")"),"iPhoneアプリ")</f>
        <v>iPhoneアプリ</v>
      </c>
      <c r="AI189" s="7" t="str">
        <f>IFERROR(__xludf.DUMMYFUNCTION("GoogleTranslate(C189, ""en"", ""kn"")"),"ಐಫೋನ್ ಅಪ್ಲಿಕೇಶನ್")</f>
        <v>ಐಫೋನ್ ಅಪ್ಲಿಕೇಶನ್</v>
      </c>
      <c r="AJ189" s="7" t="str">
        <f>IFERROR(__xludf.DUMMYFUNCTION("GoogleTranslate(C189, ""en"", ""km"")"),"កម្មវិធីទូរស័ព្ទ iPhone")</f>
        <v>កម្មវិធីទូរស័ព្ទ iPhone</v>
      </c>
      <c r="AK189" s="7" t="str">
        <f>IFERROR(__xludf.DUMMYFUNCTION("GoogleTranslate(C189, ""en"", ""ko"")"),"아이폰 앱")</f>
        <v>아이폰 앱</v>
      </c>
      <c r="AL189" s="7" t="str">
        <f>IFERROR(__xludf.DUMMYFUNCTION("GoogleTranslate(C189, ""en"", ""lo"")"),"ແອັບ iPhone")</f>
        <v>ແອັບ iPhone</v>
      </c>
      <c r="AM189" s="7" t="str">
        <f>IFERROR(__xludf.DUMMYFUNCTION("GoogleTranslate(C189, ""en"", ""lv"")"),"Iphone lietotne")</f>
        <v>Iphone lietotne</v>
      </c>
      <c r="AN189" s="7" t="str">
        <f>IFERROR(__xludf.DUMMYFUNCTION("GoogleTranslate(C189, ""en"", ""lt"")"),"„iPhone“ programa")</f>
        <v>„iPhone“ programa</v>
      </c>
      <c r="AO189" s="7" t="str">
        <f>IFERROR(__xludf.DUMMYFUNCTION("GoogleTranslate(C189, ""en"", ""mk"")"),"Апликација за iPhone")</f>
        <v>Апликација за iPhone</v>
      </c>
      <c r="AP189" s="7" t="str">
        <f>IFERROR(__xludf.DUMMYFUNCTION("GoogleTranslate(C189, ""en"", ""ms"")"),"Apl Iphone")</f>
        <v>Apl Iphone</v>
      </c>
      <c r="AQ189" s="7" t="str">
        <f>IFERROR(__xludf.DUMMYFUNCTION("GoogleTranslate(C189, ""en"", ""ml"")"),"ഐഫോൺ ആപ്പ്")</f>
        <v>ഐഫോൺ ആപ്പ്</v>
      </c>
      <c r="AR189" s="7" t="str">
        <f>IFERROR(__xludf.DUMMYFUNCTION("GoogleTranslate(C189, ""en"", ""mr"")"),"आयफोन ॲप")</f>
        <v>आयफोन ॲप</v>
      </c>
      <c r="AS189" s="7" t="str">
        <f>IFERROR(__xludf.DUMMYFUNCTION("GoogleTranslate(C189, ""en"", ""mn"")"),"Iphone програм")</f>
        <v>Iphone програм</v>
      </c>
      <c r="AT189" s="7" t="str">
        <f>IFERROR(__xludf.DUMMYFUNCTION("GoogleTranslate(C189, ""en"", ""ne"")"),"आईफोन एप")</f>
        <v>आईफोन एप</v>
      </c>
      <c r="AU189" s="7" t="str">
        <f>IFERROR(__xludf.DUMMYFUNCTION("GoogleTranslate(C189, ""en"", ""nb"")"),"Iphone app")</f>
        <v>Iphone app</v>
      </c>
      <c r="AV189" s="7" t="str">
        <f>IFERROR(__xludf.DUMMYFUNCTION("GoogleTranslate(C189, ""en"", ""fa"")"),"برنامه آیفون")</f>
        <v>برنامه آیفون</v>
      </c>
      <c r="AW189" s="7" t="str">
        <f>IFERROR(__xludf.DUMMYFUNCTION("GoogleTranslate(C189, ""en"", ""pl"")"),"Aplikacja na iPhone'a")</f>
        <v>Aplikacja na iPhone'a</v>
      </c>
      <c r="AX189" s="7" t="str">
        <f>IFERROR(__xludf.DUMMYFUNCTION("GoogleTranslate(C189, ""en"", ""pt"")"),"Aplicativo para iPhone")</f>
        <v>Aplicativo para iPhone</v>
      </c>
      <c r="AY189" s="7" t="str">
        <f>IFERROR(__xludf.DUMMYFUNCTION("GoogleTranslate(C189, ""en"", ""ro"")"),"Aplicația iPhone")</f>
        <v>Aplicația iPhone</v>
      </c>
      <c r="AZ189" s="7" t="str">
        <f>IFERROR(__xludf.DUMMYFUNCTION("GoogleTranslate(C189, ""en"", ""ru"")"),"приложение для айфона")</f>
        <v>приложение для айфона</v>
      </c>
      <c r="BA189" s="7" t="str">
        <f>IFERROR(__xludf.DUMMYFUNCTION("GoogleTranslate(C189, ""en"", ""sr"")"),"Апликација за иПхоне")</f>
        <v>Апликација за иПхоне</v>
      </c>
      <c r="BB189" s="7" t="str">
        <f>IFERROR(__xludf.DUMMYFUNCTION("GoogleTranslate(C189, ""en"", ""si"")"),"Iphone යෙදුම")</f>
        <v>Iphone යෙදුම</v>
      </c>
      <c r="BC189" s="7" t="str">
        <f>IFERROR(__xludf.DUMMYFUNCTION("GoogleTranslate(C189, ""en"", ""sk"")"),"Aplikácia pre iPhone")</f>
        <v>Aplikácia pre iPhone</v>
      </c>
      <c r="BD189" s="7" t="str">
        <f>IFERROR(__xludf.DUMMYFUNCTION("GoogleTranslate(C189, ""en"", ""sl"")"),"Aplikacija za iPhone")</f>
        <v>Aplikacija za iPhone</v>
      </c>
      <c r="BE189" s="7" t="str">
        <f>IFERROR(__xludf.DUMMYFUNCTION("GoogleTranslate(C189, ""en"", ""es"")"),"Aplicación para iPhone")</f>
        <v>Aplicación para iPhone</v>
      </c>
      <c r="BF189" s="7" t="str">
        <f>IFERROR(__xludf.DUMMYFUNCTION("GoogleTranslate(C189, ""en"", ""sw"")"),"Programu ya Iphone")</f>
        <v>Programu ya Iphone</v>
      </c>
      <c r="BG189" s="7" t="str">
        <f>IFERROR(__xludf.DUMMYFUNCTION("GoogleTranslate(C189, ""en"", ""sv"")"),"Iphone App")</f>
        <v>Iphone App</v>
      </c>
      <c r="BH189" s="7" t="str">
        <f>IFERROR(__xludf.DUMMYFUNCTION("GoogleTranslate(C189, ""en"", ""te"")"),"ఐఫోన్ యాప్")</f>
        <v>ఐఫోన్ యాప్</v>
      </c>
      <c r="BI189" s="7" t="str">
        <f>IFERROR(__xludf.DUMMYFUNCTION("GoogleTranslate(C189, ""en"", ""th"")"),"แอพไอโฟน")</f>
        <v>แอพไอโฟน</v>
      </c>
      <c r="BJ189" s="7" t="str">
        <f>IFERROR(__xludf.DUMMYFUNCTION("GoogleTranslate(C189, ""en"", ""tr"")"),"iPhone Uygulaması")</f>
        <v>iPhone Uygulaması</v>
      </c>
      <c r="BK189" s="7" t="str">
        <f>IFERROR(__xludf.DUMMYFUNCTION("GoogleTranslate(C189, ""en"", ""uk"")"),"Додаток для Iphone")</f>
        <v>Додаток для Iphone</v>
      </c>
      <c r="BL189" s="7" t="str">
        <f>IFERROR(__xludf.DUMMYFUNCTION("GoogleTranslate(C189, ""en"", ""zu"")"),"Iphone App")</f>
        <v>Iphone App</v>
      </c>
    </row>
    <row r="190">
      <c r="A190" s="5" t="str">
        <f t="shared" si="1"/>
        <v>Android_App</v>
      </c>
      <c r="B190" s="6" t="s">
        <v>243</v>
      </c>
      <c r="C190" s="5" t="str">
        <f t="shared" si="2"/>
        <v>Android App</v>
      </c>
      <c r="D190" s="7" t="str">
        <f>IFERROR(__xludf.DUMMYFUNCTION("GoogleTranslate(C190, ""en"", ""es"")"),"Aplicación de Android")</f>
        <v>Aplicación de Android</v>
      </c>
      <c r="E190" s="7" t="str">
        <f>IFERROR(__xludf.DUMMYFUNCTION("GoogleTranslate(C190, ""en"", ""ar"")"),"تطبيق أندرويد")</f>
        <v>تطبيق أندرويد</v>
      </c>
      <c r="F190" s="7" t="str">
        <f>IFERROR(__xludf.DUMMYFUNCTION("GoogleTranslate(C190, ""en"", ""hy"")"),"Android հավելված")</f>
        <v>Android հավելված</v>
      </c>
      <c r="G190" s="7" t="str">
        <f>IFERROR(__xludf.DUMMYFUNCTION("GoogleTranslate(C190, ""en"", ""vi"")"),"Ứng dụng Android")</f>
        <v>Ứng dụng Android</v>
      </c>
      <c r="H190" s="7" t="str">
        <f>IFERROR(__xludf.DUMMYFUNCTION("GoogleTranslate(C190, ""en"", ""az"")"),"Android Proqramı")</f>
        <v>Android Proqramı</v>
      </c>
      <c r="I190" s="7" t="str">
        <f>IFERROR(__xludf.DUMMYFUNCTION("GoogleTranslate(C190, ""en"", ""eu"")"),"Android aplikazioa")</f>
        <v>Android aplikazioa</v>
      </c>
      <c r="J190" s="7" t="str">
        <f>IFERROR(__xludf.DUMMYFUNCTION("GoogleTranslate(C190, ""en"", ""be"")"),"Прыкладанне для Android")</f>
        <v>Прыкладанне для Android</v>
      </c>
      <c r="K190" s="7" t="str">
        <f>IFERROR(__xludf.DUMMYFUNCTION("GoogleTranslate(C190, ""en"", ""bn"")"),"অ্যান্ড্রয়েড অ্যাপ")</f>
        <v>অ্যান্ড্রয়েড অ্যাপ</v>
      </c>
      <c r="L190" s="7" t="str">
        <f>IFERROR(__xludf.DUMMYFUNCTION("GoogleTranslate(C190, ""en"", ""bg"")"),"Приложение за Android")</f>
        <v>Приложение за Android</v>
      </c>
      <c r="M190" s="7" t="str">
        <f>IFERROR(__xludf.DUMMYFUNCTION("GoogleTranslate(C190, ""en"", ""my"")"),"Android အက်ပ်")</f>
        <v>Android အက်ပ်</v>
      </c>
      <c r="N190" s="7" t="str">
        <f>IFERROR(__xludf.DUMMYFUNCTION("GoogleTranslate(C190, ""en"", ""ca"")"),"Aplicació d'Android")</f>
        <v>Aplicació d'Android</v>
      </c>
      <c r="O190" s="7" t="str">
        <f>IFERROR(__xludf.DUMMYFUNCTION("GoogleTranslate(C190, ""en"", ""zh-cn"")"),"安卓应用程序")</f>
        <v>安卓应用程序</v>
      </c>
      <c r="P190" s="7" t="str">
        <f>IFERROR(__xludf.DUMMYFUNCTION("GoogleTranslate(C190, ""en"", ""zh-TW"")"),"安卓應用程式")</f>
        <v>安卓應用程式</v>
      </c>
      <c r="Q190" s="7" t="str">
        <f>IFERROR(__xludf.DUMMYFUNCTION("GoogleTranslate(C190, ""en"", ""hr"")"),"Android aplikacija")</f>
        <v>Android aplikacija</v>
      </c>
      <c r="R190" s="7" t="str">
        <f>IFERROR(__xludf.DUMMYFUNCTION("GoogleTranslate(C190, ""en"", ""cs"")"),"Aplikace pro Android")</f>
        <v>Aplikace pro Android</v>
      </c>
      <c r="S190" s="7" t="str">
        <f>IFERROR(__xludf.DUMMYFUNCTION("GoogleTranslate(C190, ""en"", ""da"")"),"Android app")</f>
        <v>Android app</v>
      </c>
      <c r="T190" s="7" t="str">
        <f>IFERROR(__xludf.DUMMYFUNCTION("GoogleTranslate(C190, ""en"", ""nl"")"),"Android-app")</f>
        <v>Android-app</v>
      </c>
      <c r="U190" s="7" t="str">
        <f>IFERROR(__xludf.DUMMYFUNCTION("GoogleTranslate(C190, ""en"", ""et"")"),"Androidi rakendus")</f>
        <v>Androidi rakendus</v>
      </c>
      <c r="V190" s="5" t="str">
        <f t="shared" si="3"/>
        <v>Android App</v>
      </c>
      <c r="W190" s="7" t="str">
        <f>IFERROR(__xludf.DUMMYFUNCTION("GoogleTranslate(C190, ""en"", ""fi"")"),"Android-sovellus")</f>
        <v>Android-sovellus</v>
      </c>
      <c r="X190" s="7" t="str">
        <f>IFERROR(__xludf.DUMMYFUNCTION("GoogleTranslate(C190, ""en"", ""fr"")"),"Application Android")</f>
        <v>Application Android</v>
      </c>
      <c r="Y190" s="7" t="str">
        <f>IFERROR(__xludf.DUMMYFUNCTION("GoogleTranslate(C190, ""en"", ""de"")"),"Android-App")</f>
        <v>Android-App</v>
      </c>
      <c r="Z190" s="7" t="str">
        <f>IFERROR(__xludf.DUMMYFUNCTION("GoogleTranslate(C190, ""en"", ""el"")"),"Εφαρμογή Android")</f>
        <v>Εφαρμογή Android</v>
      </c>
      <c r="AA190" s="7" t="str">
        <f>IFERROR(__xludf.DUMMYFUNCTION("GoogleTranslate(C190, ""en"", ""iw"")"),"אפליקציית אנדרואיד")</f>
        <v>אפליקציית אנדרואיד</v>
      </c>
      <c r="AB190" s="7" t="str">
        <f>IFERROR(__xludf.DUMMYFUNCTION("GoogleTranslate(C190, ""en"", ""hi"")"),"एंड्रॉइड ऐप")</f>
        <v>एंड्रॉइड ऐप</v>
      </c>
      <c r="AC190" s="7" t="str">
        <f>IFERROR(__xludf.DUMMYFUNCTION("GoogleTranslate(C190, ""en"", ""hu"")"),"Android App")</f>
        <v>Android App</v>
      </c>
      <c r="AD190" s="7" t="str">
        <f>IFERROR(__xludf.DUMMYFUNCTION("GoogleTranslate(C190, ""en"", ""is"")"),"Android app")</f>
        <v>Android app</v>
      </c>
      <c r="AE190" s="7" t="str">
        <f>IFERROR(__xludf.DUMMYFUNCTION("GoogleTranslate(C190, ""en"", ""id"")"),"Aplikasi Android")</f>
        <v>Aplikasi Android</v>
      </c>
      <c r="AF190" s="7" t="str">
        <f>IFERROR(__xludf.DUMMYFUNCTION("GoogleTranslate(C190, ""en"", ""in"")"),"Aplikasi Android")</f>
        <v>Aplikasi Android</v>
      </c>
      <c r="AG190" s="7" t="str">
        <f>IFERROR(__xludf.DUMMYFUNCTION("GoogleTranslate(C190, ""en"", ""it"")"),"Applicazione Android")</f>
        <v>Applicazione Android</v>
      </c>
      <c r="AH190" s="7" t="str">
        <f>IFERROR(__xludf.DUMMYFUNCTION("GoogleTranslate(C190, ""en"", ""ja"")"),"Androidアプリ")</f>
        <v>Androidアプリ</v>
      </c>
      <c r="AI190" s="7" t="str">
        <f>IFERROR(__xludf.DUMMYFUNCTION("GoogleTranslate(C190, ""en"", ""kn"")"),"Android ಅಪ್ಲಿಕೇಶನ್")</f>
        <v>Android ಅಪ್ಲಿಕೇಶನ್</v>
      </c>
      <c r="AJ190" s="7" t="str">
        <f>IFERROR(__xludf.DUMMYFUNCTION("GoogleTranslate(C190, ""en"", ""km"")"),"កម្មវិធី Android")</f>
        <v>កម្មវិធី Android</v>
      </c>
      <c r="AK190" s="7" t="str">
        <f>IFERROR(__xludf.DUMMYFUNCTION("GoogleTranslate(C190, ""en"", ""ko"")"),"안드로이드 앱")</f>
        <v>안드로이드 앱</v>
      </c>
      <c r="AL190" s="7" t="str">
        <f>IFERROR(__xludf.DUMMYFUNCTION("GoogleTranslate(C190, ""en"", ""lo"")"),"ແອັບ Android")</f>
        <v>ແອັບ Android</v>
      </c>
      <c r="AM190" s="7" t="str">
        <f>IFERROR(__xludf.DUMMYFUNCTION("GoogleTranslate(C190, ""en"", ""lv"")"),"Android lietotne")</f>
        <v>Android lietotne</v>
      </c>
      <c r="AN190" s="7" t="str">
        <f>IFERROR(__xludf.DUMMYFUNCTION("GoogleTranslate(C190, ""en"", ""lt"")"),"Android programa")</f>
        <v>Android programa</v>
      </c>
      <c r="AO190" s="7" t="str">
        <f>IFERROR(__xludf.DUMMYFUNCTION("GoogleTranslate(C190, ""en"", ""mk"")"),"Андроид апликација")</f>
        <v>Андроид апликација</v>
      </c>
      <c r="AP190" s="7" t="str">
        <f>IFERROR(__xludf.DUMMYFUNCTION("GoogleTranslate(C190, ""en"", ""ms"")"),"Apl Android")</f>
        <v>Apl Android</v>
      </c>
      <c r="AQ190" s="7" t="str">
        <f>IFERROR(__xludf.DUMMYFUNCTION("GoogleTranslate(C190, ""en"", ""ml"")"),"ആൻഡ്രോയിഡ് ആപ്പ്")</f>
        <v>ആൻഡ്രോയിഡ് ആപ്പ്</v>
      </c>
      <c r="AR190" s="7" t="str">
        <f>IFERROR(__xludf.DUMMYFUNCTION("GoogleTranslate(C190, ""en"", ""mr"")"),"Android ॲप")</f>
        <v>Android ॲप</v>
      </c>
      <c r="AS190" s="7" t="str">
        <f>IFERROR(__xludf.DUMMYFUNCTION("GoogleTranslate(C190, ""en"", ""mn"")"),"Android програм")</f>
        <v>Android програм</v>
      </c>
      <c r="AT190" s="7" t="str">
        <f>IFERROR(__xludf.DUMMYFUNCTION("GoogleTranslate(C190, ""en"", ""ne"")"),"एन्ड्रोइड एप")</f>
        <v>एन्ड्रोइड एप</v>
      </c>
      <c r="AU190" s="7" t="str">
        <f>IFERROR(__xludf.DUMMYFUNCTION("GoogleTranslate(C190, ""en"", ""nb"")"),"Android App")</f>
        <v>Android App</v>
      </c>
      <c r="AV190" s="7" t="str">
        <f>IFERROR(__xludf.DUMMYFUNCTION("GoogleTranslate(C190, ""en"", ""fa"")"),"برنامه اندروید")</f>
        <v>برنامه اندروید</v>
      </c>
      <c r="AW190" s="7" t="str">
        <f>IFERROR(__xludf.DUMMYFUNCTION("GoogleTranslate(C190, ""en"", ""pl"")"),"Aplikacja na Androida")</f>
        <v>Aplikacja na Androida</v>
      </c>
      <c r="AX190" s="7" t="str">
        <f>IFERROR(__xludf.DUMMYFUNCTION("GoogleTranslate(C190, ""en"", ""pt"")"),"Aplicativo Android")</f>
        <v>Aplicativo Android</v>
      </c>
      <c r="AY190" s="7" t="str">
        <f>IFERROR(__xludf.DUMMYFUNCTION("GoogleTranslate(C190, ""en"", ""ro"")"),"Aplicația Android")</f>
        <v>Aplicația Android</v>
      </c>
      <c r="AZ190" s="7" t="str">
        <f>IFERROR(__xludf.DUMMYFUNCTION("GoogleTranslate(C190, ""en"", ""ru"")"),"Android-приложение")</f>
        <v>Android-приложение</v>
      </c>
      <c r="BA190" s="7" t="str">
        <f>IFERROR(__xludf.DUMMYFUNCTION("GoogleTranslate(C190, ""en"", ""sr"")"),"Андроид апликација")</f>
        <v>Андроид апликација</v>
      </c>
      <c r="BB190" s="7" t="str">
        <f>IFERROR(__xludf.DUMMYFUNCTION("GoogleTranslate(C190, ""en"", ""si"")"),"Android යෙදුම")</f>
        <v>Android යෙදුම</v>
      </c>
      <c r="BC190" s="7" t="str">
        <f>IFERROR(__xludf.DUMMYFUNCTION("GoogleTranslate(C190, ""en"", ""sk"")"),"Aplikácia pre Android")</f>
        <v>Aplikácia pre Android</v>
      </c>
      <c r="BD190" s="7" t="str">
        <f>IFERROR(__xludf.DUMMYFUNCTION("GoogleTranslate(C190, ""en"", ""sl"")"),"Aplikacija za Android")</f>
        <v>Aplikacija za Android</v>
      </c>
      <c r="BE190" s="7" t="str">
        <f>IFERROR(__xludf.DUMMYFUNCTION("GoogleTranslate(C190, ""en"", ""es"")"),"Aplicación de Android")</f>
        <v>Aplicación de Android</v>
      </c>
      <c r="BF190" s="7" t="str">
        <f>IFERROR(__xludf.DUMMYFUNCTION("GoogleTranslate(C190, ""en"", ""sw"")"),"Programu ya Android")</f>
        <v>Programu ya Android</v>
      </c>
      <c r="BG190" s="7" t="str">
        <f>IFERROR(__xludf.DUMMYFUNCTION("GoogleTranslate(C190, ""en"", ""sv"")"),"Android App")</f>
        <v>Android App</v>
      </c>
      <c r="BH190" s="7" t="str">
        <f>IFERROR(__xludf.DUMMYFUNCTION("GoogleTranslate(C190, ""en"", ""te"")"),"ఆండ్రాయిడ్ యాప్")</f>
        <v>ఆండ్రాయిడ్ యాప్</v>
      </c>
      <c r="BI190" s="7" t="str">
        <f>IFERROR(__xludf.DUMMYFUNCTION("GoogleTranslate(C190, ""en"", ""th"")"),"แอพ Android")</f>
        <v>แอพ Android</v>
      </c>
      <c r="BJ190" s="7" t="str">
        <f>IFERROR(__xludf.DUMMYFUNCTION("GoogleTranslate(C190, ""en"", ""tr"")"),"Android Uygulaması")</f>
        <v>Android Uygulaması</v>
      </c>
      <c r="BK190" s="7" t="str">
        <f>IFERROR(__xludf.DUMMYFUNCTION("GoogleTranslate(C190, ""en"", ""uk"")"),"Додаток для Android")</f>
        <v>Додаток для Android</v>
      </c>
      <c r="BL190" s="7" t="str">
        <f>IFERROR(__xludf.DUMMYFUNCTION("GoogleTranslate(C190, ""en"", ""zu"")"),"Uhlelo lokusebenza lwe-Android")</f>
        <v>Uhlelo lokusebenza lwe-Android</v>
      </c>
    </row>
    <row r="191">
      <c r="A191" s="5" t="str">
        <f t="shared" si="1"/>
        <v>See_all_Apps_&amp;_Downloads</v>
      </c>
      <c r="B191" s="6" t="s">
        <v>244</v>
      </c>
      <c r="C191" s="5" t="str">
        <f t="shared" si="2"/>
        <v>See all Apps &amp; Downloads</v>
      </c>
      <c r="D191" s="7" t="str">
        <f>IFERROR(__xludf.DUMMYFUNCTION("GoogleTranslate(C191, ""en"", ""es"")"),"Ver todas las aplicaciones y descargas")</f>
        <v>Ver todas las aplicaciones y descargas</v>
      </c>
      <c r="E191" s="7" t="str">
        <f>IFERROR(__xludf.DUMMYFUNCTION("GoogleTranslate(C191, ""en"", ""ar"")"),"شاهد جميع التطبيقات والتنزيلات")</f>
        <v>شاهد جميع التطبيقات والتنزيلات</v>
      </c>
      <c r="F191" s="7" t="str">
        <f>IFERROR(__xludf.DUMMYFUNCTION("GoogleTranslate(C191, ""en"", ""hy"")"),"Դիտեք բոլոր հավելվածներն ու ներբեռնումները")</f>
        <v>Դիտեք բոլոր հավելվածներն ու ներբեռնումները</v>
      </c>
      <c r="G191" s="7" t="str">
        <f>IFERROR(__xludf.DUMMYFUNCTION("GoogleTranslate(C191, ""en"", ""vi"")"),"Xem tất cả Ứng dụng và nội dung tải xuống")</f>
        <v>Xem tất cả Ứng dụng và nội dung tải xuống</v>
      </c>
      <c r="H191" s="7" t="str">
        <f>IFERROR(__xludf.DUMMYFUNCTION("GoogleTranslate(C191, ""en"", ""az"")"),"Bütün Proqramlara və Yükləmələrə baxın")</f>
        <v>Bütün Proqramlara və Yükləmələrə baxın</v>
      </c>
      <c r="I191" s="7" t="str">
        <f>IFERROR(__xludf.DUMMYFUNCTION("GoogleTranslate(C191, ""en"", ""eu"")"),"Ikusi aplikazio eta deskarga guztiak")</f>
        <v>Ikusi aplikazio eta deskarga guztiak</v>
      </c>
      <c r="J191" s="7" t="str">
        <f>IFERROR(__xludf.DUMMYFUNCTION("GoogleTranslate(C191, ""en"", ""be"")"),"Глядзець усе праграмы і спампоўкі")</f>
        <v>Глядзець усе праграмы і спампоўкі</v>
      </c>
      <c r="K191" s="7" t="str">
        <f>IFERROR(__xludf.DUMMYFUNCTION("GoogleTranslate(C191, ""en"", ""bn"")"),"সমস্ত অ্যাপ এবং ডাউনলোড দেখুন")</f>
        <v>সমস্ত অ্যাপ এবং ডাউনলোড দেখুন</v>
      </c>
      <c r="L191" s="7" t="str">
        <f>IFERROR(__xludf.DUMMYFUNCTION("GoogleTranslate(C191, ""en"", ""bg"")"),"Вижте всички приложения и изтегляния")</f>
        <v>Вижте всички приложения и изтегляния</v>
      </c>
      <c r="M191" s="7" t="str">
        <f>IFERROR(__xludf.DUMMYFUNCTION("GoogleTranslate(C191, ""en"", ""my"")"),"အက်ပ်များနှင့် ဒေါင်းလုဒ်များအားလုံးကို ကြည့်ပါ။")</f>
        <v>အက်ပ်များနှင့် ဒေါင်းလုဒ်များအားလုံးကို ကြည့်ပါ။</v>
      </c>
      <c r="N191" s="7" t="str">
        <f>IFERROR(__xludf.DUMMYFUNCTION("GoogleTranslate(C191, ""en"", ""ca"")"),"Veure totes les aplicacions i descàrregues")</f>
        <v>Veure totes les aplicacions i descàrregues</v>
      </c>
      <c r="O191" s="7" t="str">
        <f>IFERROR(__xludf.DUMMYFUNCTION("GoogleTranslate(C191, ""en"", ""zh-cn"")"),"查看所有应用程序和下载")</f>
        <v>查看所有应用程序和下载</v>
      </c>
      <c r="P191" s="7" t="str">
        <f>IFERROR(__xludf.DUMMYFUNCTION("GoogleTranslate(C191, ""en"", ""zh-TW"")"),"查看所有應用程式和下載")</f>
        <v>查看所有應用程式和下載</v>
      </c>
      <c r="Q191" s="7" t="str">
        <f>IFERROR(__xludf.DUMMYFUNCTION("GoogleTranslate(C191, ""en"", ""hr"")"),"Pogledajte sve aplikacije i preuzimanja")</f>
        <v>Pogledajte sve aplikacije i preuzimanja</v>
      </c>
      <c r="R191" s="7" t="str">
        <f>IFERROR(__xludf.DUMMYFUNCTION("GoogleTranslate(C191, ""en"", ""cs"")"),"Zobrazit všechny aplikace a soubory ke stažení")</f>
        <v>Zobrazit všechny aplikace a soubory ke stažení</v>
      </c>
      <c r="S191" s="7" t="str">
        <f>IFERROR(__xludf.DUMMYFUNCTION("GoogleTranslate(C191, ""en"", ""da"")"),"Se alle apps og downloads")</f>
        <v>Se alle apps og downloads</v>
      </c>
      <c r="T191" s="7" t="str">
        <f>IFERROR(__xludf.DUMMYFUNCTION("GoogleTranslate(C191, ""en"", ""nl"")"),"Bekijk alle apps en downloads")</f>
        <v>Bekijk alle apps en downloads</v>
      </c>
      <c r="U191" s="7" t="str">
        <f>IFERROR(__xludf.DUMMYFUNCTION("GoogleTranslate(C191, ""en"", ""et"")"),"Vaadake kõiki rakendusi ja allalaadimisi")</f>
        <v>Vaadake kõiki rakendusi ja allalaadimisi</v>
      </c>
      <c r="V191" s="5" t="str">
        <f t="shared" si="3"/>
        <v>See all Apps &amp; Downloads</v>
      </c>
      <c r="W191" s="7" t="str">
        <f>IFERROR(__xludf.DUMMYFUNCTION("GoogleTranslate(C191, ""en"", ""fi"")"),"Katso kaikki sovellukset ja lataukset")</f>
        <v>Katso kaikki sovellukset ja lataukset</v>
      </c>
      <c r="X191" s="7" t="str">
        <f>IFERROR(__xludf.DUMMYFUNCTION("GoogleTranslate(C191, ""en"", ""fr"")"),"Voir toutes les applications et téléchargements")</f>
        <v>Voir toutes les applications et téléchargements</v>
      </c>
      <c r="Y191" s="7" t="str">
        <f>IFERROR(__xludf.DUMMYFUNCTION("GoogleTranslate(C191, ""en"", ""de"")"),"Alle Apps und Downloads anzeigen")</f>
        <v>Alle Apps und Downloads anzeigen</v>
      </c>
      <c r="Z191" s="7" t="str">
        <f>IFERROR(__xludf.DUMMYFUNCTION("GoogleTranslate(C191, ""en"", ""el"")"),"Δείτε όλες τις εφαρμογές και τις λήψεις")</f>
        <v>Δείτε όλες τις εφαρμογές και τις λήψεις</v>
      </c>
      <c r="AA191" s="7" t="str">
        <f>IFERROR(__xludf.DUMMYFUNCTION("GoogleTranslate(C191, ""en"", ""iw"")"),"ראה את כל האפליקציות וההורדות")</f>
        <v>ראה את כל האפליקציות וההורדות</v>
      </c>
      <c r="AB191" s="7" t="str">
        <f>IFERROR(__xludf.DUMMYFUNCTION("GoogleTranslate(C191, ""en"", ""hi"")"),"सभी ऐप्स और डाउनलोड देखें")</f>
        <v>सभी ऐप्स और डाउनलोड देखें</v>
      </c>
      <c r="AC191" s="7" t="str">
        <f>IFERROR(__xludf.DUMMYFUNCTION("GoogleTranslate(C191, ""en"", ""hu"")"),"Az összes alkalmazás és letöltés megtekintése")</f>
        <v>Az összes alkalmazás és letöltés megtekintése</v>
      </c>
      <c r="AD191" s="7" t="str">
        <f>IFERROR(__xludf.DUMMYFUNCTION("GoogleTranslate(C191, ""en"", ""is"")"),"Sjá öll forrit og niðurhal")</f>
        <v>Sjá öll forrit og niðurhal</v>
      </c>
      <c r="AE191" s="7" t="str">
        <f>IFERROR(__xludf.DUMMYFUNCTION("GoogleTranslate(C191, ""en"", ""id"")"),"Lihat semua Aplikasi &amp; Unduhan")</f>
        <v>Lihat semua Aplikasi &amp; Unduhan</v>
      </c>
      <c r="AF191" s="7" t="str">
        <f>IFERROR(__xludf.DUMMYFUNCTION("GoogleTranslate(C191, ""en"", ""in"")"),"Lihat semua Aplikasi &amp; Unduhan")</f>
        <v>Lihat semua Aplikasi &amp; Unduhan</v>
      </c>
      <c r="AG191" s="7" t="str">
        <f>IFERROR(__xludf.DUMMYFUNCTION("GoogleTranslate(C191, ""en"", ""it"")"),"Visualizza tutte le app e i download")</f>
        <v>Visualizza tutte le app e i download</v>
      </c>
      <c r="AH191" s="7" t="str">
        <f>IFERROR(__xludf.DUMMYFUNCTION("GoogleTranslate(C191, ""en"", ""ja"")"),"すべてのアプリとダウンロードを見る")</f>
        <v>すべてのアプリとダウンロードを見る</v>
      </c>
      <c r="AI191" s="7" t="str">
        <f>IFERROR(__xludf.DUMMYFUNCTION("GoogleTranslate(C191, ""en"", ""kn"")"),"ಎಲ್ಲಾ ಅಪ್ಲಿಕೇಶನ್‌ಗಳು ಮತ್ತು ಡೌನ್‌ಲೋಡ್‌ಗಳನ್ನು ನೋಡಿ")</f>
        <v>ಎಲ್ಲಾ ಅಪ್ಲಿಕೇಶನ್‌ಗಳು ಮತ್ತು ಡೌನ್‌ಲೋಡ್‌ಗಳನ್ನು ನೋಡಿ</v>
      </c>
      <c r="AJ191" s="7" t="str">
        <f>IFERROR(__xludf.DUMMYFUNCTION("GoogleTranslate(C191, ""en"", ""km"")"),"មើលកម្មវិធី និងការទាញយកទាំងអស់។")</f>
        <v>មើលកម្មវិធី និងការទាញយកទាំងអស់។</v>
      </c>
      <c r="AK191" s="7" t="str">
        <f>IFERROR(__xludf.DUMMYFUNCTION("GoogleTranslate(C191, ""en"", ""ko"")"),"모든 앱 및 다운로드 보기")</f>
        <v>모든 앱 및 다운로드 보기</v>
      </c>
      <c r="AL191" s="7" t="str">
        <f>IFERROR(__xludf.DUMMYFUNCTION("GoogleTranslate(C191, ""en"", ""lo"")"),"ເບິ່ງແອັບ ແລະ ດາວໂຫຼດທັງໝົດ")</f>
        <v>ເບິ່ງແອັບ ແລະ ດາວໂຫຼດທັງໝົດ</v>
      </c>
      <c r="AM191" s="7" t="str">
        <f>IFERROR(__xludf.DUMMYFUNCTION("GoogleTranslate(C191, ""en"", ""lv"")"),"Skatiet visas lietotnes un lejupielādes")</f>
        <v>Skatiet visas lietotnes un lejupielādes</v>
      </c>
      <c r="AN191" s="7" t="str">
        <f>IFERROR(__xludf.DUMMYFUNCTION("GoogleTranslate(C191, ""en"", ""lt"")"),"Peržiūrėkite visas programas ir atsisiuntimus")</f>
        <v>Peržiūrėkite visas programas ir atsisiuntimus</v>
      </c>
      <c r="AO191" s="7" t="str">
        <f>IFERROR(__xludf.DUMMYFUNCTION("GoogleTranslate(C191, ""en"", ""mk"")"),"Видете ги сите апликации и преземања")</f>
        <v>Видете ги сите апликации и преземања</v>
      </c>
      <c r="AP191" s="7" t="str">
        <f>IFERROR(__xludf.DUMMYFUNCTION("GoogleTranslate(C191, ""en"", ""ms"")"),"Lihat semua Apl &amp; Muat Turun")</f>
        <v>Lihat semua Apl &amp; Muat Turun</v>
      </c>
      <c r="AQ191" s="7" t="str">
        <f>IFERROR(__xludf.DUMMYFUNCTION("GoogleTranslate(C191, ""en"", ""ml"")"),"എല്ലാ ആപ്പുകളും ഡൗൺലോഡുകളും കാണുക")</f>
        <v>എല്ലാ ആപ്പുകളും ഡൗൺലോഡുകളും കാണുക</v>
      </c>
      <c r="AR191" s="7" t="str">
        <f>IFERROR(__xludf.DUMMYFUNCTION("GoogleTranslate(C191, ""en"", ""mr"")"),"सर्व ॲप्स आणि डाउनलोड पहा")</f>
        <v>सर्व ॲप्स आणि डाउनलोड पहा</v>
      </c>
      <c r="AS191" s="7" t="str">
        <f>IFERROR(__xludf.DUMMYFUNCTION("GoogleTranslate(C191, ""en"", ""mn"")"),"Бүх програм, таталтыг харна уу")</f>
        <v>Бүх програм, таталтыг харна уу</v>
      </c>
      <c r="AT191" s="7" t="str">
        <f>IFERROR(__xludf.DUMMYFUNCTION("GoogleTranslate(C191, ""en"", ""ne"")"),"सबै एप र डाउनलोडहरू हेर्नुहोस्")</f>
        <v>सबै एप र डाउनलोडहरू हेर्नुहोस्</v>
      </c>
      <c r="AU191" s="7" t="str">
        <f>IFERROR(__xludf.DUMMYFUNCTION("GoogleTranslate(C191, ""en"", ""nb"")"),"Se alle apper og nedlastinger")</f>
        <v>Se alle apper og nedlastinger</v>
      </c>
      <c r="AV191" s="7" t="str">
        <f>IFERROR(__xludf.DUMMYFUNCTION("GoogleTranslate(C191, ""en"", ""fa"")"),"مشاهده همه برنامه‌ها و دانلودها")</f>
        <v>مشاهده همه برنامه‌ها و دانلودها</v>
      </c>
      <c r="AW191" s="7" t="str">
        <f>IFERROR(__xludf.DUMMYFUNCTION("GoogleTranslate(C191, ""en"", ""pl"")"),"Zobacz wszystkie aplikacje i pliki do pobrania")</f>
        <v>Zobacz wszystkie aplikacje i pliki do pobrania</v>
      </c>
      <c r="AX191" s="7" t="str">
        <f>IFERROR(__xludf.DUMMYFUNCTION("GoogleTranslate(C191, ""en"", ""pt"")"),"Ver todos os aplicativos e downloads")</f>
        <v>Ver todos os aplicativos e downloads</v>
      </c>
      <c r="AY191" s="7" t="str">
        <f>IFERROR(__xludf.DUMMYFUNCTION("GoogleTranslate(C191, ""en"", ""ro"")"),"Vedeți toate aplicațiile și descărcările")</f>
        <v>Vedeți toate aplicațiile și descărcările</v>
      </c>
      <c r="AZ191" s="7" t="str">
        <f>IFERROR(__xludf.DUMMYFUNCTION("GoogleTranslate(C191, ""en"", ""ru"")"),"Просмотреть все приложения и загрузки")</f>
        <v>Просмотреть все приложения и загрузки</v>
      </c>
      <c r="BA191" s="7" t="str">
        <f>IFERROR(__xludf.DUMMYFUNCTION("GoogleTranslate(C191, ""en"", ""sr"")"),"Погледајте све апликације и преузимања")</f>
        <v>Погледајте све апликације и преузимања</v>
      </c>
      <c r="BB191" s="7" t="str">
        <f>IFERROR(__xludf.DUMMYFUNCTION("GoogleTranslate(C191, ""en"", ""si"")"),"සියලුම යෙදුම් සහ බාගැනීම් බලන්න")</f>
        <v>සියලුම යෙදුම් සහ බාගැනීම් බලන්න</v>
      </c>
      <c r="BC191" s="7" t="str">
        <f>IFERROR(__xludf.DUMMYFUNCTION("GoogleTranslate(C191, ""en"", ""sk"")"),"Zobraziť všetky aplikácie a stiahnuté súbory")</f>
        <v>Zobraziť všetky aplikácie a stiahnuté súbory</v>
      </c>
      <c r="BD191" s="7" t="str">
        <f>IFERROR(__xludf.DUMMYFUNCTION("GoogleTranslate(C191, ""en"", ""sl"")"),"Oglejte si vse aplikacije in prenose")</f>
        <v>Oglejte si vse aplikacije in prenose</v>
      </c>
      <c r="BE191" s="7" t="str">
        <f>IFERROR(__xludf.DUMMYFUNCTION("GoogleTranslate(C191, ""en"", ""es"")"),"Ver todas las aplicaciones y descargas")</f>
        <v>Ver todas las aplicaciones y descargas</v>
      </c>
      <c r="BF191" s="7" t="str">
        <f>IFERROR(__xludf.DUMMYFUNCTION("GoogleTranslate(C191, ""en"", ""sw"")"),"Tazama Programu na Vipakuliwa vyote")</f>
        <v>Tazama Programu na Vipakuliwa vyote</v>
      </c>
      <c r="BG191" s="7" t="str">
        <f>IFERROR(__xludf.DUMMYFUNCTION("GoogleTranslate(C191, ""en"", ""sv"")"),"Se alla appar och nedladdningar")</f>
        <v>Se alla appar och nedladdningar</v>
      </c>
      <c r="BH191" s="7" t="str">
        <f>IFERROR(__xludf.DUMMYFUNCTION("GoogleTranslate(C191, ""en"", ""te"")"),"అన్ని యాప్‌లు &amp; డౌన్‌లోడ్‌లను చూడండి")</f>
        <v>అన్ని యాప్‌లు &amp; డౌన్‌లోడ్‌లను చూడండి</v>
      </c>
      <c r="BI191" s="7" t="str">
        <f>IFERROR(__xludf.DUMMYFUNCTION("GoogleTranslate(C191, ""en"", ""th"")"),"ดูแอพและดาวน์โหลดทั้งหมด")</f>
        <v>ดูแอพและดาวน์โหลดทั้งหมด</v>
      </c>
      <c r="BJ191" s="7" t="str">
        <f>IFERROR(__xludf.DUMMYFUNCTION("GoogleTranslate(C191, ""en"", ""tr"")"),"Tüm Uygulamaları ve İndirilenleri görün")</f>
        <v>Tüm Uygulamaları ve İndirilenleri görün</v>
      </c>
      <c r="BK191" s="7" t="str">
        <f>IFERROR(__xludf.DUMMYFUNCTION("GoogleTranslate(C191, ""en"", ""uk"")"),"Переглянути всі додатки та завантаження")</f>
        <v>Переглянути всі додатки та завантаження</v>
      </c>
      <c r="BL191" s="7" t="str">
        <f>IFERROR(__xludf.DUMMYFUNCTION("GoogleTranslate(C191, ""en"", ""zu"")"),"Bona zonke izinhlelo zokusebenza nokulandiwe")</f>
        <v>Bona zonke izinhlelo zokusebenza nokulandiwe</v>
      </c>
    </row>
    <row r="192">
      <c r="A192" s="5" t="str">
        <f t="shared" si="1"/>
        <v>MORE</v>
      </c>
      <c r="B192" s="6" t="s">
        <v>245</v>
      </c>
      <c r="C192" s="5" t="str">
        <f t="shared" si="2"/>
        <v>MORE</v>
      </c>
      <c r="D192" s="7" t="str">
        <f>IFERROR(__xludf.DUMMYFUNCTION("GoogleTranslate(C192, ""en"", ""es"")"),"MÁS")</f>
        <v>MÁS</v>
      </c>
      <c r="E192" s="7" t="str">
        <f>IFERROR(__xludf.DUMMYFUNCTION("GoogleTranslate(C192, ""en"", ""ar"")"),"أكثر")</f>
        <v>أكثر</v>
      </c>
      <c r="F192" s="7" t="str">
        <f>IFERROR(__xludf.DUMMYFUNCTION("GoogleTranslate(C192, ""en"", ""hy"")"),"ԱՎԵԼԻՆ")</f>
        <v>ԱՎԵԼԻՆ</v>
      </c>
      <c r="G192" s="7" t="str">
        <f>IFERROR(__xludf.DUMMYFUNCTION("GoogleTranslate(C192, ""en"", ""vi"")"),"HƠN")</f>
        <v>HƠN</v>
      </c>
      <c r="H192" s="7" t="str">
        <f>IFERROR(__xludf.DUMMYFUNCTION("GoogleTranslate(C192, ""en"", ""az"")"),"DAHA ÇOX")</f>
        <v>DAHA ÇOX</v>
      </c>
      <c r="I192" s="7" t="str">
        <f>IFERROR(__xludf.DUMMYFUNCTION("GoogleTranslate(C192, ""en"", ""eu"")"),"GEHIAGO")</f>
        <v>GEHIAGO</v>
      </c>
      <c r="J192" s="7" t="str">
        <f>IFERROR(__xludf.DUMMYFUNCTION("GoogleTranslate(C192, ""en"", ""be"")"),"БОЛЬШ")</f>
        <v>БОЛЬШ</v>
      </c>
      <c r="K192" s="7" t="str">
        <f>IFERROR(__xludf.DUMMYFUNCTION("GoogleTranslate(C192, ""en"", ""bn"")"),"আরও")</f>
        <v>আরও</v>
      </c>
      <c r="L192" s="7" t="str">
        <f>IFERROR(__xludf.DUMMYFUNCTION("GoogleTranslate(C192, ""en"", ""bg"")"),"ПОВЕЧЕ")</f>
        <v>ПОВЕЧЕ</v>
      </c>
      <c r="M192" s="7" t="str">
        <f>IFERROR(__xludf.DUMMYFUNCTION("GoogleTranslate(C192, ""en"", ""my"")"),"နောက်ထပ်")</f>
        <v>နောက်ထပ်</v>
      </c>
      <c r="N192" s="7" t="str">
        <f>IFERROR(__xludf.DUMMYFUNCTION("GoogleTranslate(C192, ""en"", ""ca"")"),"MÉS")</f>
        <v>MÉS</v>
      </c>
      <c r="O192" s="7" t="str">
        <f>IFERROR(__xludf.DUMMYFUNCTION("GoogleTranslate(C192, ""en"", ""zh-cn"")"),"更多的")</f>
        <v>更多的</v>
      </c>
      <c r="P192" s="7" t="str">
        <f>IFERROR(__xludf.DUMMYFUNCTION("GoogleTranslate(C192, ""en"", ""zh-TW"")"),"更多的")</f>
        <v>更多的</v>
      </c>
      <c r="Q192" s="7" t="str">
        <f>IFERROR(__xludf.DUMMYFUNCTION("GoogleTranslate(C192, ""en"", ""hr"")"),"VIŠE")</f>
        <v>VIŠE</v>
      </c>
      <c r="R192" s="7" t="str">
        <f>IFERROR(__xludf.DUMMYFUNCTION("GoogleTranslate(C192, ""en"", ""cs"")"),"VÍCE")</f>
        <v>VÍCE</v>
      </c>
      <c r="S192" s="7" t="str">
        <f>IFERROR(__xludf.DUMMYFUNCTION("GoogleTranslate(C192, ""en"", ""da"")"),"MERE")</f>
        <v>MERE</v>
      </c>
      <c r="T192" s="7" t="str">
        <f>IFERROR(__xludf.DUMMYFUNCTION("GoogleTranslate(C192, ""en"", ""nl"")"),"MEER")</f>
        <v>MEER</v>
      </c>
      <c r="U192" s="7" t="str">
        <f>IFERROR(__xludf.DUMMYFUNCTION("GoogleTranslate(C192, ""en"", ""et"")"),"VEEL")</f>
        <v>VEEL</v>
      </c>
      <c r="V192" s="5" t="str">
        <f t="shared" si="3"/>
        <v>MORE</v>
      </c>
      <c r="W192" s="7" t="str">
        <f>IFERROR(__xludf.DUMMYFUNCTION("GoogleTranslate(C192, ""en"", ""fi"")"),"LISÄÄ")</f>
        <v>LISÄÄ</v>
      </c>
      <c r="X192" s="7" t="str">
        <f>IFERROR(__xludf.DUMMYFUNCTION("GoogleTranslate(C192, ""en"", ""fr"")"),"PLUS")</f>
        <v>PLUS</v>
      </c>
      <c r="Y192" s="7" t="str">
        <f>IFERROR(__xludf.DUMMYFUNCTION("GoogleTranslate(C192, ""en"", ""de"")"),"MEHR")</f>
        <v>MEHR</v>
      </c>
      <c r="Z192" s="7" t="str">
        <f>IFERROR(__xludf.DUMMYFUNCTION("GoogleTranslate(C192, ""en"", ""el"")"),"ΠΕΡΙΣΣΟΤΕΡΟ")</f>
        <v>ΠΕΡΙΣΣΟΤΕΡΟ</v>
      </c>
      <c r="AA192" s="7" t="str">
        <f>IFERROR(__xludf.DUMMYFUNCTION("GoogleTranslate(C192, ""en"", ""iw"")"),"יוֹתֵר")</f>
        <v>יוֹתֵר</v>
      </c>
      <c r="AB192" s="7" t="str">
        <f>IFERROR(__xludf.DUMMYFUNCTION("GoogleTranslate(C192, ""en"", ""hi"")"),"अधिक")</f>
        <v>अधिक</v>
      </c>
      <c r="AC192" s="7" t="str">
        <f>IFERROR(__xludf.DUMMYFUNCTION("GoogleTranslate(C192, ""en"", ""hu"")"),"TÖBB")</f>
        <v>TÖBB</v>
      </c>
      <c r="AD192" s="7" t="str">
        <f>IFERROR(__xludf.DUMMYFUNCTION("GoogleTranslate(C192, ""en"", ""is"")"),"MEIRA")</f>
        <v>MEIRA</v>
      </c>
      <c r="AE192" s="7" t="str">
        <f>IFERROR(__xludf.DUMMYFUNCTION("GoogleTranslate(C192, ""en"", ""id"")"),"LAGI")</f>
        <v>LAGI</v>
      </c>
      <c r="AF192" s="7" t="str">
        <f>IFERROR(__xludf.DUMMYFUNCTION("GoogleTranslate(C192, ""en"", ""in"")"),"LAGI")</f>
        <v>LAGI</v>
      </c>
      <c r="AG192" s="7" t="str">
        <f>IFERROR(__xludf.DUMMYFUNCTION("GoogleTranslate(C192, ""en"", ""it"")"),"DI PIÙ")</f>
        <v>DI PIÙ</v>
      </c>
      <c r="AH192" s="7" t="str">
        <f>IFERROR(__xludf.DUMMYFUNCTION("GoogleTranslate(C192, ""en"", ""ja"")"),"もっと")</f>
        <v>もっと</v>
      </c>
      <c r="AI192" s="7" t="str">
        <f>IFERROR(__xludf.DUMMYFUNCTION("GoogleTranslate(C192, ""en"", ""kn"")"),"ಇನ್ನಷ್ಟು")</f>
        <v>ಇನ್ನಷ್ಟು</v>
      </c>
      <c r="AJ192" s="7" t="str">
        <f>IFERROR(__xludf.DUMMYFUNCTION("GoogleTranslate(C192, ""en"", ""km"")"),"ច្រើនទៀត")</f>
        <v>ច្រើនទៀត</v>
      </c>
      <c r="AK192" s="7" t="str">
        <f>IFERROR(__xludf.DUMMYFUNCTION("GoogleTranslate(C192, ""en"", ""ko"")"),"더")</f>
        <v>더</v>
      </c>
      <c r="AL192" s="7" t="str">
        <f>IFERROR(__xludf.DUMMYFUNCTION("GoogleTranslate(C192, ""en"", ""lo"")"),"ເພີ່ມເຕີມ")</f>
        <v>ເພີ່ມເຕີມ</v>
      </c>
      <c r="AM192" s="7" t="str">
        <f>IFERROR(__xludf.DUMMYFUNCTION("GoogleTranslate(C192, ""en"", ""lv"")"),"VAIRĀK")</f>
        <v>VAIRĀK</v>
      </c>
      <c r="AN192" s="7" t="str">
        <f>IFERROR(__xludf.DUMMYFUNCTION("GoogleTranslate(C192, ""en"", ""lt"")"),"DAUGIAU")</f>
        <v>DAUGIAU</v>
      </c>
      <c r="AO192" s="7" t="str">
        <f>IFERROR(__xludf.DUMMYFUNCTION("GoogleTranslate(C192, ""en"", ""mk"")"),"ПОВЕЌЕ")</f>
        <v>ПОВЕЌЕ</v>
      </c>
      <c r="AP192" s="7" t="str">
        <f>IFERROR(__xludf.DUMMYFUNCTION("GoogleTranslate(C192, ""en"", ""ms"")"),"LAGI")</f>
        <v>LAGI</v>
      </c>
      <c r="AQ192" s="7" t="str">
        <f>IFERROR(__xludf.DUMMYFUNCTION("GoogleTranslate(C192, ""en"", ""ml"")"),"കൂടുതൽ")</f>
        <v>കൂടുതൽ</v>
      </c>
      <c r="AR192" s="7" t="str">
        <f>IFERROR(__xludf.DUMMYFUNCTION("GoogleTranslate(C192, ""en"", ""mr"")"),"अधिक")</f>
        <v>अधिक</v>
      </c>
      <c r="AS192" s="7" t="str">
        <f>IFERROR(__xludf.DUMMYFUNCTION("GoogleTranslate(C192, ""en"", ""mn"")"),"ИЛҮҮ")</f>
        <v>ИЛҮҮ</v>
      </c>
      <c r="AT192" s="7" t="str">
        <f>IFERROR(__xludf.DUMMYFUNCTION("GoogleTranslate(C192, ""en"", ""ne"")"),"थप")</f>
        <v>थप</v>
      </c>
      <c r="AU192" s="7" t="str">
        <f>IFERROR(__xludf.DUMMYFUNCTION("GoogleTranslate(C192, ""en"", ""nb"")"),"FLERE")</f>
        <v>FLERE</v>
      </c>
      <c r="AV192" s="7" t="str">
        <f>IFERROR(__xludf.DUMMYFUNCTION("GoogleTranslate(C192, ""en"", ""fa"")"),"بیشتر")</f>
        <v>بیشتر</v>
      </c>
      <c r="AW192" s="7" t="str">
        <f>IFERROR(__xludf.DUMMYFUNCTION("GoogleTranslate(C192, ""en"", ""pl"")"),"WIĘCEJ")</f>
        <v>WIĘCEJ</v>
      </c>
      <c r="AX192" s="7" t="str">
        <f>IFERROR(__xludf.DUMMYFUNCTION("GoogleTranslate(C192, ""en"", ""pt"")"),"MAIS")</f>
        <v>MAIS</v>
      </c>
      <c r="AY192" s="7" t="str">
        <f>IFERROR(__xludf.DUMMYFUNCTION("GoogleTranslate(C192, ""en"", ""ro"")"),"MAI MULT")</f>
        <v>MAI MULT</v>
      </c>
      <c r="AZ192" s="7" t="str">
        <f>IFERROR(__xludf.DUMMYFUNCTION("GoogleTranslate(C192, ""en"", ""ru"")"),"БОЛЕЕ")</f>
        <v>БОЛЕЕ</v>
      </c>
      <c r="BA192" s="7" t="str">
        <f>IFERROR(__xludf.DUMMYFUNCTION("GoogleTranslate(C192, ""en"", ""sr"")"),"ВИШЕ")</f>
        <v>ВИШЕ</v>
      </c>
      <c r="BB192" s="7" t="str">
        <f>IFERROR(__xludf.DUMMYFUNCTION("GoogleTranslate(C192, ""en"", ""si"")"),"තව")</f>
        <v>තව</v>
      </c>
      <c r="BC192" s="7" t="str">
        <f>IFERROR(__xludf.DUMMYFUNCTION("GoogleTranslate(C192, ""en"", ""sk"")"),"VIAC")</f>
        <v>VIAC</v>
      </c>
      <c r="BD192" s="7" t="str">
        <f>IFERROR(__xludf.DUMMYFUNCTION("GoogleTranslate(C192, ""en"", ""sl"")"),"VEČ")</f>
        <v>VEČ</v>
      </c>
      <c r="BE192" s="7" t="str">
        <f>IFERROR(__xludf.DUMMYFUNCTION("GoogleTranslate(C192, ""en"", ""es"")"),"MÁS")</f>
        <v>MÁS</v>
      </c>
      <c r="BF192" s="7" t="str">
        <f>IFERROR(__xludf.DUMMYFUNCTION("GoogleTranslate(C192, ""en"", ""sw"")"),"ZAIDI")</f>
        <v>ZAIDI</v>
      </c>
      <c r="BG192" s="7" t="str">
        <f>IFERROR(__xludf.DUMMYFUNCTION("GoogleTranslate(C192, ""en"", ""sv"")"),"MER")</f>
        <v>MER</v>
      </c>
      <c r="BH192" s="7" t="str">
        <f>IFERROR(__xludf.DUMMYFUNCTION("GoogleTranslate(C192, ""en"", ""te"")"),"మరిన్ని")</f>
        <v>మరిన్ని</v>
      </c>
      <c r="BI192" s="7" t="str">
        <f>IFERROR(__xludf.DUMMYFUNCTION("GoogleTranslate(C192, ""en"", ""th"")"),"มากกว่า")</f>
        <v>มากกว่า</v>
      </c>
      <c r="BJ192" s="7" t="str">
        <f>IFERROR(__xludf.DUMMYFUNCTION("GoogleTranslate(C192, ""en"", ""tr"")"),"DAHA")</f>
        <v>DAHA</v>
      </c>
      <c r="BK192" s="7" t="str">
        <f>IFERROR(__xludf.DUMMYFUNCTION("GoogleTranslate(C192, ""en"", ""uk"")"),"БІЛЬШЕ")</f>
        <v>БІЛЬШЕ</v>
      </c>
      <c r="BL192" s="7" t="str">
        <f>IFERROR(__xludf.DUMMYFUNCTION("GoogleTranslate(C192, ""en"", ""zu"")"),"OKUNINGI")</f>
        <v>OKUNINGI</v>
      </c>
    </row>
    <row r="193">
      <c r="A193" s="5" t="str">
        <f t="shared" si="1"/>
        <v>Severe_Weather</v>
      </c>
      <c r="B193" s="6" t="s">
        <v>246</v>
      </c>
      <c r="C193" s="5" t="str">
        <f t="shared" si="2"/>
        <v>Severe Weather</v>
      </c>
      <c r="D193" s="7" t="str">
        <f>IFERROR(__xludf.DUMMYFUNCTION("GoogleTranslate(C193, ""en"", ""es"")"),"Clima severo")</f>
        <v>Clima severo</v>
      </c>
      <c r="E193" s="7" t="str">
        <f>IFERROR(__xludf.DUMMYFUNCTION("GoogleTranslate(C193, ""en"", ""ar"")"),"الطقس القاسي")</f>
        <v>الطقس القاسي</v>
      </c>
      <c r="F193" s="7" t="str">
        <f>IFERROR(__xludf.DUMMYFUNCTION("GoogleTranslate(C193, ""en"", ""hy"")"),"Ծանր եղանակ")</f>
        <v>Ծանր եղանակ</v>
      </c>
      <c r="G193" s="7" t="str">
        <f>IFERROR(__xludf.DUMMYFUNCTION("GoogleTranslate(C193, ""en"", ""vi"")"),"Thời tiết khắc nghiệt")</f>
        <v>Thời tiết khắc nghiệt</v>
      </c>
      <c r="H193" s="7" t="str">
        <f>IFERROR(__xludf.DUMMYFUNCTION("GoogleTranslate(C193, ""en"", ""az"")"),"Şiddətli Hava")</f>
        <v>Şiddətli Hava</v>
      </c>
      <c r="I193" s="7" t="str">
        <f>IFERROR(__xludf.DUMMYFUNCTION("GoogleTranslate(C193, ""en"", ""eu"")"),"Eguraldi gogorra")</f>
        <v>Eguraldi gogorra</v>
      </c>
      <c r="J193" s="7" t="str">
        <f>IFERROR(__xludf.DUMMYFUNCTION("GoogleTranslate(C193, ""en"", ""be"")"),"Суровае надвор'е")</f>
        <v>Суровае надвор'е</v>
      </c>
      <c r="K193" s="7" t="str">
        <f>IFERROR(__xludf.DUMMYFUNCTION("GoogleTranslate(C193, ""en"", ""bn"")"),"তীব্র আবহাওয়া")</f>
        <v>তীব্র আবহাওয়া</v>
      </c>
      <c r="L193" s="7" t="str">
        <f>IFERROR(__xludf.DUMMYFUNCTION("GoogleTranslate(C193, ""en"", ""bg"")"),"Лошо време")</f>
        <v>Лошо време</v>
      </c>
      <c r="M193" s="7" t="str">
        <f>IFERROR(__xludf.DUMMYFUNCTION("GoogleTranslate(C193, ""en"", ""my"")"),"ပြင်းထန်သောရာသီဥတု")</f>
        <v>ပြင်းထန်သောရာသီဥတု</v>
      </c>
      <c r="N193" s="7" t="str">
        <f>IFERROR(__xludf.DUMMYFUNCTION("GoogleTranslate(C193, ""en"", ""ca"")"),"Temps Sever")</f>
        <v>Temps Sever</v>
      </c>
      <c r="O193" s="7" t="str">
        <f>IFERROR(__xludf.DUMMYFUNCTION("GoogleTranslate(C193, ""en"", ""zh-cn"")"),"恶劣天气")</f>
        <v>恶劣天气</v>
      </c>
      <c r="P193" s="7" t="str">
        <f>IFERROR(__xludf.DUMMYFUNCTION("GoogleTranslate(C193, ""en"", ""zh-TW"")"),"惡劣天氣")</f>
        <v>惡劣天氣</v>
      </c>
      <c r="Q193" s="7" t="str">
        <f>IFERROR(__xludf.DUMMYFUNCTION("GoogleTranslate(C193, ""en"", ""hr"")"),"Nevrijeme")</f>
        <v>Nevrijeme</v>
      </c>
      <c r="R193" s="7" t="str">
        <f>IFERROR(__xludf.DUMMYFUNCTION("GoogleTranslate(C193, ""en"", ""cs"")"),"Drsné počasí")</f>
        <v>Drsné počasí</v>
      </c>
      <c r="S193" s="7" t="str">
        <f>IFERROR(__xludf.DUMMYFUNCTION("GoogleTranslate(C193, ""en"", ""da"")"),"Svært vejr")</f>
        <v>Svært vejr</v>
      </c>
      <c r="T193" s="7" t="str">
        <f>IFERROR(__xludf.DUMMYFUNCTION("GoogleTranslate(C193, ""en"", ""nl"")"),"Zwaar weer")</f>
        <v>Zwaar weer</v>
      </c>
      <c r="U193" s="7" t="str">
        <f>IFERROR(__xludf.DUMMYFUNCTION("GoogleTranslate(C193, ""en"", ""et"")"),"Raske ilm")</f>
        <v>Raske ilm</v>
      </c>
      <c r="V193" s="5" t="str">
        <f t="shared" si="3"/>
        <v>Severe Weather</v>
      </c>
      <c r="W193" s="7" t="str">
        <f>IFERROR(__xludf.DUMMYFUNCTION("GoogleTranslate(C193, ""en"", ""fi"")"),"Ankara sää")</f>
        <v>Ankara sää</v>
      </c>
      <c r="X193" s="7" t="str">
        <f>IFERROR(__xludf.DUMMYFUNCTION("GoogleTranslate(C193, ""en"", ""fr"")"),"Temps violent")</f>
        <v>Temps violent</v>
      </c>
      <c r="Y193" s="7" t="str">
        <f>IFERROR(__xludf.DUMMYFUNCTION("GoogleTranslate(C193, ""en"", ""de"")"),"Unwetter")</f>
        <v>Unwetter</v>
      </c>
      <c r="Z193" s="7" t="str">
        <f>IFERROR(__xludf.DUMMYFUNCTION("GoogleTranslate(C193, ""en"", ""el"")"),"Δριμιές καιρικές συνθήκες")</f>
        <v>Δριμιές καιρικές συνθήκες</v>
      </c>
      <c r="AA193" s="7" t="str">
        <f>IFERROR(__xludf.DUMMYFUNCTION("GoogleTranslate(C193, ""en"", ""iw"")"),"מזג אוויר קשה")</f>
        <v>מזג אוויר קשה</v>
      </c>
      <c r="AB193" s="7" t="str">
        <f>IFERROR(__xludf.DUMMYFUNCTION("GoogleTranslate(C193, ""en"", ""hi"")"),"गंभीर मौसम")</f>
        <v>गंभीर मौसम</v>
      </c>
      <c r="AC193" s="7" t="str">
        <f>IFERROR(__xludf.DUMMYFUNCTION("GoogleTranslate(C193, ""en"", ""hu"")"),"Súlyos időjárás")</f>
        <v>Súlyos időjárás</v>
      </c>
      <c r="AD193" s="7" t="str">
        <f>IFERROR(__xludf.DUMMYFUNCTION("GoogleTranslate(C193, ""en"", ""is"")"),"Alvarlegt veður")</f>
        <v>Alvarlegt veður</v>
      </c>
      <c r="AE193" s="7" t="str">
        <f>IFERROR(__xludf.DUMMYFUNCTION("GoogleTranslate(C193, ""en"", ""id"")"),"Cuaca Buruk")</f>
        <v>Cuaca Buruk</v>
      </c>
      <c r="AF193" s="7" t="str">
        <f>IFERROR(__xludf.DUMMYFUNCTION("GoogleTranslate(C193, ""en"", ""in"")"),"Cuaca Buruk")</f>
        <v>Cuaca Buruk</v>
      </c>
      <c r="AG193" s="7" t="str">
        <f>IFERROR(__xludf.DUMMYFUNCTION("GoogleTranslate(C193, ""en"", ""it"")"),"Meteo grave")</f>
        <v>Meteo grave</v>
      </c>
      <c r="AH193" s="7" t="str">
        <f>IFERROR(__xludf.DUMMYFUNCTION("GoogleTranslate(C193, ""en"", ""ja"")"),"悪天候")</f>
        <v>悪天候</v>
      </c>
      <c r="AI193" s="7" t="str">
        <f>IFERROR(__xludf.DUMMYFUNCTION("GoogleTranslate(C193, ""en"", ""kn"")"),"ತೀವ್ರ ಹವಾಮಾನ")</f>
        <v>ತೀವ್ರ ಹವಾಮಾನ</v>
      </c>
      <c r="AJ193" s="7" t="str">
        <f>IFERROR(__xludf.DUMMYFUNCTION("GoogleTranslate(C193, ""en"", ""km"")"),"អាកាសធាតុធ្ងន់ធ្ងរ")</f>
        <v>អាកាសធាតុធ្ងន់ធ្ងរ</v>
      </c>
      <c r="AK193" s="7" t="str">
        <f>IFERROR(__xludf.DUMMYFUNCTION("GoogleTranslate(C193, ""en"", ""ko"")"),"악천후")</f>
        <v>악천후</v>
      </c>
      <c r="AL193" s="7" t="str">
        <f>IFERROR(__xludf.DUMMYFUNCTION("GoogleTranslate(C193, ""en"", ""lo"")"),"ສະພາບອາກາດຮ້າຍແຮງ")</f>
        <v>ສະພາບອາກາດຮ້າຍແຮງ</v>
      </c>
      <c r="AM193" s="7" t="str">
        <f>IFERROR(__xludf.DUMMYFUNCTION("GoogleTranslate(C193, ""en"", ""lv"")"),"Smags laiks")</f>
        <v>Smags laiks</v>
      </c>
      <c r="AN193" s="7" t="str">
        <f>IFERROR(__xludf.DUMMYFUNCTION("GoogleTranslate(C193, ""en"", ""lt"")"),"Atšiaurus oras")</f>
        <v>Atšiaurus oras</v>
      </c>
      <c r="AO193" s="7" t="str">
        <f>IFERROR(__xludf.DUMMYFUNCTION("GoogleTranslate(C193, ""en"", ""mk"")"),"Тешко време")</f>
        <v>Тешко време</v>
      </c>
      <c r="AP193" s="7" t="str">
        <f>IFERROR(__xludf.DUMMYFUNCTION("GoogleTranslate(C193, ""en"", ""ms"")"),"Cuaca Teruk")</f>
        <v>Cuaca Teruk</v>
      </c>
      <c r="AQ193" s="7" t="str">
        <f>IFERROR(__xludf.DUMMYFUNCTION("GoogleTranslate(C193, ""en"", ""ml"")"),"കഠിനമായ കാലാവസ്ഥ")</f>
        <v>കഠിനമായ കാലാവസ്ഥ</v>
      </c>
      <c r="AR193" s="7" t="str">
        <f>IFERROR(__xludf.DUMMYFUNCTION("GoogleTranslate(C193, ""en"", ""mr"")"),"तीव्र हवामान")</f>
        <v>तीव्र हवामान</v>
      </c>
      <c r="AS193" s="7" t="str">
        <f>IFERROR(__xludf.DUMMYFUNCTION("GoogleTranslate(C193, ""en"", ""mn"")"),"Хүнд цаг агаар")</f>
        <v>Хүнд цаг агаар</v>
      </c>
      <c r="AT193" s="7" t="str">
        <f>IFERROR(__xludf.DUMMYFUNCTION("GoogleTranslate(C193, ""en"", ""ne"")"),"गम्भीर मौसम")</f>
        <v>गम्भीर मौसम</v>
      </c>
      <c r="AU193" s="7" t="str">
        <f>IFERROR(__xludf.DUMMYFUNCTION("GoogleTranslate(C193, ""en"", ""nb"")"),"Alvorlig vær")</f>
        <v>Alvorlig vær</v>
      </c>
      <c r="AV193" s="7" t="str">
        <f>IFERROR(__xludf.DUMMYFUNCTION("GoogleTranslate(C193, ""en"", ""fa"")"),"آب و هوای سخت")</f>
        <v>آب و هوای سخت</v>
      </c>
      <c r="AW193" s="7" t="str">
        <f>IFERROR(__xludf.DUMMYFUNCTION("GoogleTranslate(C193, ""en"", ""pl"")"),"Trudne warunki pogodowe")</f>
        <v>Trudne warunki pogodowe</v>
      </c>
      <c r="AX193" s="7" t="str">
        <f>IFERROR(__xludf.DUMMYFUNCTION("GoogleTranslate(C193, ""en"", ""pt"")"),"Tempo severo")</f>
        <v>Tempo severo</v>
      </c>
      <c r="AY193" s="7" t="str">
        <f>IFERROR(__xludf.DUMMYFUNCTION("GoogleTranslate(C193, ""en"", ""ro"")"),"Vreme Severă")</f>
        <v>Vreme Severă</v>
      </c>
      <c r="AZ193" s="7" t="str">
        <f>IFERROR(__xludf.DUMMYFUNCTION("GoogleTranslate(C193, ""en"", ""ru"")"),"Суровая погода")</f>
        <v>Суровая погода</v>
      </c>
      <c r="BA193" s="7" t="str">
        <f>IFERROR(__xludf.DUMMYFUNCTION("GoogleTranslate(C193, ""en"", ""sr"")"),"Севере Веатхер")</f>
        <v>Севере Веатхер</v>
      </c>
      <c r="BB193" s="7" t="str">
        <f>IFERROR(__xludf.DUMMYFUNCTION("GoogleTranslate(C193, ""en"", ""si"")"),"දරුණු කාලගුණය")</f>
        <v>දරුණු කාලගුණය</v>
      </c>
      <c r="BC193" s="7" t="str">
        <f>IFERROR(__xludf.DUMMYFUNCTION("GoogleTranslate(C193, ""en"", ""sk"")"),"Nepriaznivé počasie")</f>
        <v>Nepriaznivé počasie</v>
      </c>
      <c r="BD193" s="7" t="str">
        <f>IFERROR(__xludf.DUMMYFUNCTION("GoogleTranslate(C193, ""en"", ""sl"")"),"Hudo vreme")</f>
        <v>Hudo vreme</v>
      </c>
      <c r="BE193" s="7" t="str">
        <f>IFERROR(__xludf.DUMMYFUNCTION("GoogleTranslate(C193, ""en"", ""es"")"),"Clima severo")</f>
        <v>Clima severo</v>
      </c>
      <c r="BF193" s="7" t="str">
        <f>IFERROR(__xludf.DUMMYFUNCTION("GoogleTranslate(C193, ""en"", ""sw"")"),"Hali ya hewa kali")</f>
        <v>Hali ya hewa kali</v>
      </c>
      <c r="BG193" s="7" t="str">
        <f>IFERROR(__xludf.DUMMYFUNCTION("GoogleTranslate(C193, ""en"", ""sv"")"),"Strängt väder")</f>
        <v>Strängt väder</v>
      </c>
      <c r="BH193" s="7" t="str">
        <f>IFERROR(__xludf.DUMMYFUNCTION("GoogleTranslate(C193, ""en"", ""te"")"),"తీవ్రమైన వాతావరణం")</f>
        <v>తీవ్రమైన వాతావరణం</v>
      </c>
      <c r="BI193" s="7" t="str">
        <f>IFERROR(__xludf.DUMMYFUNCTION("GoogleTranslate(C193, ""en"", ""th"")"),"สภาพอากาศเลวร้าย")</f>
        <v>สภาพอากาศเลวร้าย</v>
      </c>
      <c r="BJ193" s="7" t="str">
        <f>IFERROR(__xludf.DUMMYFUNCTION("GoogleTranslate(C193, ""en"", ""tr"")"),"Şiddetli Hava")</f>
        <v>Şiddetli Hava</v>
      </c>
      <c r="BK193" s="7" t="str">
        <f>IFERROR(__xludf.DUMMYFUNCTION("GoogleTranslate(C193, ""en"", ""uk"")"),"Сувора погода")</f>
        <v>Сувора погода</v>
      </c>
      <c r="BL193" s="7" t="str">
        <f>IFERROR(__xludf.DUMMYFUNCTION("GoogleTranslate(C193, ""en"", ""zu"")"),"Isimo Sezulu Esibi")</f>
        <v>Isimo Sezulu Esibi</v>
      </c>
    </row>
    <row r="194">
      <c r="A194" s="5" t="str">
        <f t="shared" si="1"/>
        <v>Terms_of_Use</v>
      </c>
      <c r="B194" s="6" t="s">
        <v>247</v>
      </c>
      <c r="C194" s="5" t="str">
        <f t="shared" si="2"/>
        <v>Terms of Use</v>
      </c>
      <c r="D194" s="7" t="str">
        <f>IFERROR(__xludf.DUMMYFUNCTION("GoogleTranslate(C194, ""en"", ""es"")"),"Condiciones de uso")</f>
        <v>Condiciones de uso</v>
      </c>
      <c r="E194" s="7" t="str">
        <f>IFERROR(__xludf.DUMMYFUNCTION("GoogleTranslate(C194, ""en"", ""ar"")"),"شروط الاستخدام")</f>
        <v>شروط الاستخدام</v>
      </c>
      <c r="F194" s="7" t="str">
        <f>IFERROR(__xludf.DUMMYFUNCTION("GoogleTranslate(C194, ""en"", ""hy"")"),"Օգտագործման պայմաններ")</f>
        <v>Օգտագործման պայմաններ</v>
      </c>
      <c r="G194" s="7" t="str">
        <f>IFERROR(__xludf.DUMMYFUNCTION("GoogleTranslate(C194, ""en"", ""vi"")"),"Điều khoản sử dụng")</f>
        <v>Điều khoản sử dụng</v>
      </c>
      <c r="H194" s="7" t="str">
        <f>IFERROR(__xludf.DUMMYFUNCTION("GoogleTranslate(C194, ""en"", ""az"")"),"İstifadə şərtləri")</f>
        <v>İstifadə şərtləri</v>
      </c>
      <c r="I194" s="7" t="str">
        <f>IFERROR(__xludf.DUMMYFUNCTION("GoogleTranslate(C194, ""en"", ""eu"")"),"Erabilera-baldintzak")</f>
        <v>Erabilera-baldintzak</v>
      </c>
      <c r="J194" s="7" t="str">
        <f>IFERROR(__xludf.DUMMYFUNCTION("GoogleTranslate(C194, ""en"", ""be"")"),"Умовы выкарыстання")</f>
        <v>Умовы выкарыстання</v>
      </c>
      <c r="K194" s="7" t="str">
        <f>IFERROR(__xludf.DUMMYFUNCTION("GoogleTranslate(C194, ""en"", ""bn"")"),"ব্যবহারের শর্তাবলী")</f>
        <v>ব্যবহারের শর্তাবলী</v>
      </c>
      <c r="L194" s="7" t="str">
        <f>IFERROR(__xludf.DUMMYFUNCTION("GoogleTranslate(C194, ""en"", ""bg"")"),"Условия за ползване")</f>
        <v>Условия за ползване</v>
      </c>
      <c r="M194" s="7" t="str">
        <f>IFERROR(__xludf.DUMMYFUNCTION("GoogleTranslate(C194, ""en"", ""my"")"),"သတ်မှတ်ချက်များ")</f>
        <v>သတ်မှတ်ချက်များ</v>
      </c>
      <c r="N194" s="7" t="str">
        <f>IFERROR(__xludf.DUMMYFUNCTION("GoogleTranslate(C194, ""en"", ""ca"")"),"Condicions d'ús")</f>
        <v>Condicions d'ús</v>
      </c>
      <c r="O194" s="7" t="str">
        <f>IFERROR(__xludf.DUMMYFUNCTION("GoogleTranslate(C194, ""en"", ""zh-cn"")"),"使用条款")</f>
        <v>使用条款</v>
      </c>
      <c r="P194" s="7" t="str">
        <f>IFERROR(__xludf.DUMMYFUNCTION("GoogleTranslate(C194, ""en"", ""zh-TW"")"),"使用條款")</f>
        <v>使用條款</v>
      </c>
      <c r="Q194" s="7" t="str">
        <f>IFERROR(__xludf.DUMMYFUNCTION("GoogleTranslate(C194, ""en"", ""hr"")"),"Uvjeti korištenja")</f>
        <v>Uvjeti korištenja</v>
      </c>
      <c r="R194" s="7" t="str">
        <f>IFERROR(__xludf.DUMMYFUNCTION("GoogleTranslate(C194, ""en"", ""cs"")"),"Podmínky použití")</f>
        <v>Podmínky použití</v>
      </c>
      <c r="S194" s="7" t="str">
        <f>IFERROR(__xludf.DUMMYFUNCTION("GoogleTranslate(C194, ""en"", ""da"")"),"Vilkår for brug")</f>
        <v>Vilkår for brug</v>
      </c>
      <c r="T194" s="7" t="str">
        <f>IFERROR(__xludf.DUMMYFUNCTION("GoogleTranslate(C194, ""en"", ""nl"")"),"Gebruiksvoorwaarden")</f>
        <v>Gebruiksvoorwaarden</v>
      </c>
      <c r="U194" s="7" t="str">
        <f>IFERROR(__xludf.DUMMYFUNCTION("GoogleTranslate(C194, ""en"", ""et"")"),"Kasutustingimused")</f>
        <v>Kasutustingimused</v>
      </c>
      <c r="V194" s="5" t="str">
        <f t="shared" si="3"/>
        <v>Terms of Use</v>
      </c>
      <c r="W194" s="7" t="str">
        <f>IFERROR(__xludf.DUMMYFUNCTION("GoogleTranslate(C194, ""en"", ""fi"")"),"Käyttöehdot")</f>
        <v>Käyttöehdot</v>
      </c>
      <c r="X194" s="7" t="str">
        <f>IFERROR(__xludf.DUMMYFUNCTION("GoogleTranslate(C194, ""en"", ""fr"")"),"Conditions d'utilisation")</f>
        <v>Conditions d'utilisation</v>
      </c>
      <c r="Y194" s="7" t="str">
        <f>IFERROR(__xludf.DUMMYFUNCTION("GoogleTranslate(C194, ""en"", ""de"")"),"Nutzungsbedingungen")</f>
        <v>Nutzungsbedingungen</v>
      </c>
      <c r="Z194" s="7" t="str">
        <f>IFERROR(__xludf.DUMMYFUNCTION("GoogleTranslate(C194, ""en"", ""el"")"),"Όροι Χρήσης")</f>
        <v>Όροι Χρήσης</v>
      </c>
      <c r="AA194" s="7" t="str">
        <f>IFERROR(__xludf.DUMMYFUNCTION("GoogleTranslate(C194, ""en"", ""iw"")"),"תנאי שימוש")</f>
        <v>תנאי שימוש</v>
      </c>
      <c r="AB194" s="7" t="str">
        <f>IFERROR(__xludf.DUMMYFUNCTION("GoogleTranslate(C194, ""en"", ""hi"")"),"उपयोग की शर्तें")</f>
        <v>उपयोग की शर्तें</v>
      </c>
      <c r="AC194" s="7" t="str">
        <f>IFERROR(__xludf.DUMMYFUNCTION("GoogleTranslate(C194, ""en"", ""hu"")"),"Felhasználási feltételek")</f>
        <v>Felhasználási feltételek</v>
      </c>
      <c r="AD194" s="7" t="str">
        <f>IFERROR(__xludf.DUMMYFUNCTION("GoogleTranslate(C194, ""en"", ""is"")"),"Notkunarskilmálar")</f>
        <v>Notkunarskilmálar</v>
      </c>
      <c r="AE194" s="7" t="str">
        <f>IFERROR(__xludf.DUMMYFUNCTION("GoogleTranslate(C194, ""en"", ""id"")"),"Ketentuan Penggunaan")</f>
        <v>Ketentuan Penggunaan</v>
      </c>
      <c r="AF194" s="7" t="str">
        <f>IFERROR(__xludf.DUMMYFUNCTION("GoogleTranslate(C194, ""en"", ""in"")"),"Ketentuan Penggunaan")</f>
        <v>Ketentuan Penggunaan</v>
      </c>
      <c r="AG194" s="7" t="str">
        <f>IFERROR(__xludf.DUMMYFUNCTION("GoogleTranslate(C194, ""en"", ""it"")"),"Termini di utilizzo")</f>
        <v>Termini di utilizzo</v>
      </c>
      <c r="AH194" s="7" t="str">
        <f>IFERROR(__xludf.DUMMYFUNCTION("GoogleTranslate(C194, ""en"", ""ja"")"),"利用規約")</f>
        <v>利用規約</v>
      </c>
      <c r="AI194" s="7" t="str">
        <f>IFERROR(__xludf.DUMMYFUNCTION("GoogleTranslate(C194, ""en"", ""kn"")"),"ಬಳಕೆಯ ನಿಯಮಗಳು")</f>
        <v>ಬಳಕೆಯ ನಿಯಮಗಳು</v>
      </c>
      <c r="AJ194" s="7" t="str">
        <f>IFERROR(__xludf.DUMMYFUNCTION("GoogleTranslate(C194, ""en"", ""km"")"),"ល័ក្ខខ័ណ្ឌនៃការប្រើប្រាស់")</f>
        <v>ល័ក្ខខ័ណ្ឌនៃការប្រើប្រាស់</v>
      </c>
      <c r="AK194" s="7" t="str">
        <f>IFERROR(__xludf.DUMMYFUNCTION("GoogleTranslate(C194, ""en"", ""ko"")"),"이용약관")</f>
        <v>이용약관</v>
      </c>
      <c r="AL194" s="7" t="str">
        <f>IFERROR(__xludf.DUMMYFUNCTION("GoogleTranslate(C194, ""en"", ""lo"")"),"ເງື່ອນໄຂການນໍາໃຊ້")</f>
        <v>ເງື່ອນໄຂການນໍາໃຊ້</v>
      </c>
      <c r="AM194" s="7" t="str">
        <f>IFERROR(__xludf.DUMMYFUNCTION("GoogleTranslate(C194, ""en"", ""lv"")"),"Lietošanas noteikumi")</f>
        <v>Lietošanas noteikumi</v>
      </c>
      <c r="AN194" s="7" t="str">
        <f>IFERROR(__xludf.DUMMYFUNCTION("GoogleTranslate(C194, ""en"", ""lt"")"),"Naudojimo sąlygos")</f>
        <v>Naudojimo sąlygos</v>
      </c>
      <c r="AO194" s="7" t="str">
        <f>IFERROR(__xludf.DUMMYFUNCTION("GoogleTranslate(C194, ""en"", ""mk"")"),"Услови за користење")</f>
        <v>Услови за користење</v>
      </c>
      <c r="AP194" s="7" t="str">
        <f>IFERROR(__xludf.DUMMYFUNCTION("GoogleTranslate(C194, ""en"", ""ms"")"),"Syarat Penggunaan")</f>
        <v>Syarat Penggunaan</v>
      </c>
      <c r="AQ194" s="7" t="str">
        <f>IFERROR(__xludf.DUMMYFUNCTION("GoogleTranslate(C194, ""en"", ""ml"")"),"ഉപയോഗ നിബന്ധനകൾ")</f>
        <v>ഉപയോഗ നിബന്ധനകൾ</v>
      </c>
      <c r="AR194" s="7" t="str">
        <f>IFERROR(__xludf.DUMMYFUNCTION("GoogleTranslate(C194, ""en"", ""mr"")"),"वापराच्या अटी")</f>
        <v>वापराच्या अटी</v>
      </c>
      <c r="AS194" s="7" t="str">
        <f>IFERROR(__xludf.DUMMYFUNCTION("GoogleTranslate(C194, ""en"", ""mn"")"),"Хэрэглэх нөхцөл")</f>
        <v>Хэрэглэх нөхцөл</v>
      </c>
      <c r="AT194" s="7" t="str">
        <f>IFERROR(__xludf.DUMMYFUNCTION("GoogleTranslate(C194, ""en"", ""ne"")"),"प्रयोगका सर्तहरू")</f>
        <v>प्रयोगका सर्तहरू</v>
      </c>
      <c r="AU194" s="7" t="str">
        <f>IFERROR(__xludf.DUMMYFUNCTION("GoogleTranslate(C194, ""en"", ""nb"")"),"Vilkår for bruk")</f>
        <v>Vilkår for bruk</v>
      </c>
      <c r="AV194" s="7" t="str">
        <f>IFERROR(__xludf.DUMMYFUNCTION("GoogleTranslate(C194, ""en"", ""fa"")"),"شرایط استفاده")</f>
        <v>شرایط استفاده</v>
      </c>
      <c r="AW194" s="7" t="str">
        <f>IFERROR(__xludf.DUMMYFUNCTION("GoogleTranslate(C194, ""en"", ""pl"")"),"Warunki użytkowania")</f>
        <v>Warunki użytkowania</v>
      </c>
      <c r="AX194" s="7" t="str">
        <f>IFERROR(__xludf.DUMMYFUNCTION("GoogleTranslate(C194, ""en"", ""pt"")"),"Termos de Uso")</f>
        <v>Termos de Uso</v>
      </c>
      <c r="AY194" s="7" t="str">
        <f>IFERROR(__xludf.DUMMYFUNCTION("GoogleTranslate(C194, ""en"", ""ro"")"),"Termeni de utilizare")</f>
        <v>Termeni de utilizare</v>
      </c>
      <c r="AZ194" s="7" t="str">
        <f>IFERROR(__xludf.DUMMYFUNCTION("GoogleTranslate(C194, ""en"", ""ru"")"),"Условия эксплуатации")</f>
        <v>Условия эксплуатации</v>
      </c>
      <c r="BA194" s="7" t="str">
        <f>IFERROR(__xludf.DUMMYFUNCTION("GoogleTranslate(C194, ""en"", ""sr"")"),"Услови коришћења")</f>
        <v>Услови коришћења</v>
      </c>
      <c r="BB194" s="7" t="str">
        <f>IFERROR(__xludf.DUMMYFUNCTION("GoogleTranslate(C194, ""en"", ""si"")"),"භාවිත නියම")</f>
        <v>භාවිත නියම</v>
      </c>
      <c r="BC194" s="7" t="str">
        <f>IFERROR(__xludf.DUMMYFUNCTION("GoogleTranslate(C194, ""en"", ""sk"")"),"Podmienky používania")</f>
        <v>Podmienky používania</v>
      </c>
      <c r="BD194" s="7" t="str">
        <f>IFERROR(__xludf.DUMMYFUNCTION("GoogleTranslate(C194, ""en"", ""sl"")"),"Pogoji uporabe")</f>
        <v>Pogoji uporabe</v>
      </c>
      <c r="BE194" s="7" t="str">
        <f>IFERROR(__xludf.DUMMYFUNCTION("GoogleTranslate(C194, ""en"", ""es"")"),"Condiciones de uso")</f>
        <v>Condiciones de uso</v>
      </c>
      <c r="BF194" s="7" t="str">
        <f>IFERROR(__xludf.DUMMYFUNCTION("GoogleTranslate(C194, ""en"", ""sw"")"),"Masharti ya Matumizi")</f>
        <v>Masharti ya Matumizi</v>
      </c>
      <c r="BG194" s="7" t="str">
        <f>IFERROR(__xludf.DUMMYFUNCTION("GoogleTranslate(C194, ""en"", ""sv"")"),"Användarvillkor")</f>
        <v>Användarvillkor</v>
      </c>
      <c r="BH194" s="7" t="str">
        <f>IFERROR(__xludf.DUMMYFUNCTION("GoogleTranslate(C194, ""en"", ""te"")"),"ఉపయోగ నిబంధనలు")</f>
        <v>ఉపయోగ నిబంధనలు</v>
      </c>
      <c r="BI194" s="7" t="str">
        <f>IFERROR(__xludf.DUMMYFUNCTION("GoogleTranslate(C194, ""en"", ""th"")"),"เงื่อนไขการใช้งาน")</f>
        <v>เงื่อนไขการใช้งาน</v>
      </c>
      <c r="BJ194" s="7" t="str">
        <f>IFERROR(__xludf.DUMMYFUNCTION("GoogleTranslate(C194, ""en"", ""tr"")"),"Kullanım Koşulları")</f>
        <v>Kullanım Koşulları</v>
      </c>
      <c r="BK194" s="7" t="str">
        <f>IFERROR(__xludf.DUMMYFUNCTION("GoogleTranslate(C194, ""en"", ""uk"")"),"Умови використання")</f>
        <v>Умови використання</v>
      </c>
      <c r="BL194" s="7" t="str">
        <f>IFERROR(__xludf.DUMMYFUNCTION("GoogleTranslate(C194, ""en"", ""zu"")"),"Imigomo Yokusebenzisa")</f>
        <v>Imigomo Yokusebenzisa</v>
      </c>
    </row>
    <row r="195">
      <c r="A195" s="5" t="str">
        <f t="shared" si="1"/>
        <v>Privacy_Policy</v>
      </c>
      <c r="B195" s="6" t="s">
        <v>248</v>
      </c>
      <c r="C195" s="5" t="str">
        <f t="shared" si="2"/>
        <v>Privacy Policy</v>
      </c>
      <c r="D195" s="7" t="str">
        <f>IFERROR(__xludf.DUMMYFUNCTION("GoogleTranslate(C195, ""en"", ""es"")"),"política de privacidad")</f>
        <v>política de privacidad</v>
      </c>
      <c r="E195" s="7" t="str">
        <f>IFERROR(__xludf.DUMMYFUNCTION("GoogleTranslate(C195, ""en"", ""ar"")"),"سياسة الخصوصية")</f>
        <v>سياسة الخصوصية</v>
      </c>
      <c r="F195" s="7" t="str">
        <f>IFERROR(__xludf.DUMMYFUNCTION("GoogleTranslate(C195, ""en"", ""hy"")"),"Գաղտնիության քաղաքականություն")</f>
        <v>Գաղտնիության քաղաքականություն</v>
      </c>
      <c r="G195" s="7" t="str">
        <f>IFERROR(__xludf.DUMMYFUNCTION("GoogleTranslate(C195, ""en"", ""vi"")"),"Chính sách bảo mật")</f>
        <v>Chính sách bảo mật</v>
      </c>
      <c r="H195" s="7" t="str">
        <f>IFERROR(__xludf.DUMMYFUNCTION("GoogleTranslate(C195, ""en"", ""az"")"),"Məxfilik Siyasəti")</f>
        <v>Məxfilik Siyasəti</v>
      </c>
      <c r="I195" s="7" t="str">
        <f>IFERROR(__xludf.DUMMYFUNCTION("GoogleTranslate(C195, ""en"", ""eu"")"),"Pribatutasun politika")</f>
        <v>Pribatutasun politika</v>
      </c>
      <c r="J195" s="7" t="str">
        <f>IFERROR(__xludf.DUMMYFUNCTION("GoogleTranslate(C195, ""en"", ""be"")"),"Палітыка прыватнасці")</f>
        <v>Палітыка прыватнасці</v>
      </c>
      <c r="K195" s="7" t="str">
        <f>IFERROR(__xludf.DUMMYFUNCTION("GoogleTranslate(C195, ""en"", ""bn"")"),"গোপনীয়তা নীতি")</f>
        <v>গোপনীয়তা নীতি</v>
      </c>
      <c r="L195" s="7" t="str">
        <f>IFERROR(__xludf.DUMMYFUNCTION("GoogleTranslate(C195, ""en"", ""bg"")"),"Политика за поверителност")</f>
        <v>Политика за поверителност</v>
      </c>
      <c r="M195" s="7" t="str">
        <f>IFERROR(__xludf.DUMMYFUNCTION("GoogleTranslate(C195, ""en"", ""my"")"),"ကိုယ်ရေးအချက်အလက်မူဝါဒ")</f>
        <v>ကိုယ်ရေးအချက်အလက်မူဝါဒ</v>
      </c>
      <c r="N195" s="7" t="str">
        <f>IFERROR(__xludf.DUMMYFUNCTION("GoogleTranslate(C195, ""en"", ""ca"")"),"Política de privadesa")</f>
        <v>Política de privadesa</v>
      </c>
      <c r="O195" s="7" t="str">
        <f>IFERROR(__xludf.DUMMYFUNCTION("GoogleTranslate(C195, ""en"", ""zh-cn"")"),"隐私政策")</f>
        <v>隐私政策</v>
      </c>
      <c r="P195" s="7" t="str">
        <f>IFERROR(__xludf.DUMMYFUNCTION("GoogleTranslate(C195, ""en"", ""zh-TW"")"),"隱私權政策")</f>
        <v>隱私權政策</v>
      </c>
      <c r="Q195" s="7" t="str">
        <f>IFERROR(__xludf.DUMMYFUNCTION("GoogleTranslate(C195, ""en"", ""hr"")"),"Politika privatnosti")</f>
        <v>Politika privatnosti</v>
      </c>
      <c r="R195" s="7" t="str">
        <f>IFERROR(__xludf.DUMMYFUNCTION("GoogleTranslate(C195, ""en"", ""cs"")"),"Zásady ochrany osobních údajů")</f>
        <v>Zásady ochrany osobních údajů</v>
      </c>
      <c r="S195" s="7" t="str">
        <f>IFERROR(__xludf.DUMMYFUNCTION("GoogleTranslate(C195, ""en"", ""da"")"),"Privatlivspolitik")</f>
        <v>Privatlivspolitik</v>
      </c>
      <c r="T195" s="7" t="str">
        <f>IFERROR(__xludf.DUMMYFUNCTION("GoogleTranslate(C195, ""en"", ""nl"")"),"Privacybeleid")</f>
        <v>Privacybeleid</v>
      </c>
      <c r="U195" s="7" t="str">
        <f>IFERROR(__xludf.DUMMYFUNCTION("GoogleTranslate(C195, ""en"", ""et"")"),"Privaatsuspoliitika")</f>
        <v>Privaatsuspoliitika</v>
      </c>
      <c r="V195" s="5" t="str">
        <f t="shared" si="3"/>
        <v>Privacy Policy</v>
      </c>
      <c r="W195" s="7" t="str">
        <f>IFERROR(__xludf.DUMMYFUNCTION("GoogleTranslate(C195, ""en"", ""fi"")"),"Tietosuojakäytäntö")</f>
        <v>Tietosuojakäytäntö</v>
      </c>
      <c r="X195" s="7" t="str">
        <f>IFERROR(__xludf.DUMMYFUNCTION("GoogleTranslate(C195, ""en"", ""fr"")"),"politique de confidentialité")</f>
        <v>politique de confidentialité</v>
      </c>
      <c r="Y195" s="7" t="str">
        <f>IFERROR(__xludf.DUMMYFUNCTION("GoogleTranslate(C195, ""en"", ""de"")"),"Datenschutzrichtlinie")</f>
        <v>Datenschutzrichtlinie</v>
      </c>
      <c r="Z195" s="7" t="str">
        <f>IFERROR(__xludf.DUMMYFUNCTION("GoogleTranslate(C195, ""en"", ""el"")"),"Πολιτική Απορρήτου")</f>
        <v>Πολιτική Απορρήτου</v>
      </c>
      <c r="AA195" s="7" t="str">
        <f>IFERROR(__xludf.DUMMYFUNCTION("GoogleTranslate(C195, ""en"", ""iw"")"),"מדיניות פרטיות")</f>
        <v>מדיניות פרטיות</v>
      </c>
      <c r="AB195" s="7" t="str">
        <f>IFERROR(__xludf.DUMMYFUNCTION("GoogleTranslate(C195, ""en"", ""hi"")"),"गोपनीयता नीति")</f>
        <v>गोपनीयता नीति</v>
      </c>
      <c r="AC195" s="7" t="str">
        <f>IFERROR(__xludf.DUMMYFUNCTION("GoogleTranslate(C195, ""en"", ""hu"")"),"Adatvédelmi szabályzat")</f>
        <v>Adatvédelmi szabályzat</v>
      </c>
      <c r="AD195" s="7" t="str">
        <f>IFERROR(__xludf.DUMMYFUNCTION("GoogleTranslate(C195, ""en"", ""is"")"),"Persónuverndarstefna")</f>
        <v>Persónuverndarstefna</v>
      </c>
      <c r="AE195" s="7" t="str">
        <f>IFERROR(__xludf.DUMMYFUNCTION("GoogleTranslate(C195, ""en"", ""id"")"),"Kebijakan Privasi")</f>
        <v>Kebijakan Privasi</v>
      </c>
      <c r="AF195" s="7" t="str">
        <f>IFERROR(__xludf.DUMMYFUNCTION("GoogleTranslate(C195, ""en"", ""in"")"),"Kebijakan Privasi")</f>
        <v>Kebijakan Privasi</v>
      </c>
      <c r="AG195" s="7" t="str">
        <f>IFERROR(__xludf.DUMMYFUNCTION("GoogleTranslate(C195, ""en"", ""it"")"),"politica sulla riservatezza")</f>
        <v>politica sulla riservatezza</v>
      </c>
      <c r="AH195" s="7" t="str">
        <f>IFERROR(__xludf.DUMMYFUNCTION("GoogleTranslate(C195, ""en"", ""ja"")"),"プライバシーポリシー")</f>
        <v>プライバシーポリシー</v>
      </c>
      <c r="AI195" s="7" t="str">
        <f>IFERROR(__xludf.DUMMYFUNCTION("GoogleTranslate(C195, ""en"", ""kn"")"),"ಗೌಪ್ಯತೆ ನೀತಿ")</f>
        <v>ಗೌಪ್ಯತೆ ನೀತಿ</v>
      </c>
      <c r="AJ195" s="7" t="str">
        <f>IFERROR(__xludf.DUMMYFUNCTION("GoogleTranslate(C195, ""en"", ""km"")"),"គោលការណ៍ឯកជនភាព")</f>
        <v>គោលការណ៍ឯកជនភាព</v>
      </c>
      <c r="AK195" s="7" t="str">
        <f>IFERROR(__xludf.DUMMYFUNCTION("GoogleTranslate(C195, ""en"", ""ko"")"),"개인 정보 보호 정책")</f>
        <v>개인 정보 보호 정책</v>
      </c>
      <c r="AL195" s="7" t="str">
        <f>IFERROR(__xludf.DUMMYFUNCTION("GoogleTranslate(C195, ""en"", ""lo"")"),"ນະໂຍບາຍຄວາມເປັນສ່ວນຕົວ")</f>
        <v>ນະໂຍບາຍຄວາມເປັນສ່ວນຕົວ</v>
      </c>
      <c r="AM195" s="7" t="str">
        <f>IFERROR(__xludf.DUMMYFUNCTION("GoogleTranslate(C195, ""en"", ""lv"")"),"Privātuma politika")</f>
        <v>Privātuma politika</v>
      </c>
      <c r="AN195" s="7" t="str">
        <f>IFERROR(__xludf.DUMMYFUNCTION("GoogleTranslate(C195, ""en"", ""lt"")"),"Privatumo politika")</f>
        <v>Privatumo politika</v>
      </c>
      <c r="AO195" s="7" t="str">
        <f>IFERROR(__xludf.DUMMYFUNCTION("GoogleTranslate(C195, ""en"", ""mk"")"),"Политика за приватност")</f>
        <v>Политика за приватност</v>
      </c>
      <c r="AP195" s="7" t="str">
        <f>IFERROR(__xludf.DUMMYFUNCTION("GoogleTranslate(C195, ""en"", ""ms"")"),"Dasar Privasi")</f>
        <v>Dasar Privasi</v>
      </c>
      <c r="AQ195" s="7" t="str">
        <f>IFERROR(__xludf.DUMMYFUNCTION("GoogleTranslate(C195, ""en"", ""ml"")"),"സ്വകാര്യതാ നയം")</f>
        <v>സ്വകാര്യതാ നയം</v>
      </c>
      <c r="AR195" s="7" t="str">
        <f>IFERROR(__xludf.DUMMYFUNCTION("GoogleTranslate(C195, ""en"", ""mr"")"),"गोपनीयता धोरण")</f>
        <v>गोपनीयता धोरण</v>
      </c>
      <c r="AS195" s="7" t="str">
        <f>IFERROR(__xludf.DUMMYFUNCTION("GoogleTranslate(C195, ""en"", ""mn"")"),"Нууцлалын бодлого")</f>
        <v>Нууцлалын бодлого</v>
      </c>
      <c r="AT195" s="7" t="str">
        <f>IFERROR(__xludf.DUMMYFUNCTION("GoogleTranslate(C195, ""en"", ""ne"")"),"गोपनीयता नीति")</f>
        <v>गोपनीयता नीति</v>
      </c>
      <c r="AU195" s="7" t="str">
        <f>IFERROR(__xludf.DUMMYFUNCTION("GoogleTranslate(C195, ""en"", ""nb"")"),"Personvernerklæring")</f>
        <v>Personvernerklæring</v>
      </c>
      <c r="AV195" s="7" t="str">
        <f>IFERROR(__xludf.DUMMYFUNCTION("GoogleTranslate(C195, ""en"", ""fa"")"),"سیاست حفظ حریم خصوصی")</f>
        <v>سیاست حفظ حریم خصوصی</v>
      </c>
      <c r="AW195" s="7" t="str">
        <f>IFERROR(__xludf.DUMMYFUNCTION("GoogleTranslate(C195, ""en"", ""pl"")"),"Polityka prywatności")</f>
        <v>Polityka prywatności</v>
      </c>
      <c r="AX195" s="7" t="str">
        <f>IFERROR(__xludf.DUMMYFUNCTION("GoogleTranslate(C195, ""en"", ""pt"")"),"política de Privacidade")</f>
        <v>política de Privacidade</v>
      </c>
      <c r="AY195" s="7" t="str">
        <f>IFERROR(__xludf.DUMMYFUNCTION("GoogleTranslate(C195, ""en"", ""ro"")"),"Politica de confidențialitate")</f>
        <v>Politica de confidențialitate</v>
      </c>
      <c r="AZ195" s="7" t="str">
        <f>IFERROR(__xludf.DUMMYFUNCTION("GoogleTranslate(C195, ""en"", ""ru"")"),"политика конфиденциальности")</f>
        <v>политика конфиденциальности</v>
      </c>
      <c r="BA195" s="7" t="str">
        <f>IFERROR(__xludf.DUMMYFUNCTION("GoogleTranslate(C195, ""en"", ""sr"")"),"Политика приватности")</f>
        <v>Политика приватности</v>
      </c>
      <c r="BB195" s="7" t="str">
        <f>IFERROR(__xludf.DUMMYFUNCTION("GoogleTranslate(C195, ""en"", ""si"")"),"රහස්යතා ප්රතිපත්තිය")</f>
        <v>රහස්යතා ප්රතිපත්තිය</v>
      </c>
      <c r="BC195" s="7" t="str">
        <f>IFERROR(__xludf.DUMMYFUNCTION("GoogleTranslate(C195, ""en"", ""sk"")"),"Zásady ochrany osobných údajov")</f>
        <v>Zásady ochrany osobných údajov</v>
      </c>
      <c r="BD195" s="7" t="str">
        <f>IFERROR(__xludf.DUMMYFUNCTION("GoogleTranslate(C195, ""en"", ""sl"")"),"Politika zasebnosti")</f>
        <v>Politika zasebnosti</v>
      </c>
      <c r="BE195" s="7" t="str">
        <f>IFERROR(__xludf.DUMMYFUNCTION("GoogleTranslate(C195, ""en"", ""es"")"),"política de privacidad")</f>
        <v>política de privacidad</v>
      </c>
      <c r="BF195" s="7" t="str">
        <f>IFERROR(__xludf.DUMMYFUNCTION("GoogleTranslate(C195, ""en"", ""sw"")"),"Sera ya Faragha")</f>
        <v>Sera ya Faragha</v>
      </c>
      <c r="BG195" s="7" t="str">
        <f>IFERROR(__xludf.DUMMYFUNCTION("GoogleTranslate(C195, ""en"", ""sv"")"),"Sekretesspolicy")</f>
        <v>Sekretesspolicy</v>
      </c>
      <c r="BH195" s="7" t="str">
        <f>IFERROR(__xludf.DUMMYFUNCTION("GoogleTranslate(C195, ""en"", ""te"")"),"గోప్యతా విధానం")</f>
        <v>గోప్యతా విధానం</v>
      </c>
      <c r="BI195" s="7" t="str">
        <f>IFERROR(__xludf.DUMMYFUNCTION("GoogleTranslate(C195, ""en"", ""th"")"),"นโยบายความเป็นส่วนตัว")</f>
        <v>นโยบายความเป็นส่วนตัว</v>
      </c>
      <c r="BJ195" s="7" t="str">
        <f>IFERROR(__xludf.DUMMYFUNCTION("GoogleTranslate(C195, ""en"", ""tr"")"),"Gizlilik Politikası")</f>
        <v>Gizlilik Politikası</v>
      </c>
      <c r="BK195" s="7" t="str">
        <f>IFERROR(__xludf.DUMMYFUNCTION("GoogleTranslate(C195, ""en"", ""uk"")"),"Політика конфіденційності")</f>
        <v>Політика конфіденційності</v>
      </c>
      <c r="BL195" s="7" t="str">
        <f>IFERROR(__xludf.DUMMYFUNCTION("GoogleTranslate(C195, ""en"", ""zu"")"),"Inqubomgomo yobumfihlo")</f>
        <v>Inqubomgomo yobumfihlo</v>
      </c>
    </row>
    <row r="196">
      <c r="A196" s="5" t="str">
        <f t="shared" si="1"/>
        <v>Cookie_Policy</v>
      </c>
      <c r="B196" s="6" t="s">
        <v>249</v>
      </c>
      <c r="C196" s="5" t="str">
        <f t="shared" si="2"/>
        <v>Cookie Policy</v>
      </c>
      <c r="D196" s="7" t="str">
        <f>IFERROR(__xludf.DUMMYFUNCTION("GoogleTranslate(C196, ""en"", ""es"")"),"Política de cookies")</f>
        <v>Política de cookies</v>
      </c>
      <c r="E196" s="7" t="str">
        <f>IFERROR(__xludf.DUMMYFUNCTION("GoogleTranslate(C196, ""en"", ""ar"")"),"سياسة ملفات تعريف الارتباط")</f>
        <v>سياسة ملفات تعريف الارتباط</v>
      </c>
      <c r="F196" s="7" t="str">
        <f>IFERROR(__xludf.DUMMYFUNCTION("GoogleTranslate(C196, ""en"", ""hy"")"),"Cookie քաղաքականություն")</f>
        <v>Cookie քաղաքականություն</v>
      </c>
      <c r="G196" s="7" t="str">
        <f>IFERROR(__xludf.DUMMYFUNCTION("GoogleTranslate(C196, ""en"", ""vi"")"),"Chính sách cookie")</f>
        <v>Chính sách cookie</v>
      </c>
      <c r="H196" s="7" t="str">
        <f>IFERROR(__xludf.DUMMYFUNCTION("GoogleTranslate(C196, ""en"", ""az"")"),"Kuki Siyasəti")</f>
        <v>Kuki Siyasəti</v>
      </c>
      <c r="I196" s="7" t="str">
        <f>IFERROR(__xludf.DUMMYFUNCTION("GoogleTranslate(C196, ""en"", ""eu"")"),"Cookie politika")</f>
        <v>Cookie politika</v>
      </c>
      <c r="J196" s="7" t="str">
        <f>IFERROR(__xludf.DUMMYFUNCTION("GoogleTranslate(C196, ""en"", ""be"")"),"Палітыка выкарыстання файлаў cookie")</f>
        <v>Палітыка выкарыстання файлаў cookie</v>
      </c>
      <c r="K196" s="7" t="str">
        <f>IFERROR(__xludf.DUMMYFUNCTION("GoogleTranslate(C196, ""en"", ""bn"")"),"কুকি নীতি")</f>
        <v>কুকি নীতি</v>
      </c>
      <c r="L196" s="7" t="str">
        <f>IFERROR(__xludf.DUMMYFUNCTION("GoogleTranslate(C196, ""en"", ""bg"")"),"Политика за бисквитки")</f>
        <v>Политика за бисквитки</v>
      </c>
      <c r="M196" s="7" t="str">
        <f>IFERROR(__xludf.DUMMYFUNCTION("GoogleTranslate(C196, ""en"", ""my"")"),"ကွတ်ကီးမူဝါဒ")</f>
        <v>ကွတ်ကီးမူဝါဒ</v>
      </c>
      <c r="N196" s="7" t="str">
        <f>IFERROR(__xludf.DUMMYFUNCTION("GoogleTranslate(C196, ""en"", ""ca"")"),"Política de cookies")</f>
        <v>Política de cookies</v>
      </c>
      <c r="O196" s="7" t="str">
        <f>IFERROR(__xludf.DUMMYFUNCTION("GoogleTranslate(C196, ""en"", ""zh-cn"")"),"Cookie 政策")</f>
        <v>Cookie 政策</v>
      </c>
      <c r="P196" s="7" t="str">
        <f>IFERROR(__xludf.DUMMYFUNCTION("GoogleTranslate(C196, ""en"", ""zh-TW"")"),"Cookie 政策")</f>
        <v>Cookie 政策</v>
      </c>
      <c r="Q196" s="7" t="str">
        <f>IFERROR(__xludf.DUMMYFUNCTION("GoogleTranslate(C196, ""en"", ""hr"")"),"Politika kolačića")</f>
        <v>Politika kolačića</v>
      </c>
      <c r="R196" s="7" t="str">
        <f>IFERROR(__xludf.DUMMYFUNCTION("GoogleTranslate(C196, ""en"", ""cs"")"),"Zásady používání souborů cookie")</f>
        <v>Zásady používání souborů cookie</v>
      </c>
      <c r="S196" s="7" t="str">
        <f>IFERROR(__xludf.DUMMYFUNCTION("GoogleTranslate(C196, ""en"", ""da"")"),"Cookiepolitik")</f>
        <v>Cookiepolitik</v>
      </c>
      <c r="T196" s="7" t="str">
        <f>IFERROR(__xludf.DUMMYFUNCTION("GoogleTranslate(C196, ""en"", ""nl"")"),"Cookiebeleid")</f>
        <v>Cookiebeleid</v>
      </c>
      <c r="U196" s="7" t="str">
        <f>IFERROR(__xludf.DUMMYFUNCTION("GoogleTranslate(C196, ""en"", ""et"")"),"Küpsiste poliitika")</f>
        <v>Küpsiste poliitika</v>
      </c>
      <c r="V196" s="5" t="str">
        <f t="shared" si="3"/>
        <v>Cookie Policy</v>
      </c>
      <c r="W196" s="7" t="str">
        <f>IFERROR(__xludf.DUMMYFUNCTION("GoogleTranslate(C196, ""en"", ""fi"")"),"Evästekäytäntö")</f>
        <v>Evästekäytäntö</v>
      </c>
      <c r="X196" s="7" t="str">
        <f>IFERROR(__xludf.DUMMYFUNCTION("GoogleTranslate(C196, ""en"", ""fr"")"),"Politique en matière de cookies")</f>
        <v>Politique en matière de cookies</v>
      </c>
      <c r="Y196" s="7" t="str">
        <f>IFERROR(__xludf.DUMMYFUNCTION("GoogleTranslate(C196, ""en"", ""de"")"),"Cookie-Richtlinie")</f>
        <v>Cookie-Richtlinie</v>
      </c>
      <c r="Z196" s="7" t="str">
        <f>IFERROR(__xludf.DUMMYFUNCTION("GoogleTranslate(C196, ""en"", ""el"")"),"Πολιτική cookie")</f>
        <v>Πολιτική cookie</v>
      </c>
      <c r="AA196" s="7" t="str">
        <f>IFERROR(__xludf.DUMMYFUNCTION("GoogleTranslate(C196, ""en"", ""iw"")"),"מדיניות עוגיות")</f>
        <v>מדיניות עוגיות</v>
      </c>
      <c r="AB196" s="7" t="str">
        <f>IFERROR(__xludf.DUMMYFUNCTION("GoogleTranslate(C196, ""en"", ""hi"")"),"कूकी नीति")</f>
        <v>कूकी नीति</v>
      </c>
      <c r="AC196" s="7" t="str">
        <f>IFERROR(__xludf.DUMMYFUNCTION("GoogleTranslate(C196, ""en"", ""hu"")"),"Cookie-szabályzat")</f>
        <v>Cookie-szabályzat</v>
      </c>
      <c r="AD196" s="7" t="str">
        <f>IFERROR(__xludf.DUMMYFUNCTION("GoogleTranslate(C196, ""en"", ""is"")"),"Vafrakökurstefna")</f>
        <v>Vafrakökurstefna</v>
      </c>
      <c r="AE196" s="7" t="str">
        <f>IFERROR(__xludf.DUMMYFUNCTION("GoogleTranslate(C196, ""en"", ""id"")"),"Kebijakan Cookie")</f>
        <v>Kebijakan Cookie</v>
      </c>
      <c r="AF196" s="7" t="str">
        <f>IFERROR(__xludf.DUMMYFUNCTION("GoogleTranslate(C196, ""en"", ""in"")"),"Kebijakan Cookie")</f>
        <v>Kebijakan Cookie</v>
      </c>
      <c r="AG196" s="7" t="str">
        <f>IFERROR(__xludf.DUMMYFUNCTION("GoogleTranslate(C196, ""en"", ""it"")"),"Politica sui cookie")</f>
        <v>Politica sui cookie</v>
      </c>
      <c r="AH196" s="7" t="str">
        <f>IFERROR(__xludf.DUMMYFUNCTION("GoogleTranslate(C196, ""en"", ""ja"")"),"クッキーポリシー")</f>
        <v>クッキーポリシー</v>
      </c>
      <c r="AI196" s="7" t="str">
        <f>IFERROR(__xludf.DUMMYFUNCTION("GoogleTranslate(C196, ""en"", ""kn"")"),"ಕುಕಿ ನೀತಿ")</f>
        <v>ಕುಕಿ ನೀತಿ</v>
      </c>
      <c r="AJ196" s="7" t="str">
        <f>IFERROR(__xludf.DUMMYFUNCTION("GoogleTranslate(C196, ""en"", ""km"")"),"គោលការណ៍ខូឃី")</f>
        <v>គោលការណ៍ខូឃី</v>
      </c>
      <c r="AK196" s="7" t="str">
        <f>IFERROR(__xludf.DUMMYFUNCTION("GoogleTranslate(C196, ""en"", ""ko"")"),"쿠키 정책")</f>
        <v>쿠키 정책</v>
      </c>
      <c r="AL196" s="7" t="str">
        <f>IFERROR(__xludf.DUMMYFUNCTION("GoogleTranslate(C196, ""en"", ""lo"")"),"ນະໂຍບາຍຄຸກກີ")</f>
        <v>ນະໂຍບາຍຄຸກກີ</v>
      </c>
      <c r="AM196" s="7" t="str">
        <f>IFERROR(__xludf.DUMMYFUNCTION("GoogleTranslate(C196, ""en"", ""lv"")"),"Sīkdatņu politika")</f>
        <v>Sīkdatņu politika</v>
      </c>
      <c r="AN196" s="7" t="str">
        <f>IFERROR(__xludf.DUMMYFUNCTION("GoogleTranslate(C196, ""en"", ""lt"")"),"Slapukų politika")</f>
        <v>Slapukų politika</v>
      </c>
      <c r="AO196" s="7" t="str">
        <f>IFERROR(__xludf.DUMMYFUNCTION("GoogleTranslate(C196, ""en"", ""mk"")"),"Политика за колачиња")</f>
        <v>Политика за колачиња</v>
      </c>
      <c r="AP196" s="7" t="str">
        <f>IFERROR(__xludf.DUMMYFUNCTION("GoogleTranslate(C196, ""en"", ""ms"")"),"Dasar Kuki")</f>
        <v>Dasar Kuki</v>
      </c>
      <c r="AQ196" s="7" t="str">
        <f>IFERROR(__xludf.DUMMYFUNCTION("GoogleTranslate(C196, ""en"", ""ml"")"),"കുക്കി നയം")</f>
        <v>കുക്കി നയം</v>
      </c>
      <c r="AR196" s="7" t="str">
        <f>IFERROR(__xludf.DUMMYFUNCTION("GoogleTranslate(C196, ""en"", ""mr"")"),"कुकी धोरण")</f>
        <v>कुकी धोरण</v>
      </c>
      <c r="AS196" s="7" t="str">
        <f>IFERROR(__xludf.DUMMYFUNCTION("GoogleTranslate(C196, ""en"", ""mn"")"),"Күүкийн бодлого")</f>
        <v>Күүкийн бодлого</v>
      </c>
      <c r="AT196" s="7" t="str">
        <f>IFERROR(__xludf.DUMMYFUNCTION("GoogleTranslate(C196, ""en"", ""ne"")"),"कुकी नीति")</f>
        <v>कुकी नीति</v>
      </c>
      <c r="AU196" s="7" t="str">
        <f>IFERROR(__xludf.DUMMYFUNCTION("GoogleTranslate(C196, ""en"", ""nb"")"),"Retningslinjer for informasjonskapsler")</f>
        <v>Retningslinjer for informasjonskapsler</v>
      </c>
      <c r="AV196" s="7" t="str">
        <f>IFERROR(__xludf.DUMMYFUNCTION("GoogleTranslate(C196, ""en"", ""fa"")"),"خط مشی کوکی")</f>
        <v>خط مشی کوکی</v>
      </c>
      <c r="AW196" s="7" t="str">
        <f>IFERROR(__xludf.DUMMYFUNCTION("GoogleTranslate(C196, ""en"", ""pl"")"),"Polityka plików cookie")</f>
        <v>Polityka plików cookie</v>
      </c>
      <c r="AX196" s="7" t="str">
        <f>IFERROR(__xludf.DUMMYFUNCTION("GoogleTranslate(C196, ""en"", ""pt"")"),"Política de Cookies")</f>
        <v>Política de Cookies</v>
      </c>
      <c r="AY196" s="7" t="str">
        <f>IFERROR(__xludf.DUMMYFUNCTION("GoogleTranslate(C196, ""en"", ""ro"")"),"Politica de cookie-uri")</f>
        <v>Politica de cookie-uri</v>
      </c>
      <c r="AZ196" s="7" t="str">
        <f>IFERROR(__xludf.DUMMYFUNCTION("GoogleTranslate(C196, ""en"", ""ru"")"),"Политика использования файлов cookie")</f>
        <v>Политика использования файлов cookie</v>
      </c>
      <c r="BA196" s="7" t="str">
        <f>IFERROR(__xludf.DUMMYFUNCTION("GoogleTranslate(C196, ""en"", ""sr"")"),"Политика колачића")</f>
        <v>Политика колачића</v>
      </c>
      <c r="BB196" s="7" t="str">
        <f>IFERROR(__xludf.DUMMYFUNCTION("GoogleTranslate(C196, ""en"", ""si"")"),"කුකී ප්‍රතිපත්තිය")</f>
        <v>කුකී ප්‍රතිපත්තිය</v>
      </c>
      <c r="BC196" s="7" t="str">
        <f>IFERROR(__xludf.DUMMYFUNCTION("GoogleTranslate(C196, ""en"", ""sk"")"),"Zásady používania súborov cookie")</f>
        <v>Zásady používania súborov cookie</v>
      </c>
      <c r="BD196" s="7" t="str">
        <f>IFERROR(__xludf.DUMMYFUNCTION("GoogleTranslate(C196, ""en"", ""sl"")"),"Politika piškotkov")</f>
        <v>Politika piškotkov</v>
      </c>
      <c r="BE196" s="7" t="str">
        <f>IFERROR(__xludf.DUMMYFUNCTION("GoogleTranslate(C196, ""en"", ""es"")"),"Política de cookies")</f>
        <v>Política de cookies</v>
      </c>
      <c r="BF196" s="7" t="str">
        <f>IFERROR(__xludf.DUMMYFUNCTION("GoogleTranslate(C196, ""en"", ""sw"")"),"Sera ya Vidakuzi")</f>
        <v>Sera ya Vidakuzi</v>
      </c>
      <c r="BG196" s="7" t="str">
        <f>IFERROR(__xludf.DUMMYFUNCTION("GoogleTranslate(C196, ""en"", ""sv"")"),"Cookiepolicy")</f>
        <v>Cookiepolicy</v>
      </c>
      <c r="BH196" s="7" t="str">
        <f>IFERROR(__xludf.DUMMYFUNCTION("GoogleTranslate(C196, ""en"", ""te"")"),"కుకీ విధానం")</f>
        <v>కుకీ విధానం</v>
      </c>
      <c r="BI196" s="7" t="str">
        <f>IFERROR(__xludf.DUMMYFUNCTION("GoogleTranslate(C196, ""en"", ""th"")"),"นโยบายคุกกี้")</f>
        <v>นโยบายคุกกี้</v>
      </c>
      <c r="BJ196" s="7" t="str">
        <f>IFERROR(__xludf.DUMMYFUNCTION("GoogleTranslate(C196, ""en"", ""tr"")"),"Çerez Politikası")</f>
        <v>Çerez Politikası</v>
      </c>
      <c r="BK196" s="7" t="str">
        <f>IFERROR(__xludf.DUMMYFUNCTION("GoogleTranslate(C196, ""en"", ""uk"")"),"Політика використання файлів cookie")</f>
        <v>Політика використання файлів cookie</v>
      </c>
      <c r="BL196" s="7" t="str">
        <f>IFERROR(__xludf.DUMMYFUNCTION("GoogleTranslate(C196, ""en"", ""zu"")"),"Inqubomgomo Yekhukhi")</f>
        <v>Inqubomgomo Yekhukhi</v>
      </c>
    </row>
    <row r="197">
      <c r="A197" s="5" t="str">
        <f t="shared" si="1"/>
        <v>Low</v>
      </c>
      <c r="B197" s="4" t="s">
        <v>106</v>
      </c>
      <c r="C197" s="4" t="s">
        <v>106</v>
      </c>
      <c r="D197" s="7" t="str">
        <f>IFERROR(__xludf.DUMMYFUNCTION("GoogleTranslate(C197, ""en"", ""es"")"),"Bajo")</f>
        <v>Bajo</v>
      </c>
      <c r="E197" s="7" t="str">
        <f>IFERROR(__xludf.DUMMYFUNCTION("GoogleTranslate(C197, ""en"", ""ar"")"),"قليل")</f>
        <v>قليل</v>
      </c>
      <c r="F197" s="7" t="str">
        <f>IFERROR(__xludf.DUMMYFUNCTION("GoogleTranslate(C197, ""en"", ""hy"")"),"Ցածր")</f>
        <v>Ցածր</v>
      </c>
      <c r="G197" s="7" t="str">
        <f>IFERROR(__xludf.DUMMYFUNCTION("GoogleTranslate(C197, ""en"", ""vi"")"),"Thấp")</f>
        <v>Thấp</v>
      </c>
      <c r="H197" s="7" t="str">
        <f>IFERROR(__xludf.DUMMYFUNCTION("GoogleTranslate(C197, ""en"", ""az"")"),"Aşağı")</f>
        <v>Aşağı</v>
      </c>
      <c r="I197" s="7" t="str">
        <f>IFERROR(__xludf.DUMMYFUNCTION("GoogleTranslate(C197, ""en"", ""eu"")"),"Baxua")</f>
        <v>Baxua</v>
      </c>
      <c r="J197" s="7" t="str">
        <f>IFERROR(__xludf.DUMMYFUNCTION("GoogleTranslate(C197, ""en"", ""be"")"),"Нізкі")</f>
        <v>Нізкі</v>
      </c>
      <c r="K197" s="7" t="str">
        <f>IFERROR(__xludf.DUMMYFUNCTION("GoogleTranslate(C197, ""en"", ""bn"")"),"কম")</f>
        <v>কম</v>
      </c>
      <c r="L197" s="7" t="str">
        <f>IFERROR(__xludf.DUMMYFUNCTION("GoogleTranslate(C197, ""en"", ""bg"")"),"ниско")</f>
        <v>ниско</v>
      </c>
      <c r="M197" s="7" t="str">
        <f>IFERROR(__xludf.DUMMYFUNCTION("GoogleTranslate(C197, ""en"", ""my"")"),"နိမ့်သည်။")</f>
        <v>နိမ့်သည်။</v>
      </c>
      <c r="N197" s="7" t="str">
        <f>IFERROR(__xludf.DUMMYFUNCTION("GoogleTranslate(C197, ""en"", ""ca"")"),"Baixa")</f>
        <v>Baixa</v>
      </c>
      <c r="O197" s="7" t="str">
        <f>IFERROR(__xludf.DUMMYFUNCTION("GoogleTranslate(C197, ""en"", ""zh-cn"")"),"低的")</f>
        <v>低的</v>
      </c>
      <c r="P197" s="7" t="str">
        <f>IFERROR(__xludf.DUMMYFUNCTION("GoogleTranslate(C197, ""en"", ""zh-TW"")"),"低的")</f>
        <v>低的</v>
      </c>
      <c r="Q197" s="7" t="str">
        <f>IFERROR(__xludf.DUMMYFUNCTION("GoogleTranslate(C197, ""en"", ""hr"")"),"Niska")</f>
        <v>Niska</v>
      </c>
      <c r="R197" s="7" t="str">
        <f>IFERROR(__xludf.DUMMYFUNCTION("GoogleTranslate(C197, ""en"", ""cs"")"),"Nízký")</f>
        <v>Nízký</v>
      </c>
      <c r="S197" s="7" t="str">
        <f>IFERROR(__xludf.DUMMYFUNCTION("GoogleTranslate(C197, ""en"", ""da"")"),"Lav")</f>
        <v>Lav</v>
      </c>
      <c r="T197" s="7" t="str">
        <f>IFERROR(__xludf.DUMMYFUNCTION("GoogleTranslate(C197, ""en"", ""nl"")"),"Laag")</f>
        <v>Laag</v>
      </c>
      <c r="U197" s="7" t="str">
        <f>IFERROR(__xludf.DUMMYFUNCTION("GoogleTranslate(C197, ""en"", ""et"")"),"Madal")</f>
        <v>Madal</v>
      </c>
      <c r="V197" s="5" t="str">
        <f t="shared" si="3"/>
        <v>Low</v>
      </c>
      <c r="W197" s="7" t="str">
        <f>IFERROR(__xludf.DUMMYFUNCTION("GoogleTranslate(C197, ""en"", ""fi"")"),"Matala")</f>
        <v>Matala</v>
      </c>
      <c r="X197" s="7" t="str">
        <f>IFERROR(__xludf.DUMMYFUNCTION("GoogleTranslate(C197, ""en"", ""fr"")"),"Faible")</f>
        <v>Faible</v>
      </c>
      <c r="Y197" s="7" t="str">
        <f>IFERROR(__xludf.DUMMYFUNCTION("GoogleTranslate(C197, ""en"", ""de"")"),"Niedrig")</f>
        <v>Niedrig</v>
      </c>
      <c r="Z197" s="7" t="str">
        <f>IFERROR(__xludf.DUMMYFUNCTION("GoogleTranslate(C197, ""en"", ""el"")"),"Χαμηλός")</f>
        <v>Χαμηλός</v>
      </c>
      <c r="AA197" s="7" t="str">
        <f>IFERROR(__xludf.DUMMYFUNCTION("GoogleTranslate(C197, ""en"", ""iw"")"),"נָמוּך")</f>
        <v>נָמוּך</v>
      </c>
      <c r="AB197" s="7" t="str">
        <f>IFERROR(__xludf.DUMMYFUNCTION("GoogleTranslate(C197, ""en"", ""hi"")"),"कम")</f>
        <v>कम</v>
      </c>
      <c r="AC197" s="7" t="str">
        <f>IFERROR(__xludf.DUMMYFUNCTION("GoogleTranslate(C197, ""en"", ""hu"")"),"Alacsony")</f>
        <v>Alacsony</v>
      </c>
      <c r="AD197" s="7" t="str">
        <f>IFERROR(__xludf.DUMMYFUNCTION("GoogleTranslate(C197, ""en"", ""is"")"),"Lágt")</f>
        <v>Lágt</v>
      </c>
      <c r="AE197" s="7" t="str">
        <f>IFERROR(__xludf.DUMMYFUNCTION("GoogleTranslate(C197, ""en"", ""id"")"),"Rendah")</f>
        <v>Rendah</v>
      </c>
      <c r="AF197" s="7" t="str">
        <f>IFERROR(__xludf.DUMMYFUNCTION("GoogleTranslate(C197, ""en"", ""in"")"),"Rendah")</f>
        <v>Rendah</v>
      </c>
      <c r="AG197" s="7" t="str">
        <f>IFERROR(__xludf.DUMMYFUNCTION("GoogleTranslate(C197, ""en"", ""it"")"),"Basso")</f>
        <v>Basso</v>
      </c>
      <c r="AH197" s="7" t="str">
        <f>IFERROR(__xludf.DUMMYFUNCTION("GoogleTranslate(C197, ""en"", ""ja"")"),"低い")</f>
        <v>低い</v>
      </c>
      <c r="AI197" s="7" t="str">
        <f>IFERROR(__xludf.DUMMYFUNCTION("GoogleTranslate(C197, ""en"", ""kn"")"),"ಕಡಿಮೆ")</f>
        <v>ಕಡಿಮೆ</v>
      </c>
      <c r="AJ197" s="7" t="str">
        <f>IFERROR(__xludf.DUMMYFUNCTION("GoogleTranslate(C197, ""en"", ""km"")"),"ទាប")</f>
        <v>ទាប</v>
      </c>
      <c r="AK197" s="7" t="str">
        <f>IFERROR(__xludf.DUMMYFUNCTION("GoogleTranslate(C197, ""en"", ""ko"")"),"낮은")</f>
        <v>낮은</v>
      </c>
      <c r="AL197" s="7" t="str">
        <f>IFERROR(__xludf.DUMMYFUNCTION("GoogleTranslate(C197, ""en"", ""lo"")"),"ຕໍ່າ")</f>
        <v>ຕໍ່າ</v>
      </c>
      <c r="AM197" s="7" t="str">
        <f>IFERROR(__xludf.DUMMYFUNCTION("GoogleTranslate(C197, ""en"", ""lv"")"),"Zems")</f>
        <v>Zems</v>
      </c>
      <c r="AN197" s="7" t="str">
        <f>IFERROR(__xludf.DUMMYFUNCTION("GoogleTranslate(C197, ""en"", ""lt"")"),"Žemas")</f>
        <v>Žemas</v>
      </c>
      <c r="AO197" s="7" t="str">
        <f>IFERROR(__xludf.DUMMYFUNCTION("GoogleTranslate(C197, ""en"", ""mk"")"),"Ниско")</f>
        <v>Ниско</v>
      </c>
      <c r="AP197" s="7" t="str">
        <f>IFERROR(__xludf.DUMMYFUNCTION("GoogleTranslate(C197, ""en"", ""ms"")"),"rendah")</f>
        <v>rendah</v>
      </c>
      <c r="AQ197" s="7" t="str">
        <f>IFERROR(__xludf.DUMMYFUNCTION("GoogleTranslate(C197, ""en"", ""ml"")"),"താഴ്ന്നത്")</f>
        <v>താഴ്ന്നത്</v>
      </c>
      <c r="AR197" s="7" t="str">
        <f>IFERROR(__xludf.DUMMYFUNCTION("GoogleTranslate(C197, ""en"", ""mr"")"),"कमी")</f>
        <v>कमी</v>
      </c>
      <c r="AS197" s="7" t="str">
        <f>IFERROR(__xludf.DUMMYFUNCTION("GoogleTranslate(C197, ""en"", ""mn"")"),"Бага")</f>
        <v>Бага</v>
      </c>
      <c r="AT197" s="7" t="str">
        <f>IFERROR(__xludf.DUMMYFUNCTION("GoogleTranslate(C197, ""en"", ""ne"")"),"कम")</f>
        <v>कम</v>
      </c>
      <c r="AU197" s="7" t="str">
        <f>IFERROR(__xludf.DUMMYFUNCTION("GoogleTranslate(C197, ""en"", ""nb"")"),"Lav")</f>
        <v>Lav</v>
      </c>
      <c r="AV197" s="7" t="str">
        <f>IFERROR(__xludf.DUMMYFUNCTION("GoogleTranslate(C197, ""en"", ""fa"")"),"پایین")</f>
        <v>پایین</v>
      </c>
      <c r="AW197" s="7" t="str">
        <f>IFERROR(__xludf.DUMMYFUNCTION("GoogleTranslate(C197, ""en"", ""pl"")"),"Niski")</f>
        <v>Niski</v>
      </c>
      <c r="AX197" s="7" t="str">
        <f>IFERROR(__xludf.DUMMYFUNCTION("GoogleTranslate(C197, ""en"", ""pt"")"),"Baixo")</f>
        <v>Baixo</v>
      </c>
      <c r="AY197" s="7" t="str">
        <f>IFERROR(__xludf.DUMMYFUNCTION("GoogleTranslate(C197, ""en"", ""ro"")"),"Scăzut")</f>
        <v>Scăzut</v>
      </c>
      <c r="AZ197" s="7" t="str">
        <f>IFERROR(__xludf.DUMMYFUNCTION("GoogleTranslate(C197, ""en"", ""ru"")"),"Низкий")</f>
        <v>Низкий</v>
      </c>
      <c r="BA197" s="7" t="str">
        <f>IFERROR(__xludf.DUMMYFUNCTION("GoogleTranslate(C197, ""en"", ""sr"")"),"Ниско")</f>
        <v>Ниско</v>
      </c>
      <c r="BB197" s="7" t="str">
        <f>IFERROR(__xludf.DUMMYFUNCTION("GoogleTranslate(C197, ""en"", ""si"")"),"අඩුයි")</f>
        <v>අඩුයි</v>
      </c>
      <c r="BC197" s="7" t="str">
        <f>IFERROR(__xludf.DUMMYFUNCTION("GoogleTranslate(C197, ""en"", ""sk"")"),"Nízka")</f>
        <v>Nízka</v>
      </c>
      <c r="BD197" s="7" t="str">
        <f>IFERROR(__xludf.DUMMYFUNCTION("GoogleTranslate(C197, ""en"", ""sl"")"),"Nizka")</f>
        <v>Nizka</v>
      </c>
      <c r="BE197" s="7" t="str">
        <f>IFERROR(__xludf.DUMMYFUNCTION("GoogleTranslate(C197, ""en"", ""es"")"),"Bajo")</f>
        <v>Bajo</v>
      </c>
      <c r="BF197" s="7" t="str">
        <f>IFERROR(__xludf.DUMMYFUNCTION("GoogleTranslate(C197, ""en"", ""sw"")"),"Chini")</f>
        <v>Chini</v>
      </c>
      <c r="BG197" s="7" t="str">
        <f>IFERROR(__xludf.DUMMYFUNCTION("GoogleTranslate(C197, ""en"", ""sv"")"),"Låg")</f>
        <v>Låg</v>
      </c>
      <c r="BH197" s="7" t="str">
        <f>IFERROR(__xludf.DUMMYFUNCTION("GoogleTranslate(C197, ""en"", ""te"")"),"తక్కువ")</f>
        <v>తక్కువ</v>
      </c>
      <c r="BI197" s="7" t="str">
        <f>IFERROR(__xludf.DUMMYFUNCTION("GoogleTranslate(C197, ""en"", ""th"")"),"ต่ำ")</f>
        <v>ต่ำ</v>
      </c>
      <c r="BJ197" s="7" t="str">
        <f>IFERROR(__xludf.DUMMYFUNCTION("GoogleTranslate(C197, ""en"", ""tr"")"),"Düşük")</f>
        <v>Düşük</v>
      </c>
      <c r="BK197" s="7" t="str">
        <f>IFERROR(__xludf.DUMMYFUNCTION("GoogleTranslate(C197, ""en"", ""uk"")"),"Низький")</f>
        <v>Низький</v>
      </c>
      <c r="BL197" s="7" t="str">
        <f>IFERROR(__xludf.DUMMYFUNCTION("GoogleTranslate(C197, ""en"", ""zu"")"),"Phansi")</f>
        <v>Phansi</v>
      </c>
    </row>
    <row r="198">
      <c r="A198" s="5" t="str">
        <f t="shared" si="1"/>
        <v>Moderate</v>
      </c>
      <c r="B198" s="4" t="s">
        <v>182</v>
      </c>
      <c r="C198" s="4" t="s">
        <v>182</v>
      </c>
      <c r="D198" s="7" t="str">
        <f>IFERROR(__xludf.DUMMYFUNCTION("GoogleTranslate(C198, ""en"", ""es"")"),"Moderado")</f>
        <v>Moderado</v>
      </c>
      <c r="E198" s="7" t="str">
        <f>IFERROR(__xludf.DUMMYFUNCTION("GoogleTranslate(C198, ""en"", ""ar"")"),"معتدل")</f>
        <v>معتدل</v>
      </c>
      <c r="F198" s="7" t="str">
        <f>IFERROR(__xludf.DUMMYFUNCTION("GoogleTranslate(C198, ""en"", ""hy"")"),"Չափավոր")</f>
        <v>Չափավոր</v>
      </c>
      <c r="G198" s="7" t="str">
        <f>IFERROR(__xludf.DUMMYFUNCTION("GoogleTranslate(C198, ""en"", ""vi"")"),"Vừa phải")</f>
        <v>Vừa phải</v>
      </c>
      <c r="H198" s="7" t="str">
        <f>IFERROR(__xludf.DUMMYFUNCTION("GoogleTranslate(C198, ""en"", ""az"")"),"Orta")</f>
        <v>Orta</v>
      </c>
      <c r="I198" s="7" t="str">
        <f>IFERROR(__xludf.DUMMYFUNCTION("GoogleTranslate(C198, ""en"", ""eu"")"),"Moderatua")</f>
        <v>Moderatua</v>
      </c>
      <c r="J198" s="7" t="str">
        <f>IFERROR(__xludf.DUMMYFUNCTION("GoogleTranslate(C198, ""en"", ""be"")"),"Умераны")</f>
        <v>Умераны</v>
      </c>
      <c r="K198" s="7" t="str">
        <f>IFERROR(__xludf.DUMMYFUNCTION("GoogleTranslate(C198, ""en"", ""bn"")"),"পরিমিত")</f>
        <v>পরিমিত</v>
      </c>
      <c r="L198" s="7" t="str">
        <f>IFERROR(__xludf.DUMMYFUNCTION("GoogleTranslate(C198, ""en"", ""bg"")"),"Умерен")</f>
        <v>Умерен</v>
      </c>
      <c r="M198" s="7" t="str">
        <f>IFERROR(__xludf.DUMMYFUNCTION("GoogleTranslate(C198, ""en"", ""my"")"),"တော်ရုံတန်ရုံ")</f>
        <v>တော်ရုံတန်ရုံ</v>
      </c>
      <c r="N198" s="7" t="str">
        <f>IFERROR(__xludf.DUMMYFUNCTION("GoogleTranslate(C198, ""en"", ""ca"")"),"Moderat")</f>
        <v>Moderat</v>
      </c>
      <c r="O198" s="7" t="str">
        <f>IFERROR(__xludf.DUMMYFUNCTION("GoogleTranslate(C198, ""en"", ""zh-cn"")"),"缓和")</f>
        <v>缓和</v>
      </c>
      <c r="P198" s="7" t="str">
        <f>IFERROR(__xludf.DUMMYFUNCTION("GoogleTranslate(C198, ""en"", ""zh-TW"")"),"緩和")</f>
        <v>緩和</v>
      </c>
      <c r="Q198" s="7" t="str">
        <f>IFERROR(__xludf.DUMMYFUNCTION("GoogleTranslate(C198, ""en"", ""hr"")"),"Umjereno")</f>
        <v>Umjereno</v>
      </c>
      <c r="R198" s="7" t="str">
        <f>IFERROR(__xludf.DUMMYFUNCTION("GoogleTranslate(C198, ""en"", ""cs"")"),"Mírný")</f>
        <v>Mírný</v>
      </c>
      <c r="S198" s="7" t="str">
        <f>IFERROR(__xludf.DUMMYFUNCTION("GoogleTranslate(C198, ""en"", ""da"")"),"Moderat")</f>
        <v>Moderat</v>
      </c>
      <c r="T198" s="7" t="str">
        <f>IFERROR(__xludf.DUMMYFUNCTION("GoogleTranslate(C198, ""en"", ""nl"")"),"Gematigd")</f>
        <v>Gematigd</v>
      </c>
      <c r="U198" s="7" t="str">
        <f>IFERROR(__xludf.DUMMYFUNCTION("GoogleTranslate(C198, ""en"", ""et"")"),"Mõõdukas")</f>
        <v>Mõõdukas</v>
      </c>
      <c r="V198" s="5" t="str">
        <f t="shared" si="3"/>
        <v>Moderate</v>
      </c>
      <c r="W198" s="7" t="str">
        <f>IFERROR(__xludf.DUMMYFUNCTION("GoogleTranslate(C198, ""en"", ""fi"")"),"Kohtalainen")</f>
        <v>Kohtalainen</v>
      </c>
      <c r="X198" s="7" t="str">
        <f>IFERROR(__xludf.DUMMYFUNCTION("GoogleTranslate(C198, ""en"", ""fr"")"),"Modéré")</f>
        <v>Modéré</v>
      </c>
      <c r="Y198" s="7" t="str">
        <f>IFERROR(__xludf.DUMMYFUNCTION("GoogleTranslate(C198, ""en"", ""de"")"),"Mäßig")</f>
        <v>Mäßig</v>
      </c>
      <c r="Z198" s="7" t="str">
        <f>IFERROR(__xludf.DUMMYFUNCTION("GoogleTranslate(C198, ""en"", ""el"")"),"Μέτριος")</f>
        <v>Μέτριος</v>
      </c>
      <c r="AA198" s="7" t="str">
        <f>IFERROR(__xludf.DUMMYFUNCTION("GoogleTranslate(C198, ""en"", ""iw"")"),"לְמַתֵן")</f>
        <v>לְמַתֵן</v>
      </c>
      <c r="AB198" s="7" t="str">
        <f>IFERROR(__xludf.DUMMYFUNCTION("GoogleTranslate(C198, ""en"", ""hi"")"),"मध्यम")</f>
        <v>मध्यम</v>
      </c>
      <c r="AC198" s="7" t="str">
        <f>IFERROR(__xludf.DUMMYFUNCTION("GoogleTranslate(C198, ""en"", ""hu"")"),"Mérsékelt")</f>
        <v>Mérsékelt</v>
      </c>
      <c r="AD198" s="7" t="str">
        <f>IFERROR(__xludf.DUMMYFUNCTION("GoogleTranslate(C198, ""en"", ""is"")"),"Í meðallagi")</f>
        <v>Í meðallagi</v>
      </c>
      <c r="AE198" s="7" t="str">
        <f>IFERROR(__xludf.DUMMYFUNCTION("GoogleTranslate(C198, ""en"", ""id"")"),"Sedang")</f>
        <v>Sedang</v>
      </c>
      <c r="AF198" s="7" t="str">
        <f>IFERROR(__xludf.DUMMYFUNCTION("GoogleTranslate(C198, ""en"", ""in"")"),"Sedang")</f>
        <v>Sedang</v>
      </c>
      <c r="AG198" s="7" t="str">
        <f>IFERROR(__xludf.DUMMYFUNCTION("GoogleTranslate(C198, ""en"", ""it"")"),"Moderare")</f>
        <v>Moderare</v>
      </c>
      <c r="AH198" s="7" t="str">
        <f>IFERROR(__xludf.DUMMYFUNCTION("GoogleTranslate(C198, ""en"", ""ja"")"),"適度")</f>
        <v>適度</v>
      </c>
      <c r="AI198" s="7" t="str">
        <f>IFERROR(__xludf.DUMMYFUNCTION("GoogleTranslate(C198, ""en"", ""kn"")"),"ಮಧ್ಯಮ")</f>
        <v>ಮಧ್ಯಮ</v>
      </c>
      <c r="AJ198" s="7" t="str">
        <f>IFERROR(__xludf.DUMMYFUNCTION("GoogleTranslate(C198, ""en"", ""km"")"),"មធ្យម")</f>
        <v>មធ្យម</v>
      </c>
      <c r="AK198" s="7" t="str">
        <f>IFERROR(__xludf.DUMMYFUNCTION("GoogleTranslate(C198, ""en"", ""ko"")"),"보통의")</f>
        <v>보통의</v>
      </c>
      <c r="AL198" s="7" t="str">
        <f>IFERROR(__xludf.DUMMYFUNCTION("GoogleTranslate(C198, ""en"", ""lo"")"),"ປານກາງ")</f>
        <v>ປານກາງ</v>
      </c>
      <c r="AM198" s="7" t="str">
        <f>IFERROR(__xludf.DUMMYFUNCTION("GoogleTranslate(C198, ""en"", ""lv"")"),"Mērens")</f>
        <v>Mērens</v>
      </c>
      <c r="AN198" s="7" t="str">
        <f>IFERROR(__xludf.DUMMYFUNCTION("GoogleTranslate(C198, ""en"", ""lt"")"),"Vidutinis")</f>
        <v>Vidutinis</v>
      </c>
      <c r="AO198" s="7" t="str">
        <f>IFERROR(__xludf.DUMMYFUNCTION("GoogleTranslate(C198, ""en"", ""mk"")"),"Умерено")</f>
        <v>Умерено</v>
      </c>
      <c r="AP198" s="7" t="str">
        <f>IFERROR(__xludf.DUMMYFUNCTION("GoogleTranslate(C198, ""en"", ""ms"")"),"Sederhana")</f>
        <v>Sederhana</v>
      </c>
      <c r="AQ198" s="7" t="str">
        <f>IFERROR(__xludf.DUMMYFUNCTION("GoogleTranslate(C198, ""en"", ""ml"")"),"മിതത്വം")</f>
        <v>മിതത്വം</v>
      </c>
      <c r="AR198" s="7" t="str">
        <f>IFERROR(__xludf.DUMMYFUNCTION("GoogleTranslate(C198, ""en"", ""mr"")"),"मध्यम")</f>
        <v>मध्यम</v>
      </c>
      <c r="AS198" s="7" t="str">
        <f>IFERROR(__xludf.DUMMYFUNCTION("GoogleTranslate(C198, ""en"", ""mn"")"),"Дунд зэрэг")</f>
        <v>Дунд зэрэг</v>
      </c>
      <c r="AT198" s="7" t="str">
        <f>IFERROR(__xludf.DUMMYFUNCTION("GoogleTranslate(C198, ""en"", ""ne"")"),"मध्यम")</f>
        <v>मध्यम</v>
      </c>
      <c r="AU198" s="7" t="str">
        <f>IFERROR(__xludf.DUMMYFUNCTION("GoogleTranslate(C198, ""en"", ""nb"")"),"Moderat")</f>
        <v>Moderat</v>
      </c>
      <c r="AV198" s="7" t="str">
        <f>IFERROR(__xludf.DUMMYFUNCTION("GoogleTranslate(C198, ""en"", ""fa"")"),"متوسط")</f>
        <v>متوسط</v>
      </c>
      <c r="AW198" s="7" t="str">
        <f>IFERROR(__xludf.DUMMYFUNCTION("GoogleTranslate(C198, ""en"", ""pl"")"),"Umiarkowany")</f>
        <v>Umiarkowany</v>
      </c>
      <c r="AX198" s="7" t="str">
        <f>IFERROR(__xludf.DUMMYFUNCTION("GoogleTranslate(C198, ""en"", ""pt"")"),"Moderado")</f>
        <v>Moderado</v>
      </c>
      <c r="AY198" s="7" t="str">
        <f>IFERROR(__xludf.DUMMYFUNCTION("GoogleTranslate(C198, ""en"", ""ro"")"),"Moderat")</f>
        <v>Moderat</v>
      </c>
      <c r="AZ198" s="7" t="str">
        <f>IFERROR(__xludf.DUMMYFUNCTION("GoogleTranslate(C198, ""en"", ""ru"")"),"Умеренный")</f>
        <v>Умеренный</v>
      </c>
      <c r="BA198" s="7" t="str">
        <f>IFERROR(__xludf.DUMMYFUNCTION("GoogleTranslate(C198, ""en"", ""sr"")"),"Умерено")</f>
        <v>Умерено</v>
      </c>
      <c r="BB198" s="7" t="str">
        <f>IFERROR(__xludf.DUMMYFUNCTION("GoogleTranslate(C198, ""en"", ""si"")"),"මධ්යස්ථ")</f>
        <v>මධ්යස්ථ</v>
      </c>
      <c r="BC198" s="7" t="str">
        <f>IFERROR(__xludf.DUMMYFUNCTION("GoogleTranslate(C198, ""en"", ""sk"")"),"Mierne")</f>
        <v>Mierne</v>
      </c>
      <c r="BD198" s="7" t="str">
        <f>IFERROR(__xludf.DUMMYFUNCTION("GoogleTranslate(C198, ""en"", ""sl"")"),"Zmerno")</f>
        <v>Zmerno</v>
      </c>
      <c r="BE198" s="7" t="str">
        <f>IFERROR(__xludf.DUMMYFUNCTION("GoogleTranslate(C198, ""en"", ""es"")"),"Moderado")</f>
        <v>Moderado</v>
      </c>
      <c r="BF198" s="7" t="str">
        <f>IFERROR(__xludf.DUMMYFUNCTION("GoogleTranslate(C198, ""en"", ""sw"")"),"Wastani")</f>
        <v>Wastani</v>
      </c>
      <c r="BG198" s="7" t="str">
        <f>IFERROR(__xludf.DUMMYFUNCTION("GoogleTranslate(C198, ""en"", ""sv"")"),"Måttlig")</f>
        <v>Måttlig</v>
      </c>
      <c r="BH198" s="7" t="str">
        <f>IFERROR(__xludf.DUMMYFUNCTION("GoogleTranslate(C198, ""en"", ""te"")"),"మితమైన")</f>
        <v>మితమైన</v>
      </c>
      <c r="BI198" s="7" t="str">
        <f>IFERROR(__xludf.DUMMYFUNCTION("GoogleTranslate(C198, ""en"", ""th"")"),"ปานกลาง")</f>
        <v>ปานกลาง</v>
      </c>
      <c r="BJ198" s="7" t="str">
        <f>IFERROR(__xludf.DUMMYFUNCTION("GoogleTranslate(C198, ""en"", ""tr"")"),"Ilıman")</f>
        <v>Ilıman</v>
      </c>
      <c r="BK198" s="7" t="str">
        <f>IFERROR(__xludf.DUMMYFUNCTION("GoogleTranslate(C198, ""en"", ""uk"")"),"Помірний")</f>
        <v>Помірний</v>
      </c>
      <c r="BL198" s="7" t="str">
        <f>IFERROR(__xludf.DUMMYFUNCTION("GoogleTranslate(C198, ""en"", ""zu"")"),"Kuphakathi")</f>
        <v>Kuphakathi</v>
      </c>
    </row>
    <row r="199">
      <c r="A199" s="5" t="str">
        <f t="shared" si="1"/>
        <v>High</v>
      </c>
      <c r="B199" s="4" t="s">
        <v>107</v>
      </c>
      <c r="C199" s="4" t="s">
        <v>107</v>
      </c>
      <c r="D199" s="7" t="str">
        <f>IFERROR(__xludf.DUMMYFUNCTION("GoogleTranslate(C199, ""en"", ""es"")"),"Alto")</f>
        <v>Alto</v>
      </c>
      <c r="E199" s="7" t="str">
        <f>IFERROR(__xludf.DUMMYFUNCTION("GoogleTranslate(C199, ""en"", ""ar"")"),"عالي")</f>
        <v>عالي</v>
      </c>
      <c r="F199" s="7" t="str">
        <f>IFERROR(__xludf.DUMMYFUNCTION("GoogleTranslate(C199, ""en"", ""hy"")"),"Բարձր")</f>
        <v>Բարձր</v>
      </c>
      <c r="G199" s="7" t="str">
        <f>IFERROR(__xludf.DUMMYFUNCTION("GoogleTranslate(C199, ""en"", ""vi"")"),"Cao")</f>
        <v>Cao</v>
      </c>
      <c r="H199" s="7" t="str">
        <f>IFERROR(__xludf.DUMMYFUNCTION("GoogleTranslate(C199, ""en"", ""az"")"),"Yüksək")</f>
        <v>Yüksək</v>
      </c>
      <c r="I199" s="7" t="str">
        <f>IFERROR(__xludf.DUMMYFUNCTION("GoogleTranslate(C199, ""en"", ""eu"")"),"Alta")</f>
        <v>Alta</v>
      </c>
      <c r="J199" s="7" t="str">
        <f>IFERROR(__xludf.DUMMYFUNCTION("GoogleTranslate(C199, ""en"", ""be"")"),"Высокі")</f>
        <v>Высокі</v>
      </c>
      <c r="K199" s="7" t="str">
        <f>IFERROR(__xludf.DUMMYFUNCTION("GoogleTranslate(C199, ""en"", ""bn"")"),"উচ্চ")</f>
        <v>উচ্চ</v>
      </c>
      <c r="L199" s="7" t="str">
        <f>IFERROR(__xludf.DUMMYFUNCTION("GoogleTranslate(C199, ""en"", ""bg"")"),"високо")</f>
        <v>високо</v>
      </c>
      <c r="M199" s="7" t="str">
        <f>IFERROR(__xludf.DUMMYFUNCTION("GoogleTranslate(C199, ""en"", ""my"")"),"မြင့်သည်။")</f>
        <v>မြင့်သည်။</v>
      </c>
      <c r="N199" s="7" t="str">
        <f>IFERROR(__xludf.DUMMYFUNCTION("GoogleTranslate(C199, ""en"", ""ca"")"),"Alt")</f>
        <v>Alt</v>
      </c>
      <c r="O199" s="7" t="str">
        <f>IFERROR(__xludf.DUMMYFUNCTION("GoogleTranslate(C199, ""en"", ""zh-cn"")"),"高的")</f>
        <v>高的</v>
      </c>
      <c r="P199" s="7" t="str">
        <f>IFERROR(__xludf.DUMMYFUNCTION("GoogleTranslate(C199, ""en"", ""zh-TW"")"),"高的")</f>
        <v>高的</v>
      </c>
      <c r="Q199" s="7" t="str">
        <f>IFERROR(__xludf.DUMMYFUNCTION("GoogleTranslate(C199, ""en"", ""hr"")"),"visoko")</f>
        <v>visoko</v>
      </c>
      <c r="R199" s="7" t="str">
        <f>IFERROR(__xludf.DUMMYFUNCTION("GoogleTranslate(C199, ""en"", ""cs"")"),"Vysoký")</f>
        <v>Vysoký</v>
      </c>
      <c r="S199" s="7" t="str">
        <f>IFERROR(__xludf.DUMMYFUNCTION("GoogleTranslate(C199, ""en"", ""da"")"),"Høj")</f>
        <v>Høj</v>
      </c>
      <c r="T199" s="7" t="str">
        <f>IFERROR(__xludf.DUMMYFUNCTION("GoogleTranslate(C199, ""en"", ""nl"")"),"Hoog")</f>
        <v>Hoog</v>
      </c>
      <c r="U199" s="7" t="str">
        <f>IFERROR(__xludf.DUMMYFUNCTION("GoogleTranslate(C199, ""en"", ""et"")"),"Kõrge")</f>
        <v>Kõrge</v>
      </c>
      <c r="V199" s="5" t="str">
        <f t="shared" si="3"/>
        <v>High</v>
      </c>
      <c r="W199" s="7" t="str">
        <f>IFERROR(__xludf.DUMMYFUNCTION("GoogleTranslate(C199, ""en"", ""fi"")"),"Korkea")</f>
        <v>Korkea</v>
      </c>
      <c r="X199" s="7" t="str">
        <f>IFERROR(__xludf.DUMMYFUNCTION("GoogleTranslate(C199, ""en"", ""fr"")"),"Haut")</f>
        <v>Haut</v>
      </c>
      <c r="Y199" s="7" t="str">
        <f>IFERROR(__xludf.DUMMYFUNCTION("GoogleTranslate(C199, ""en"", ""de"")"),"Hoch")</f>
        <v>Hoch</v>
      </c>
      <c r="Z199" s="7" t="str">
        <f>IFERROR(__xludf.DUMMYFUNCTION("GoogleTranslate(C199, ""en"", ""el"")"),"Ψηλά")</f>
        <v>Ψηλά</v>
      </c>
      <c r="AA199" s="7" t="str">
        <f>IFERROR(__xludf.DUMMYFUNCTION("GoogleTranslate(C199, ""en"", ""iw"")"),"גָבוֹהַ")</f>
        <v>גָבוֹהַ</v>
      </c>
      <c r="AB199" s="7" t="str">
        <f>IFERROR(__xludf.DUMMYFUNCTION("GoogleTranslate(C199, ""en"", ""hi"")"),"उच्च")</f>
        <v>उच्च</v>
      </c>
      <c r="AC199" s="7" t="str">
        <f>IFERROR(__xludf.DUMMYFUNCTION("GoogleTranslate(C199, ""en"", ""hu"")"),"Magas")</f>
        <v>Magas</v>
      </c>
      <c r="AD199" s="7" t="str">
        <f>IFERROR(__xludf.DUMMYFUNCTION("GoogleTranslate(C199, ""en"", ""is"")"),"Hátt")</f>
        <v>Hátt</v>
      </c>
      <c r="AE199" s="7" t="str">
        <f>IFERROR(__xludf.DUMMYFUNCTION("GoogleTranslate(C199, ""en"", ""id"")"),"Tinggi")</f>
        <v>Tinggi</v>
      </c>
      <c r="AF199" s="7" t="str">
        <f>IFERROR(__xludf.DUMMYFUNCTION("GoogleTranslate(C199, ""en"", ""in"")"),"Tinggi")</f>
        <v>Tinggi</v>
      </c>
      <c r="AG199" s="7" t="str">
        <f>IFERROR(__xludf.DUMMYFUNCTION("GoogleTranslate(C199, ""en"", ""it"")"),"Alto")</f>
        <v>Alto</v>
      </c>
      <c r="AH199" s="7" t="str">
        <f>IFERROR(__xludf.DUMMYFUNCTION("GoogleTranslate(C199, ""en"", ""ja"")"),"高い")</f>
        <v>高い</v>
      </c>
      <c r="AI199" s="7" t="str">
        <f>IFERROR(__xludf.DUMMYFUNCTION("GoogleTranslate(C199, ""en"", ""kn"")"),"ಹೆಚ್ಚು")</f>
        <v>ಹೆಚ್ಚು</v>
      </c>
      <c r="AJ199" s="7" t="str">
        <f>IFERROR(__xludf.DUMMYFUNCTION("GoogleTranslate(C199, ""en"", ""km"")"),"ខ្ពស់។")</f>
        <v>ខ្ពស់។</v>
      </c>
      <c r="AK199" s="7" t="str">
        <f>IFERROR(__xludf.DUMMYFUNCTION("GoogleTranslate(C199, ""en"", ""ko"")"),"높은")</f>
        <v>높은</v>
      </c>
      <c r="AL199" s="7" t="str">
        <f>IFERROR(__xludf.DUMMYFUNCTION("GoogleTranslate(C199, ""en"", ""lo"")"),"ສູງ")</f>
        <v>ສູງ</v>
      </c>
      <c r="AM199" s="7" t="str">
        <f>IFERROR(__xludf.DUMMYFUNCTION("GoogleTranslate(C199, ""en"", ""lv"")"),"Augsts")</f>
        <v>Augsts</v>
      </c>
      <c r="AN199" s="7" t="str">
        <f>IFERROR(__xludf.DUMMYFUNCTION("GoogleTranslate(C199, ""en"", ""lt"")"),"Aukštas")</f>
        <v>Aukštas</v>
      </c>
      <c r="AO199" s="7" t="str">
        <f>IFERROR(__xludf.DUMMYFUNCTION("GoogleTranslate(C199, ""en"", ""mk"")"),"Високо")</f>
        <v>Високо</v>
      </c>
      <c r="AP199" s="7" t="str">
        <f>IFERROR(__xludf.DUMMYFUNCTION("GoogleTranslate(C199, ""en"", ""ms"")"),"tinggi")</f>
        <v>tinggi</v>
      </c>
      <c r="AQ199" s="7" t="str">
        <f>IFERROR(__xludf.DUMMYFUNCTION("GoogleTranslate(C199, ""en"", ""ml"")"),"ഉയർന്നത്")</f>
        <v>ഉയർന്നത്</v>
      </c>
      <c r="AR199" s="7" t="str">
        <f>IFERROR(__xludf.DUMMYFUNCTION("GoogleTranslate(C199, ""en"", ""mr"")"),"उच्च")</f>
        <v>उच्च</v>
      </c>
      <c r="AS199" s="7" t="str">
        <f>IFERROR(__xludf.DUMMYFUNCTION("GoogleTranslate(C199, ""en"", ""mn"")"),"Өндөр")</f>
        <v>Өндөр</v>
      </c>
      <c r="AT199" s="7" t="str">
        <f>IFERROR(__xludf.DUMMYFUNCTION("GoogleTranslate(C199, ""en"", ""ne"")"),"उच्च")</f>
        <v>उच्च</v>
      </c>
      <c r="AU199" s="7" t="str">
        <f>IFERROR(__xludf.DUMMYFUNCTION("GoogleTranslate(C199, ""en"", ""nb"")"),"Høy")</f>
        <v>Høy</v>
      </c>
      <c r="AV199" s="7" t="str">
        <f>IFERROR(__xludf.DUMMYFUNCTION("GoogleTranslate(C199, ""en"", ""fa"")"),"بالا")</f>
        <v>بالا</v>
      </c>
      <c r="AW199" s="7" t="str">
        <f>IFERROR(__xludf.DUMMYFUNCTION("GoogleTranslate(C199, ""en"", ""pl"")"),"Wysoki")</f>
        <v>Wysoki</v>
      </c>
      <c r="AX199" s="7" t="str">
        <f>IFERROR(__xludf.DUMMYFUNCTION("GoogleTranslate(C199, ""en"", ""pt"")"),"Alto")</f>
        <v>Alto</v>
      </c>
      <c r="AY199" s="7" t="str">
        <f>IFERROR(__xludf.DUMMYFUNCTION("GoogleTranslate(C199, ""en"", ""ro"")"),"Ridicat")</f>
        <v>Ridicat</v>
      </c>
      <c r="AZ199" s="7" t="str">
        <f>IFERROR(__xludf.DUMMYFUNCTION("GoogleTranslate(C199, ""en"", ""ru"")"),"Высокий")</f>
        <v>Высокий</v>
      </c>
      <c r="BA199" s="7" t="str">
        <f>IFERROR(__xludf.DUMMYFUNCTION("GoogleTranslate(C199, ""en"", ""sr"")"),"Високо")</f>
        <v>Високо</v>
      </c>
      <c r="BB199" s="7" t="str">
        <f>IFERROR(__xludf.DUMMYFUNCTION("GoogleTranslate(C199, ""en"", ""si"")"),"ඉහළ")</f>
        <v>ඉහළ</v>
      </c>
      <c r="BC199" s="7" t="str">
        <f>IFERROR(__xludf.DUMMYFUNCTION("GoogleTranslate(C199, ""en"", ""sk"")"),"Vysoká")</f>
        <v>Vysoká</v>
      </c>
      <c r="BD199" s="7" t="str">
        <f>IFERROR(__xludf.DUMMYFUNCTION("GoogleTranslate(C199, ""en"", ""sl"")"),"visoko")</f>
        <v>visoko</v>
      </c>
      <c r="BE199" s="7" t="str">
        <f>IFERROR(__xludf.DUMMYFUNCTION("GoogleTranslate(C199, ""en"", ""es"")"),"Alto")</f>
        <v>Alto</v>
      </c>
      <c r="BF199" s="7" t="str">
        <f>IFERROR(__xludf.DUMMYFUNCTION("GoogleTranslate(C199, ""en"", ""sw"")"),"Juu")</f>
        <v>Juu</v>
      </c>
      <c r="BG199" s="7" t="str">
        <f>IFERROR(__xludf.DUMMYFUNCTION("GoogleTranslate(C199, ""en"", ""sv"")"),"Hög")</f>
        <v>Hög</v>
      </c>
      <c r="BH199" s="7" t="str">
        <f>IFERROR(__xludf.DUMMYFUNCTION("GoogleTranslate(C199, ""en"", ""te"")"),"అధిక")</f>
        <v>అధిక</v>
      </c>
      <c r="BI199" s="7" t="str">
        <f>IFERROR(__xludf.DUMMYFUNCTION("GoogleTranslate(C199, ""en"", ""th"")"),"สูง")</f>
        <v>สูง</v>
      </c>
      <c r="BJ199" s="7" t="str">
        <f>IFERROR(__xludf.DUMMYFUNCTION("GoogleTranslate(C199, ""en"", ""tr"")"),"Yüksek")</f>
        <v>Yüksek</v>
      </c>
      <c r="BK199" s="7" t="str">
        <f>IFERROR(__xludf.DUMMYFUNCTION("GoogleTranslate(C199, ""en"", ""uk"")"),"Високий")</f>
        <v>Високий</v>
      </c>
      <c r="BL199" s="7" t="str">
        <f>IFERROR(__xludf.DUMMYFUNCTION("GoogleTranslate(C199, ""en"", ""zu"")"),"Phezulu")</f>
        <v>Phezulu</v>
      </c>
    </row>
    <row r="200">
      <c r="A200" s="5" t="str">
        <f t="shared" si="1"/>
        <v>Very_High</v>
      </c>
      <c r="B200" s="4" t="s">
        <v>250</v>
      </c>
      <c r="C200" s="4" t="s">
        <v>250</v>
      </c>
      <c r="D200" s="7" t="str">
        <f>IFERROR(__xludf.DUMMYFUNCTION("GoogleTranslate(C200, ""en"", ""es"")"),"muy alto")</f>
        <v>muy alto</v>
      </c>
      <c r="E200" s="7" t="str">
        <f>IFERROR(__xludf.DUMMYFUNCTION("GoogleTranslate(C200, ""en"", ""ar"")"),"عالية جدًا")</f>
        <v>عالية جدًا</v>
      </c>
      <c r="F200" s="7" t="str">
        <f>IFERROR(__xludf.DUMMYFUNCTION("GoogleTranslate(C200, ""en"", ""hy"")"),"Շատ բարձր")</f>
        <v>Շատ բարձր</v>
      </c>
      <c r="G200" s="7" t="str">
        <f>IFERROR(__xludf.DUMMYFUNCTION("GoogleTranslate(C200, ""en"", ""vi"")"),"Rất cao")</f>
        <v>Rất cao</v>
      </c>
      <c r="H200" s="7" t="str">
        <f>IFERROR(__xludf.DUMMYFUNCTION("GoogleTranslate(C200, ""en"", ""az"")"),"Çox Yüksək")</f>
        <v>Çox Yüksək</v>
      </c>
      <c r="I200" s="7" t="str">
        <f>IFERROR(__xludf.DUMMYFUNCTION("GoogleTranslate(C200, ""en"", ""eu"")"),"Oso altua")</f>
        <v>Oso altua</v>
      </c>
      <c r="J200" s="7" t="str">
        <f>IFERROR(__xludf.DUMMYFUNCTION("GoogleTranslate(C200, ""en"", ""be"")"),"Вельмі высокі")</f>
        <v>Вельмі высокі</v>
      </c>
      <c r="K200" s="7" t="str">
        <f>IFERROR(__xludf.DUMMYFUNCTION("GoogleTranslate(C200, ""en"", ""bn"")"),"খুব উচ্চ")</f>
        <v>খুব উচ্চ</v>
      </c>
      <c r="L200" s="7" t="str">
        <f>IFERROR(__xludf.DUMMYFUNCTION("GoogleTranslate(C200, ""en"", ""bg"")"),"Много високо")</f>
        <v>Много високо</v>
      </c>
      <c r="M200" s="7" t="str">
        <f>IFERROR(__xludf.DUMMYFUNCTION("GoogleTranslate(C200, ""en"", ""my"")"),"အရမ်းမြင့်တယ်။")</f>
        <v>အရမ်းမြင့်တယ်။</v>
      </c>
      <c r="N200" s="7" t="str">
        <f>IFERROR(__xludf.DUMMYFUNCTION("GoogleTranslate(C200, ""en"", ""ca"")"),"Molt alt")</f>
        <v>Molt alt</v>
      </c>
      <c r="O200" s="7" t="str">
        <f>IFERROR(__xludf.DUMMYFUNCTION("GoogleTranslate(C200, ""en"", ""zh-cn"")"),"非常高")</f>
        <v>非常高</v>
      </c>
      <c r="P200" s="7" t="str">
        <f>IFERROR(__xludf.DUMMYFUNCTION("GoogleTranslate(C200, ""en"", ""zh-TW"")"),"非常高")</f>
        <v>非常高</v>
      </c>
      <c r="Q200" s="7" t="str">
        <f>IFERROR(__xludf.DUMMYFUNCTION("GoogleTranslate(C200, ""en"", ""hr"")"),"Vrlo visoko")</f>
        <v>Vrlo visoko</v>
      </c>
      <c r="R200" s="7" t="str">
        <f>IFERROR(__xludf.DUMMYFUNCTION("GoogleTranslate(C200, ""en"", ""cs"")"),"Velmi vysoká")</f>
        <v>Velmi vysoká</v>
      </c>
      <c r="S200" s="7" t="str">
        <f>IFERROR(__xludf.DUMMYFUNCTION("GoogleTranslate(C200, ""en"", ""da"")"),"Meget høj")</f>
        <v>Meget høj</v>
      </c>
      <c r="T200" s="7" t="str">
        <f>IFERROR(__xludf.DUMMYFUNCTION("GoogleTranslate(C200, ""en"", ""nl"")"),"Zeer hoog")</f>
        <v>Zeer hoog</v>
      </c>
      <c r="U200" s="7" t="str">
        <f>IFERROR(__xludf.DUMMYFUNCTION("GoogleTranslate(C200, ""en"", ""et"")"),"Väga kõrge")</f>
        <v>Väga kõrge</v>
      </c>
      <c r="V200" s="5" t="str">
        <f t="shared" si="3"/>
        <v>Very High</v>
      </c>
      <c r="W200" s="7" t="str">
        <f>IFERROR(__xludf.DUMMYFUNCTION("GoogleTranslate(C200, ""en"", ""fi"")"),"Erittäin korkea")</f>
        <v>Erittäin korkea</v>
      </c>
      <c r="X200" s="7" t="str">
        <f>IFERROR(__xludf.DUMMYFUNCTION("GoogleTranslate(C200, ""en"", ""fr"")"),"Très élevé")</f>
        <v>Très élevé</v>
      </c>
      <c r="Y200" s="7" t="str">
        <f>IFERROR(__xludf.DUMMYFUNCTION("GoogleTranslate(C200, ""en"", ""de"")"),"Sehr hoch")</f>
        <v>Sehr hoch</v>
      </c>
      <c r="Z200" s="7" t="str">
        <f>IFERROR(__xludf.DUMMYFUNCTION("GoogleTranslate(C200, ""en"", ""el"")"),"Πολύ ψηλά")</f>
        <v>Πολύ ψηλά</v>
      </c>
      <c r="AA200" s="7" t="str">
        <f>IFERROR(__xludf.DUMMYFUNCTION("GoogleTranslate(C200, ""en"", ""iw"")"),"גבוה מאוד")</f>
        <v>גבוה מאוד</v>
      </c>
      <c r="AB200" s="7" t="str">
        <f>IFERROR(__xludf.DUMMYFUNCTION("GoogleTranslate(C200, ""en"", ""hi"")"),"बहुत ऊँचा")</f>
        <v>बहुत ऊँचा</v>
      </c>
      <c r="AC200" s="7" t="str">
        <f>IFERROR(__xludf.DUMMYFUNCTION("GoogleTranslate(C200, ""en"", ""hu"")"),"Nagyon magas")</f>
        <v>Nagyon magas</v>
      </c>
      <c r="AD200" s="7" t="str">
        <f>IFERROR(__xludf.DUMMYFUNCTION("GoogleTranslate(C200, ""en"", ""is"")"),"Mjög hár")</f>
        <v>Mjög hár</v>
      </c>
      <c r="AE200" s="7" t="str">
        <f>IFERROR(__xludf.DUMMYFUNCTION("GoogleTranslate(C200, ""en"", ""id"")"),"Sangat Tinggi")</f>
        <v>Sangat Tinggi</v>
      </c>
      <c r="AF200" s="7" t="str">
        <f>IFERROR(__xludf.DUMMYFUNCTION("GoogleTranslate(C200, ""en"", ""in"")"),"Sangat Tinggi")</f>
        <v>Sangat Tinggi</v>
      </c>
      <c r="AG200" s="7" t="str">
        <f>IFERROR(__xludf.DUMMYFUNCTION("GoogleTranslate(C200, ""en"", ""it"")"),"Molto alto")</f>
        <v>Molto alto</v>
      </c>
      <c r="AH200" s="7" t="str">
        <f>IFERROR(__xludf.DUMMYFUNCTION("GoogleTranslate(C200, ""en"", ""ja"")"),"非常に高い")</f>
        <v>非常に高い</v>
      </c>
      <c r="AI200" s="7" t="str">
        <f>IFERROR(__xludf.DUMMYFUNCTION("GoogleTranslate(C200, ""en"", ""kn"")"),"ಅತಿ ಹೆಚ್ಚು")</f>
        <v>ಅತಿ ಹೆಚ್ಚು</v>
      </c>
      <c r="AJ200" s="7" t="str">
        <f>IFERROR(__xludf.DUMMYFUNCTION("GoogleTranslate(C200, ""en"", ""km"")"),"ខ្ពស់ណាស់។")</f>
        <v>ខ្ពស់ណាស់។</v>
      </c>
      <c r="AK200" s="7" t="str">
        <f>IFERROR(__xludf.DUMMYFUNCTION("GoogleTranslate(C200, ""en"", ""ko"")"),"매우 높음")</f>
        <v>매우 높음</v>
      </c>
      <c r="AL200" s="7" t="str">
        <f>IFERROR(__xludf.DUMMYFUNCTION("GoogleTranslate(C200, ""en"", ""lo"")"),"ສູງຫຼາຍ")</f>
        <v>ສູງຫຼາຍ</v>
      </c>
      <c r="AM200" s="7" t="str">
        <f>IFERROR(__xludf.DUMMYFUNCTION("GoogleTranslate(C200, ""en"", ""lv"")"),"Ļoti augsts")</f>
        <v>Ļoti augsts</v>
      </c>
      <c r="AN200" s="7" t="str">
        <f>IFERROR(__xludf.DUMMYFUNCTION("GoogleTranslate(C200, ""en"", ""lt"")"),"Labai Aukštas")</f>
        <v>Labai Aukštas</v>
      </c>
      <c r="AO200" s="7" t="str">
        <f>IFERROR(__xludf.DUMMYFUNCTION("GoogleTranslate(C200, ""en"", ""mk"")"),"Многу високо")</f>
        <v>Многу високо</v>
      </c>
      <c r="AP200" s="7" t="str">
        <f>IFERROR(__xludf.DUMMYFUNCTION("GoogleTranslate(C200, ""en"", ""ms"")"),"Sangat Tinggi")</f>
        <v>Sangat Tinggi</v>
      </c>
      <c r="AQ200" s="7" t="str">
        <f>IFERROR(__xludf.DUMMYFUNCTION("GoogleTranslate(C200, ""en"", ""ml"")"),"വളരെ ഉയർന്നത്")</f>
        <v>വളരെ ഉയർന്നത്</v>
      </c>
      <c r="AR200" s="7" t="str">
        <f>IFERROR(__xludf.DUMMYFUNCTION("GoogleTranslate(C200, ""en"", ""mr"")"),"खूप उच्च")</f>
        <v>खूप उच्च</v>
      </c>
      <c r="AS200" s="7" t="str">
        <f>IFERROR(__xludf.DUMMYFUNCTION("GoogleTranslate(C200, ""en"", ""mn"")"),"Маш өндөр")</f>
        <v>Маш өндөр</v>
      </c>
      <c r="AT200" s="7" t="str">
        <f>IFERROR(__xludf.DUMMYFUNCTION("GoogleTranslate(C200, ""en"", ""ne"")"),"अति उच्च")</f>
        <v>अति उच्च</v>
      </c>
      <c r="AU200" s="7" t="str">
        <f>IFERROR(__xludf.DUMMYFUNCTION("GoogleTranslate(C200, ""en"", ""nb"")"),"Veldig høy")</f>
        <v>Veldig høy</v>
      </c>
      <c r="AV200" s="7" t="str">
        <f>IFERROR(__xludf.DUMMYFUNCTION("GoogleTranslate(C200, ""en"", ""fa"")"),"بسیار بالا")</f>
        <v>بسیار بالا</v>
      </c>
      <c r="AW200" s="7" t="str">
        <f>IFERROR(__xludf.DUMMYFUNCTION("GoogleTranslate(C200, ""en"", ""pl"")"),"Bardzo wysoki")</f>
        <v>Bardzo wysoki</v>
      </c>
      <c r="AX200" s="7" t="str">
        <f>IFERROR(__xludf.DUMMYFUNCTION("GoogleTranslate(C200, ""en"", ""pt"")"),"Muito alto")</f>
        <v>Muito alto</v>
      </c>
      <c r="AY200" s="7" t="str">
        <f>IFERROR(__xludf.DUMMYFUNCTION("GoogleTranslate(C200, ""en"", ""ro"")"),"Foarte sus")</f>
        <v>Foarte sus</v>
      </c>
      <c r="AZ200" s="7" t="str">
        <f>IFERROR(__xludf.DUMMYFUNCTION("GoogleTranslate(C200, ""en"", ""ru"")"),"Очень высокий")</f>
        <v>Очень высокий</v>
      </c>
      <c r="BA200" s="7" t="str">
        <f>IFERROR(__xludf.DUMMYFUNCTION("GoogleTranslate(C200, ""en"", ""sr"")"),"Врло високо")</f>
        <v>Врло високо</v>
      </c>
      <c r="BB200" s="7" t="str">
        <f>IFERROR(__xludf.DUMMYFUNCTION("GoogleTranslate(C200, ""en"", ""si"")"),"ඉතා උසස්")</f>
        <v>ඉතා උසස්</v>
      </c>
      <c r="BC200" s="7" t="str">
        <f>IFERROR(__xludf.DUMMYFUNCTION("GoogleTranslate(C200, ""en"", ""sk"")"),"Veľmi vysoká")</f>
        <v>Veľmi vysoká</v>
      </c>
      <c r="BD200" s="7" t="str">
        <f>IFERROR(__xludf.DUMMYFUNCTION("GoogleTranslate(C200, ""en"", ""sl"")"),"Zelo visoko")</f>
        <v>Zelo visoko</v>
      </c>
      <c r="BE200" s="7" t="str">
        <f>IFERROR(__xludf.DUMMYFUNCTION("GoogleTranslate(C200, ""en"", ""es"")"),"muy alto")</f>
        <v>muy alto</v>
      </c>
      <c r="BF200" s="7" t="str">
        <f>IFERROR(__xludf.DUMMYFUNCTION("GoogleTranslate(C200, ""en"", ""sw"")"),"Juu Sana")</f>
        <v>Juu Sana</v>
      </c>
      <c r="BG200" s="7" t="str">
        <f>IFERROR(__xludf.DUMMYFUNCTION("GoogleTranslate(C200, ""en"", ""sv"")"),"Mycket hög")</f>
        <v>Mycket hög</v>
      </c>
      <c r="BH200" s="7" t="str">
        <f>IFERROR(__xludf.DUMMYFUNCTION("GoogleTranslate(C200, ""en"", ""te"")"),"చాలా ఎక్కువ")</f>
        <v>చాలా ఎక్కువ</v>
      </c>
      <c r="BI200" s="7" t="str">
        <f>IFERROR(__xludf.DUMMYFUNCTION("GoogleTranslate(C200, ""en"", ""th"")"),"สูงมาก")</f>
        <v>สูงมาก</v>
      </c>
      <c r="BJ200" s="7" t="str">
        <f>IFERROR(__xludf.DUMMYFUNCTION("GoogleTranslate(C200, ""en"", ""tr"")"),"Çok Yüksek")</f>
        <v>Çok Yüksek</v>
      </c>
      <c r="BK200" s="7" t="str">
        <f>IFERROR(__xludf.DUMMYFUNCTION("GoogleTranslate(C200, ""en"", ""uk"")"),"Дуже висока")</f>
        <v>Дуже висока</v>
      </c>
      <c r="BL200" s="7" t="str">
        <f>IFERROR(__xludf.DUMMYFUNCTION("GoogleTranslate(C200, ""en"", ""zu"")"),"Phezulu kakhulu")</f>
        <v>Phezulu kakhulu</v>
      </c>
    </row>
    <row r="201">
      <c r="A201" s="5" t="str">
        <f t="shared" si="1"/>
        <v>Extreme</v>
      </c>
      <c r="B201" s="4" t="s">
        <v>251</v>
      </c>
      <c r="C201" s="4" t="s">
        <v>251</v>
      </c>
      <c r="D201" s="7" t="str">
        <f>IFERROR(__xludf.DUMMYFUNCTION("GoogleTranslate(C201, ""en"", ""es"")"),"Extremo")</f>
        <v>Extremo</v>
      </c>
      <c r="E201" s="7" t="str">
        <f>IFERROR(__xludf.DUMMYFUNCTION("GoogleTranslate(C201, ""en"", ""ar"")"),"أقصى")</f>
        <v>أقصى</v>
      </c>
      <c r="F201" s="7" t="str">
        <f>IFERROR(__xludf.DUMMYFUNCTION("GoogleTranslate(C201, ""en"", ""hy"")"),"Ծայրահեղ")</f>
        <v>Ծայրահեղ</v>
      </c>
      <c r="G201" s="7" t="str">
        <f>IFERROR(__xludf.DUMMYFUNCTION("GoogleTranslate(C201, ""en"", ""vi"")"),"Vô cùng")</f>
        <v>Vô cùng</v>
      </c>
      <c r="H201" s="7" t="str">
        <f>IFERROR(__xludf.DUMMYFUNCTION("GoogleTranslate(C201, ""en"", ""az"")"),"Ekstremal")</f>
        <v>Ekstremal</v>
      </c>
      <c r="I201" s="7" t="str">
        <f>IFERROR(__xludf.DUMMYFUNCTION("GoogleTranslate(C201, ""en"", ""eu"")"),"Muturrekoa")</f>
        <v>Muturrekoa</v>
      </c>
      <c r="J201" s="7" t="str">
        <f>IFERROR(__xludf.DUMMYFUNCTION("GoogleTranslate(C201, ""en"", ""be"")"),"Экстрым")</f>
        <v>Экстрым</v>
      </c>
      <c r="K201" s="7" t="str">
        <f>IFERROR(__xludf.DUMMYFUNCTION("GoogleTranslate(C201, ""en"", ""bn"")"),"চরম")</f>
        <v>চরম</v>
      </c>
      <c r="L201" s="7" t="str">
        <f>IFERROR(__xludf.DUMMYFUNCTION("GoogleTranslate(C201, ""en"", ""bg"")"),"Екстремен")</f>
        <v>Екстремен</v>
      </c>
      <c r="M201" s="7" t="str">
        <f>IFERROR(__xludf.DUMMYFUNCTION("GoogleTranslate(C201, ""en"", ""my"")"),"အလွန်အကျူး")</f>
        <v>အလွန်အကျူး</v>
      </c>
      <c r="N201" s="7" t="str">
        <f>IFERROR(__xludf.DUMMYFUNCTION("GoogleTranslate(C201, ""en"", ""ca"")"),"Extrem")</f>
        <v>Extrem</v>
      </c>
      <c r="O201" s="7" t="str">
        <f>IFERROR(__xludf.DUMMYFUNCTION("GoogleTranslate(C201, ""en"", ""zh-cn"")"),"极端")</f>
        <v>极端</v>
      </c>
      <c r="P201" s="7" t="str">
        <f>IFERROR(__xludf.DUMMYFUNCTION("GoogleTranslate(C201, ""en"", ""zh-TW"")"),"極端")</f>
        <v>極端</v>
      </c>
      <c r="Q201" s="7" t="str">
        <f>IFERROR(__xludf.DUMMYFUNCTION("GoogleTranslate(C201, ""en"", ""hr"")"),"Ekstremno")</f>
        <v>Ekstremno</v>
      </c>
      <c r="R201" s="7" t="str">
        <f>IFERROR(__xludf.DUMMYFUNCTION("GoogleTranslate(C201, ""en"", ""cs"")"),"Extrémní")</f>
        <v>Extrémní</v>
      </c>
      <c r="S201" s="7" t="str">
        <f>IFERROR(__xludf.DUMMYFUNCTION("GoogleTranslate(C201, ""en"", ""da"")"),"Ekstrem")</f>
        <v>Ekstrem</v>
      </c>
      <c r="T201" s="7" t="str">
        <f>IFERROR(__xludf.DUMMYFUNCTION("GoogleTranslate(C201, ""en"", ""nl"")"),"Extreem")</f>
        <v>Extreem</v>
      </c>
      <c r="U201" s="7" t="str">
        <f>IFERROR(__xludf.DUMMYFUNCTION("GoogleTranslate(C201, ""en"", ""et"")"),"Ekstreemne")</f>
        <v>Ekstreemne</v>
      </c>
      <c r="V201" s="5" t="str">
        <f t="shared" si="3"/>
        <v>Extreme</v>
      </c>
      <c r="W201" s="7" t="str">
        <f>IFERROR(__xludf.DUMMYFUNCTION("GoogleTranslate(C201, ""en"", ""fi"")"),"Äärimmäistä")</f>
        <v>Äärimmäistä</v>
      </c>
      <c r="X201" s="7" t="str">
        <f>IFERROR(__xludf.DUMMYFUNCTION("GoogleTranslate(C201, ""en"", ""fr"")"),"Extrême")</f>
        <v>Extrême</v>
      </c>
      <c r="Y201" s="7" t="str">
        <f>IFERROR(__xludf.DUMMYFUNCTION("GoogleTranslate(C201, ""en"", ""de"")"),"Extrem")</f>
        <v>Extrem</v>
      </c>
      <c r="Z201" s="7" t="str">
        <f>IFERROR(__xludf.DUMMYFUNCTION("GoogleTranslate(C201, ""en"", ""el"")"),"Ακρο")</f>
        <v>Ακρο</v>
      </c>
      <c r="AA201" s="7" t="str">
        <f>IFERROR(__xludf.DUMMYFUNCTION("GoogleTranslate(C201, ""en"", ""iw"")"),"קיצוני")</f>
        <v>קיצוני</v>
      </c>
      <c r="AB201" s="7" t="str">
        <f>IFERROR(__xludf.DUMMYFUNCTION("GoogleTranslate(C201, ""en"", ""hi"")"),"चरम")</f>
        <v>चरम</v>
      </c>
      <c r="AC201" s="7" t="str">
        <f>IFERROR(__xludf.DUMMYFUNCTION("GoogleTranslate(C201, ""en"", ""hu"")"),"Szélső")</f>
        <v>Szélső</v>
      </c>
      <c r="AD201" s="7" t="str">
        <f>IFERROR(__xludf.DUMMYFUNCTION("GoogleTranslate(C201, ""en"", ""is"")"),"Öfgafullt")</f>
        <v>Öfgafullt</v>
      </c>
      <c r="AE201" s="7" t="str">
        <f>IFERROR(__xludf.DUMMYFUNCTION("GoogleTranslate(C201, ""en"", ""id"")"),"Ekstrim")</f>
        <v>Ekstrim</v>
      </c>
      <c r="AF201" s="7" t="str">
        <f>IFERROR(__xludf.DUMMYFUNCTION("GoogleTranslate(C201, ""en"", ""in"")"),"Ekstrim")</f>
        <v>Ekstrim</v>
      </c>
      <c r="AG201" s="7" t="str">
        <f>IFERROR(__xludf.DUMMYFUNCTION("GoogleTranslate(C201, ""en"", ""it"")"),"Estremo")</f>
        <v>Estremo</v>
      </c>
      <c r="AH201" s="7" t="str">
        <f>IFERROR(__xludf.DUMMYFUNCTION("GoogleTranslate(C201, ""en"", ""ja"")"),"過激")</f>
        <v>過激</v>
      </c>
      <c r="AI201" s="7" t="str">
        <f>IFERROR(__xludf.DUMMYFUNCTION("GoogleTranslate(C201, ""en"", ""kn"")"),"ವಿಪರೀತ")</f>
        <v>ವಿಪರೀತ</v>
      </c>
      <c r="AJ201" s="7" t="str">
        <f>IFERROR(__xludf.DUMMYFUNCTION("GoogleTranslate(C201, ""en"", ""km"")"),"ខ្លាំង")</f>
        <v>ខ្លាំង</v>
      </c>
      <c r="AK201" s="7" t="str">
        <f>IFERROR(__xludf.DUMMYFUNCTION("GoogleTranslate(C201, ""en"", ""ko"")"),"극심한")</f>
        <v>극심한</v>
      </c>
      <c r="AL201" s="7" t="str">
        <f>IFERROR(__xludf.DUMMYFUNCTION("GoogleTranslate(C201, ""en"", ""lo"")"),"ທີ່ສຸດ")</f>
        <v>ທີ່ສຸດ</v>
      </c>
      <c r="AM201" s="7" t="str">
        <f>IFERROR(__xludf.DUMMYFUNCTION("GoogleTranslate(C201, ""en"", ""lv"")"),"Ekstrēmi")</f>
        <v>Ekstrēmi</v>
      </c>
      <c r="AN201" s="7" t="str">
        <f>IFERROR(__xludf.DUMMYFUNCTION("GoogleTranslate(C201, ""en"", ""lt"")"),"Ekstremalus")</f>
        <v>Ekstremalus</v>
      </c>
      <c r="AO201" s="7" t="str">
        <f>IFERROR(__xludf.DUMMYFUNCTION("GoogleTranslate(C201, ""en"", ""mk"")"),"Екстремни")</f>
        <v>Екстремни</v>
      </c>
      <c r="AP201" s="7" t="str">
        <f>IFERROR(__xludf.DUMMYFUNCTION("GoogleTranslate(C201, ""en"", ""ms"")"),"melampau")</f>
        <v>melampau</v>
      </c>
      <c r="AQ201" s="7" t="str">
        <f>IFERROR(__xludf.DUMMYFUNCTION("GoogleTranslate(C201, ""en"", ""ml"")"),"അങ്ങേയറ്റം")</f>
        <v>അങ്ങേയറ്റം</v>
      </c>
      <c r="AR201" s="7" t="str">
        <f>IFERROR(__xludf.DUMMYFUNCTION("GoogleTranslate(C201, ""en"", ""mr"")"),"अत्यंत")</f>
        <v>अत्यंत</v>
      </c>
      <c r="AS201" s="7" t="str">
        <f>IFERROR(__xludf.DUMMYFUNCTION("GoogleTranslate(C201, ""en"", ""mn"")"),"Хэт их")</f>
        <v>Хэт их</v>
      </c>
      <c r="AT201" s="7" t="str">
        <f>IFERROR(__xludf.DUMMYFUNCTION("GoogleTranslate(C201, ""en"", ""ne"")"),"चरम")</f>
        <v>चरम</v>
      </c>
      <c r="AU201" s="7" t="str">
        <f>IFERROR(__xludf.DUMMYFUNCTION("GoogleTranslate(C201, ""en"", ""nb"")"),"Ekstrem")</f>
        <v>Ekstrem</v>
      </c>
      <c r="AV201" s="7" t="str">
        <f>IFERROR(__xludf.DUMMYFUNCTION("GoogleTranslate(C201, ""en"", ""fa"")"),"افراطی")</f>
        <v>افراطی</v>
      </c>
      <c r="AW201" s="7" t="str">
        <f>IFERROR(__xludf.DUMMYFUNCTION("GoogleTranslate(C201, ""en"", ""pl"")"),"Skrajny")</f>
        <v>Skrajny</v>
      </c>
      <c r="AX201" s="7" t="str">
        <f>IFERROR(__xludf.DUMMYFUNCTION("GoogleTranslate(C201, ""en"", ""pt"")"),"Extremo")</f>
        <v>Extremo</v>
      </c>
      <c r="AY201" s="7" t="str">
        <f>IFERROR(__xludf.DUMMYFUNCTION("GoogleTranslate(C201, ""en"", ""ro"")"),"Extrem")</f>
        <v>Extrem</v>
      </c>
      <c r="AZ201" s="7" t="str">
        <f>IFERROR(__xludf.DUMMYFUNCTION("GoogleTranslate(C201, ""en"", ""ru"")"),"Экстрим")</f>
        <v>Экстрим</v>
      </c>
      <c r="BA201" s="7" t="str">
        <f>IFERROR(__xludf.DUMMYFUNCTION("GoogleTranslate(C201, ""en"", ""sr"")"),"Екстремно")</f>
        <v>Екстремно</v>
      </c>
      <c r="BB201" s="7" t="str">
        <f>IFERROR(__xludf.DUMMYFUNCTION("GoogleTranslate(C201, ""en"", ""si"")"),"අන්ත")</f>
        <v>අන්ත</v>
      </c>
      <c r="BC201" s="7" t="str">
        <f>IFERROR(__xludf.DUMMYFUNCTION("GoogleTranslate(C201, ""en"", ""sk"")"),"Extrémne")</f>
        <v>Extrémne</v>
      </c>
      <c r="BD201" s="7" t="str">
        <f>IFERROR(__xludf.DUMMYFUNCTION("GoogleTranslate(C201, ""en"", ""sl"")"),"Ekstremno")</f>
        <v>Ekstremno</v>
      </c>
      <c r="BE201" s="7" t="str">
        <f>IFERROR(__xludf.DUMMYFUNCTION("GoogleTranslate(C201, ""en"", ""es"")"),"Extremo")</f>
        <v>Extremo</v>
      </c>
      <c r="BF201" s="7" t="str">
        <f>IFERROR(__xludf.DUMMYFUNCTION("GoogleTranslate(C201, ""en"", ""sw"")"),"Uliokithiri")</f>
        <v>Uliokithiri</v>
      </c>
      <c r="BG201" s="7" t="str">
        <f>IFERROR(__xludf.DUMMYFUNCTION("GoogleTranslate(C201, ""en"", ""sv"")"),"Extrem")</f>
        <v>Extrem</v>
      </c>
      <c r="BH201" s="7" t="str">
        <f>IFERROR(__xludf.DUMMYFUNCTION("GoogleTranslate(C201, ""en"", ""te"")"),"విపరీతమైనది")</f>
        <v>విపరీతమైనది</v>
      </c>
      <c r="BI201" s="7" t="str">
        <f>IFERROR(__xludf.DUMMYFUNCTION("GoogleTranslate(C201, ""en"", ""th"")"),"สุดขีด")</f>
        <v>สุดขีด</v>
      </c>
      <c r="BJ201" s="7" t="str">
        <f>IFERROR(__xludf.DUMMYFUNCTION("GoogleTranslate(C201, ""en"", ""tr"")"),"Aşırı")</f>
        <v>Aşırı</v>
      </c>
      <c r="BK201" s="7" t="str">
        <f>IFERROR(__xludf.DUMMYFUNCTION("GoogleTranslate(C201, ""en"", ""uk"")"),"Екстрім")</f>
        <v>Екстрім</v>
      </c>
      <c r="BL201" s="7" t="str">
        <f>IFERROR(__xludf.DUMMYFUNCTION("GoogleTranslate(C201, ""en"", ""zu"")"),"Okudlulele")</f>
        <v>Okudlulele</v>
      </c>
    </row>
    <row r="202">
      <c r="A202" s="5" t="str">
        <f t="shared" si="1"/>
        <v>Air_quality_is_acceptable._However,_there_may_be_a_risk_for_some_people,_particularly_those_who_are_unusually_sensitive_to_air_pollution.</v>
      </c>
      <c r="B202" s="4" t="s">
        <v>196</v>
      </c>
      <c r="C202" s="4" t="s">
        <v>196</v>
      </c>
      <c r="D202" s="7" t="str">
        <f>IFERROR(__xludf.DUMMYFUNCTION("GoogleTranslate(C202,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E202" s="7" t="str">
        <f>IFERROR(__xludf.DUMMYFUNCTION("GoogleTranslate(C202, ""en"", ""ar"")"),"جودة الهواء مقبولة. ومع ذلك، قد يكون هناك خطر بالنسبة لبعض الأشخاص، وخاصة أولئك الذين لديهم حساسية غير عادية لتلوث الهواء.")</f>
        <v>جودة الهواء مقبولة. ومع ذلك، قد يكون هناك خطر بالنسبة لبعض الأشخاص، وخاصة أولئك الذين لديهم حساسية غير عادية لتلوث الهواء.</v>
      </c>
      <c r="F202" s="7" t="str">
        <f>IFERROR(__xludf.DUMMYFUNCTION("GoogleTranslate(C202, ""en"", ""hy"")"),"Օդի որակը ընդունելի է։ Այնուամենայնիվ, որոշ մարդկանց համար կարող է վտանգ լինել, հատկապես նրանց համար, ովքեր անսովոր զգայուն են օդի աղտոտվածության նկատմամբ:")</f>
        <v>Օդի որակը ընդունելի է։ Այնուամենայնիվ, որոշ մարդկանց համար կարող է վտանգ լինել, հատկապես նրանց համար, ովքեր անսովոր զգայուն են օդի աղտոտվածության նկատմամբ:</v>
      </c>
      <c r="G202" s="7" t="str">
        <f>IFERROR(__xludf.DUMMYFUNCTION("GoogleTranslate(C202, ""en"", ""vi"")"),"Chất lượng không khí ở mức chấp nhận được. Tuy nhiên, có thể có rủi ro đối với một số người, đặc biệt là những người nhạy cảm bất thường với ô nhiễm không khí.")</f>
        <v>Chất lượng không khí ở mức chấp nhận được. Tuy nhiên, có thể có rủi ro đối với một số người, đặc biệt là những người nhạy cảm bất thường với ô nhiễm không khí.</v>
      </c>
      <c r="H202" s="7" t="str">
        <f>IFERROR(__xludf.DUMMYFUNCTION("GoogleTranslate(C202, ""en"", ""az"")"),"Hava keyfiyyəti məqbuldur. Bununla belə, bəzi insanlar, xüsusən də havanın çirklənməsinə qeyri-adi dərəcədə həssas olanlar üçün risk ola bilər.")</f>
        <v>Hava keyfiyyəti məqbuldur. Bununla belə, bəzi insanlar, xüsusən də havanın çirklənməsinə qeyri-adi dərəcədə həssas olanlar üçün risk ola bilər.</v>
      </c>
      <c r="I202" s="7" t="str">
        <f>IFERROR(__xludf.DUMMYFUNCTION("GoogleTranslate(C202, ""en"", ""eu"")"),"Airearen kalitatea onargarria da. Hala ere, arriskua egon daiteke pertsona batzuentzat, batez ere airearen kutsadurarekin ohiz sentikorrak direnentzat.")</f>
        <v>Airearen kalitatea onargarria da. Hala ere, arriskua egon daiteke pertsona batzuentzat, batez ere airearen kutsadurarekin ohiz sentikorrak direnentzat.</v>
      </c>
      <c r="J202" s="7" t="str">
        <f>IFERROR(__xludf.DUMMYFUNCTION("GoogleTranslate(C202, ""en"", ""be"")"),"Якасць паветра прымальная. Аднак для некаторых людзей, асабліва для тых, хто надзвычай адчувальны да забруджвання паветра, можа быць рызыка.")</f>
        <v>Якасць паветра прымальная. Аднак для некаторых людзей, асабліва для тых, хто надзвычай адчувальны да забруджвання паветра, можа быць рызыка.</v>
      </c>
      <c r="K202" s="7" t="str">
        <f>IFERROR(__xludf.DUMMYFUNCTION("GoogleTranslate(C202, ""en"", ""bn"")"),"বায়ুর মান গ্রহণযোগ্য। যাইহোক, কিছু লোকের জন্য ঝুঁকি থাকতে পারে, বিশেষ করে যারা বায়ু দূষণের প্রতি অস্বাভাবিকভাবে সংবেদনশীল।")</f>
        <v>বায়ুর মান গ্রহণযোগ্য। যাইহোক, কিছু লোকের জন্য ঝুঁকি থাকতে পারে, বিশেষ করে যারা বায়ু দূষণের প্রতি অস্বাভাবিকভাবে সংবেদনশীল।</v>
      </c>
      <c r="L202" s="7" t="str">
        <f>IFERROR(__xludf.DUMMYFUNCTION("GoogleTranslate(C202, ""en"", ""bg"")"),"Качеството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f>
        <v>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v>
      </c>
      <c r="M202" s="7" t="str">
        <f>IFERROR(__xludf.DUMMYFUNCTION("GoogleTranslate(C202, ""en"", ""my"")"),"လေထုအရည်အသွေးသည် လက်ခံနိုင်ဖွယ်ရှိသည်။ သို့ရာတွင်၊ အထူးသဖြင့် လေထုညစ်ညမ်းမှုကို ထူးထူးခြားခြား အာရုံမခံနိုင်သော လူအချို့အတွက် အန္တရာယ်ရှိနိုင်သည်။")</f>
        <v>လေထုအရည်အသွေးသည် လက်ခံနိုင်ဖွယ်ရှိသည်။ သို့ရာတွင်၊ အထူးသဖြင့် လေထုညစ်ညမ်းမှုကို ထူးထူးခြားခြား အာရုံမခံနိုင်သော လူအချို့အတွက် အန္တရာယ်ရှိနိုင်သည်။</v>
      </c>
      <c r="N202" s="7" t="str">
        <f>IFERROR(__xludf.DUMMYFUNCTION("GoogleTranslate(C202, ""en"", ""ca"")"),"La qualitat de l'aire és acceptable. Tanmateix, hi pot haver un risc per a algunes persones, especialment aquelles que són inusualment sensibles a la contaminació de l'aire.")</f>
        <v>La qualitat de l'aire és acceptable. Tanmateix, hi pot haver un risc per a algunes persones, especialment aquelles que són inusualment sensibles a la contaminació de l'aire.</v>
      </c>
      <c r="O202" s="7" t="str">
        <f>IFERROR(__xludf.DUMMYFUNCTION("GoogleTranslate(C202, ""en"", ""zh-cn"")"),"空气质量可以接受。然而，对于某些人来说，尤其是对空气污染异常敏感的人来说，可能存在风险。")</f>
        <v>空气质量可以接受。然而，对于某些人来说，尤其是对空气污染异常敏感的人来说，可能存在风险。</v>
      </c>
      <c r="P202" s="7" t="str">
        <f>IFERROR(__xludf.DUMMYFUNCTION("GoogleTranslate(C202, ""en"", ""zh-TW"")"),"空氣品質可以接受。然而，對於某些人來說，尤其是對空氣污染異常敏感的人來說，可能會有風險。")</f>
        <v>空氣品質可以接受。然而，對於某些人來說，尤其是對空氣污染異常敏感的人來說，可能會有風險。</v>
      </c>
      <c r="Q202" s="7" t="str">
        <f>IFERROR(__xludf.DUMMYFUNCTION("GoogleTranslate(C202, ""en"", ""hr"")"),"Kvaliteta zraka je prihvatljiva. Međutim, može postojati rizik za neke ljude, osobito one koji su neobično osjetljivi na onečišćenje zraka.")</f>
        <v>Kvaliteta zraka je prihvatljiva. Međutim, može postojati rizik za neke ljude, osobito one koji su neobično osjetljivi na onečišćenje zraka.</v>
      </c>
      <c r="R202" s="7" t="str">
        <f>IFERROR(__xludf.DUMMYFUNCTION("GoogleTranslate(C202, ""en"", ""cs"")"),"Kvalita vzduchu je přijatelná. Pro některé lidi však může existovat riziko, zejména pro ty, kteří jsou neobvykle citliví na znečištění ovzduší.")</f>
        <v>Kvalita vzduchu je přijatelná. Pro některé lidi však může existovat riziko, zejména pro ty, kteří jsou neobvykle citliví na znečištění ovzduší.</v>
      </c>
      <c r="S202" s="7" t="str">
        <f>IFERROR(__xludf.DUMMYFUNCTION("GoogleTranslate(C202, ""en"", ""da"")"),"Luftkvaliteten er acceptabel. Der kan dog være en risiko for nogle mennesker, især dem, der er usædvanligt følsomme over for luftforurening.")</f>
        <v>Luftkvaliteten er acceptabel. Der kan dog være en risiko for nogle mennesker, især dem, der er usædvanligt følsomme over for luftforurening.</v>
      </c>
      <c r="T202" s="7" t="str">
        <f>IFERROR(__xludf.DUMMYFUNCTION("GoogleTranslate(C202, ""en"", ""nl"")"),"De luchtkwaliteit is acceptabel. Voor sommige mensen kan er echter een risico bestaan, vooral voor degenen die buitengewoon gevoelig zijn voor luchtverontreiniging.")</f>
        <v>De luchtkwaliteit is acceptabel. Voor sommige mensen kan er echter een risico bestaan, vooral voor degenen die buitengewoon gevoelig zijn voor luchtverontreiniging.</v>
      </c>
      <c r="U202" s="7" t="str">
        <f>IFERROR(__xludf.DUMMYFUNCTION("GoogleTranslate(C202, ""en"", ""et"")"),"Õhukvaliteet on vastuvõetav. Siiski võib see ohustada mõningaid inimesi, eriti neid, kes on õhusaaste suhtes ebatavaliselt tundlikud.")</f>
        <v>Õhukvaliteet on vastuvõetav. Siiski võib see ohustada mõningaid inimesi, eriti neid, kes on õhusaaste suhtes ebatavaliselt tundlikud.</v>
      </c>
      <c r="V202" s="5" t="str">
        <f t="shared" si="3"/>
        <v>Air quality is acceptable. However, there may be a risk for some people, particularly those who are unusually sensitive to air pollution.</v>
      </c>
      <c r="W202" s="7" t="str">
        <f>IFERROR(__xludf.DUMMYFUNCTION("GoogleTranslate(C202, ""en"", ""fi"")"),"Ilmanlaatu on hyväksyttävä. Joillekin ihmisille, erityisesti niille, jotka ovat epätavallisen herkkiä ilmansaasteille, saattaa kuitenkin olla riski.")</f>
        <v>Ilmanlaatu on hyväksyttävä. Joillekin ihmisille, erityisesti niille, jotka ovat epätavallisen herkkiä ilmansaasteille, saattaa kuitenkin olla riski.</v>
      </c>
      <c r="X202" s="7" t="str">
        <f>IFERROR(__xludf.DUMMYFUNCTION("GoogleTranslate(C202, ""en"", ""fr"")"),"La qualité de l'air est acceptable. Cependant, il peut exister un risque pour certaines personnes, en particulier celles qui sont particulièrement sensibles à la pollution atmosphérique.")</f>
        <v>La qualité de l'air est acceptable. Cependant, il peut exister un risque pour certaines personnes, en particulier celles qui sont particulièrement sensibles à la pollution atmosphérique.</v>
      </c>
      <c r="Y202" s="7" t="str">
        <f>IFERROR(__xludf.DUMMYFUNCTION("GoogleTranslate(C202, ""en"", ""de"")"),"Die Luftqualität ist akzeptabel. Für einige Menschen kann jedoch ein Risiko bestehen, insbesondere für diejenigen, die ungewöhnlich empfindlich auf Luftverschmutzung reagieren.")</f>
        <v>Die Luftqualität ist akzeptabel. Für einige Menschen kann jedoch ein Risiko bestehen, insbesondere für diejenigen, die ungewöhnlich empfindlich auf Luftverschmutzung reagieren.</v>
      </c>
      <c r="Z202" s="7" t="str">
        <f>IFERROR(__xludf.DUMMYFUNCTION("GoogleTranslate(C202, ""en"", ""el"")"),"Η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f>
        <v>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v>
      </c>
      <c r="AA202" s="7" t="str">
        <f>IFERROR(__xludf.DUMMYFUNCTION("GoogleTranslate(C202, ""en"", ""iw"")"),"איכות האוויר מקובלת. עם זאת, עשוי להיות סיכון עבור אנשים מסוימים, במיוחד אלה הרגישים בצורה יוצאת דופן לזיהום אוויר.")</f>
        <v>איכות האוויר מקובלת. עם זאת, עשוי להיות סיכון עבור אנשים מסוימים, במיוחד אלה הרגישים בצורה יוצאת דופן לזיהום אוויר.</v>
      </c>
      <c r="AB202" s="7" t="str">
        <f>IFERROR(__xludf.DUMMYFUNCTION("GoogleTranslate(C202, ""en"", ""hi"")"),"वायु गुणवत्ता स्वीकार्य है. हालाँकि, कुछ लोगों के लिए जोखिम हो सकता है, विशेषकर उन लोगों के लिए जो वायु प्रदूषण के प्रति असामान्य रूप से संवेदनशील हैं।")</f>
        <v>वायु गुणवत्ता स्वीकार्य है. हालाँकि, कुछ लोगों के लिए जोखिम हो सकता है, विशेषकर उन लोगों के लिए जो वायु प्रदूषण के प्रति असामान्य रूप से संवेदनशील हैं।</v>
      </c>
      <c r="AC202" s="7" t="str">
        <f>IFERROR(__xludf.DUMMYFUNCTION("GoogleTranslate(C202, ""en"", ""hu"")"),"A levegő minősége elfogadható. Néhány ember számára azonban fennállhat a kockázat, különösen azok számára, akik szokatlanul érzékenyek a levegőszennyezésre.")</f>
        <v>A levegő minősége elfogadható. Néhány ember számára azonban fennállhat a kockázat, különösen azok számára, akik szokatlanul érzékenyek a levegőszennyezésre.</v>
      </c>
      <c r="AD202" s="7" t="str">
        <f>IFERROR(__xludf.DUMMYFUNCTION("GoogleTranslate(C202, ""en"", ""is"")"),"Loftgæði eru ásættanleg. Hins vegar getur verið hætta fyrir sumt fólk, sérstaklega þá sem eru óvenju viðkvæmir fyrir loftmengun.")</f>
        <v>Loftgæði eru ásættanleg. Hins vegar getur verið hætta fyrir sumt fólk, sérstaklega þá sem eru óvenju viðkvæmir fyrir loftmengun.</v>
      </c>
      <c r="AE202" s="7" t="str">
        <f>IFERROR(__xludf.DUMMYFUNCTION("GoogleTranslate(C202, ""en"", ""id"")"),"Kualitas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F202" s="7" t="str">
        <f>IFERROR(__xludf.DUMMYFUNCTION("GoogleTranslate(C202, ""en"", ""in"")"),"Kualitas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G202" s="7" t="str">
        <f>IFERROR(__xludf.DUMMYFUNCTION("GoogleTranslate(C202, ""en"", ""it"")"),"La qualità dell'aria è accettabile. Tuttavia, potrebbe esserci un rischio per alcune persone, in particolare per coloro che sono insolitamente sensibili all’inquinamento atmosferico.")</f>
        <v>La qualità dell'aria è accettabile. Tuttavia, potrebbe esserci un rischio per alcune persone, in particolare per coloro che sono insolitamente sensibili all’inquinamento atmosferico.</v>
      </c>
      <c r="AH202" s="7" t="str">
        <f>IFERROR(__xludf.DUMMYFUNCTION("GoogleTranslate(C202, ""en"", ""ja"")"),"空気の質は許容範囲内です。ただし、一部の人、特に大気汚染に異常に敏感な人にとってはリスクが存在する可能性があります。")</f>
        <v>空気の質は許容範囲内です。ただし、一部の人、特に大気汚染に異常に敏感な人にとってはリスクが存在する可能性があります。</v>
      </c>
      <c r="AI202" s="7" t="str">
        <f>IFERROR(__xludf.DUMMYFUNCTION("GoogleTranslate(C202, ""en"", ""kn"")"),"ಗಾಳಿಯ ಗುಣಮಟ್ಟ ಸ್ವೀಕಾರಾರ್ಹವಾಗಿದೆ. ಆದಾಗ್ಯೂ, ಕೆಲವು ಜನರಿಗೆ, ವಿಶೇಷವಾಗಿ ವಾಯುಮಾಲಿನ್ಯಕ್ಕೆ ಅಸಾಮಾನ್ಯವಾಗಿ ಸಂವೇದನಾಶೀಲರಾಗಿರುವವರಿಗೆ ಅಪಾಯವಿರಬಹುದು.")</f>
        <v>ಗಾಳಿಯ ಗುಣಮಟ್ಟ ಸ್ವೀಕಾರಾರ್ಹವಾಗಿದೆ. ಆದಾಗ್ಯೂ, ಕೆಲವು ಜನರಿಗೆ, ವಿಶೇಷವಾಗಿ ವಾಯುಮಾಲಿನ್ಯಕ್ಕೆ ಅಸಾಮಾನ್ಯವಾಗಿ ಸಂವೇದನಾಶೀಲರಾಗಿರುವವರಿಗೆ ಅಪಾಯವಿರಬಹುದು.</v>
      </c>
      <c r="AJ202" s="7" t="str">
        <f>IFERROR(__xludf.DUMMYFUNCTION("GoogleTranslate(C202, ""en"", ""km"")"),"គុណភាពខ្យល់អាចទទួលយកបាន។ ទោះយ៉ាងណាក៏ដោយ វាអាចមានហានិភ័យសម្រាប់មនុស្សមួយចំនួន ជាពិសេសអ្នកដែលងាយនឹងបំពុលខ្យល់។")</f>
        <v>គុណភាពខ្យល់អាចទទួលយកបាន។ ទោះយ៉ាងណាក៏ដោយ វាអាចមានហានិភ័យសម្រាប់មនុស្សមួយចំនួន ជាពិសេសអ្នកដែលងាយនឹងបំពុលខ្យល់។</v>
      </c>
      <c r="AK202" s="7" t="str">
        <f>IFERROR(__xludf.DUMMYFUNCTION("GoogleTranslate(C202, ""en"", ""ko"")"),"공기질은 괜찮습니다. 그러나 일부 사람들, 특히 대기 오염에 특별히 민감한 사람들에게는 위험이 있을 수 있습니다.")</f>
        <v>공기질은 괜찮습니다. 그러나 일부 사람들, 특히 대기 오염에 특별히 민감한 사람들에게는 위험이 있을 수 있습니다.</v>
      </c>
      <c r="AL202" s="7" t="str">
        <f>IFERROR(__xludf.DUMMYFUNCTION("GoogleTranslate(C202, ""en"", ""lo"")"),"ຄຸນນະພາບອາກາດເປັນທີ່ຍອມຮັບ.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f>
        <v>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v>
      </c>
      <c r="AM202" s="7" t="str">
        <f>IFERROR(__xludf.DUMMYFUNCTION("GoogleTranslate(C202, ""en"", ""lv"")"),"Gaisa kvalitāte ir pieņemama. Tomēr dažiem cilvēkiem var būt risks, jo īpaši tiem, kuri ir neparasti jutīgi pret gaisa piesārņojumu.")</f>
        <v>Gaisa kvalitāte ir pieņemama. Tomēr dažiem cilvēkiem var būt risks, jo īpaši tiem, kuri ir neparasti jutīgi pret gaisa piesārņojumu.</v>
      </c>
      <c r="AN202" s="7" t="str">
        <f>IFERROR(__xludf.DUMMYFUNCTION("GoogleTranslate(C202, ""en"", ""lt"")"),"Oro kokybė yra priimtina. Tačiau kai kuriems žmonėms, ypač neįprastai jautriems oro taršai, gali kilti pavojus.")</f>
        <v>Oro kokybė yra priimtina. Tačiau kai kuriems žmonėms, ypač neįprastai jautriems oro taršai, gali kilti pavojus.</v>
      </c>
      <c r="AO202" s="7" t="str">
        <f>IFERROR(__xludf.DUMMYFUNCTION("GoogleTranslate(C202, ""en"", ""mk"")"),"Квалитетот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f>
        <v>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v>
      </c>
      <c r="AP202" s="7" t="str">
        <f>IFERROR(__xludf.DUMMYFUNCTION("GoogleTranslate(C202, ""en"", ""ms"")"),"Kualiti udara boleh diterima. Walau bagaimanapun, mungkin terdapat risiko bagi sesetengah orang, terutamanya mereka yang luar biasa sensitif terhadap pencemaran udara.")</f>
        <v>Kualiti udara boleh diterima. Walau bagaimanapun, mungkin terdapat risiko bagi sesetengah orang, terutamanya mereka yang luar biasa sensitif terhadap pencemaran udara.</v>
      </c>
      <c r="AQ202" s="7" t="str">
        <f>IFERROR(__xludf.DUMMYFUNCTION("GoogleTranslate(C202, ""en"", ""ml"")"),"വായുവിൻ്റെ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f>
        <v>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v>
      </c>
      <c r="AR202" s="7" t="str">
        <f>IFERROR(__xludf.DUMMYFUNCTION("GoogleTranslate(C202, ""en"", ""mr"")"),"हवेची गुणवत्ता स्वीकार्य आहे. तथापि, काही लोकांसाठी धोका असू शकतो, विशेषत: जे वायू प्रदूषणासाठी असामान्यपणे संवेदनशील असतात.")</f>
        <v>हवेची गुणवत्ता स्वीकार्य आहे. तथापि, काही लोकांसाठी धोका असू शकतो, विशेषत: जे वायू प्रदूषणासाठी असामान्यपणे संवेदनशील असतात.</v>
      </c>
      <c r="AS202" s="7" t="str">
        <f>IFERROR(__xludf.DUMMYFUNCTION("GoogleTranslate(C202, ""en"", ""mn"")"),"Агаарын чанарыг хүлээн зөвшөөрөх боломжтой. Гэсэн хэдий ч зарим хүмүүст, ялангуяа агаарын бохирдолд хэт мэдрэмтгий хүмүүст эрсдэлтэй байж болно.")</f>
        <v>Агаарын чанарыг хүлээн зөвшөөрөх боломжтой. Гэсэн хэдий ч зарим хүмүүст, ялангуяа агаарын бохирдолд хэт мэдрэмтгий хүмүүст эрсдэлтэй байж болно.</v>
      </c>
      <c r="AT202" s="7" t="str">
        <f>IFERROR(__xludf.DUMMYFUNCTION("GoogleTranslate(C202, ""en"", ""ne"")"),"हावा गुणस्तर स्वीकार्य छ। यद्यपि, केही व्यक्तिहरूका लागि जोखिम हुन सक्छ, विशेष गरी जो वायु प्रदूषणप्रति असामान्य रूपमा संवेदनशील हुन्छन्।")</f>
        <v>हावा गुणस्तर स्वीकार्य छ। यद्यपि, केही व्यक्तिहरूका लागि जोखिम हुन सक्छ, विशेष गरी जो वायु प्रदूषणप्रति असामान्य रूपमा संवेदनशील हुन्छन्।</v>
      </c>
      <c r="AU202" s="7" t="str">
        <f>IFERROR(__xludf.DUMMYFUNCTION("GoogleTranslate(C202, ""en"", ""nb"")"),"Luftkvaliteten er akseptabel. Imidlertid kan det være en risiko for noen mennesker, spesielt de som er uvanlig følsomme for luftforurensning.")</f>
        <v>Luftkvaliteten er akseptabel. Imidlertid kan det være en risiko for noen mennesker, spesielt de som er uvanlig følsomme for luftforurensning.</v>
      </c>
      <c r="AV202" s="7" t="str">
        <f>IFERROR(__xludf.DUMMYFUNCTION("GoogleTranslate(C202, ""en"", ""fa"")"),"کیفیت هوا قابل قبول است. با این حال، ممکن است خطری برای برخی از افراد، به ویژه آنهایی که به طور غیرعادی نسبت به آلودگی هوا حساس هستند، وجود داشته باشد.")</f>
        <v>کیفیت هوا قابل قبول است. با این حال، ممکن است خطری برای برخی از افراد، به ویژه آنهایی که به طور غیرعادی نسبت به آلودگی هوا حساس هستند، وجود داشته باشد.</v>
      </c>
      <c r="AW202" s="7" t="str">
        <f>IFERROR(__xludf.DUMMYFUNCTION("GoogleTranslate(C202, ""en"", ""pl"")"),"Jakość powietrza jest akceptowalna. Jednakże może istnieć ryzyko dla niektórych osób, szczególnie tych, które są niezwykle wrażliwe na zanieczyszczenie powietrza.")</f>
        <v>Jakość powietrza jest akceptowalna. Jednakże może istnieć ryzyko dla niektórych osób, szczególnie tych, które są niezwykle wrażliwe na zanieczyszczenie powietrza.</v>
      </c>
      <c r="AX202" s="7" t="str">
        <f>IFERROR(__xludf.DUMMYFUNCTION("GoogleTranslate(C202, ""en"", ""pt"")"),"A qualidade do ar é aceitável. No entanto, pode existir um risco para algumas pessoas, especialmente aquelas que são invulgarmente sensíveis à poluição atmosférica.")</f>
        <v>A qualidade do ar é aceitável. No entanto, pode existir um risco para algumas pessoas, especialmente aquelas que são invulgarmente sensíveis à poluição atmosférica.</v>
      </c>
      <c r="AY202" s="7" t="str">
        <f>IFERROR(__xludf.DUMMYFUNCTION("GoogleTranslate(C202, ""en"", ""ro"")"),"Calitatea aerului este acceptabilă. Cu toate acestea, poate exista un risc pentru unii oameni, în special pentru cei care sunt neobișnuit de sensibili la poluarea aerului.")</f>
        <v>Calitatea aerului este acceptabilă. Cu toate acestea, poate exista un risc pentru unii oameni, în special pentru cei care sunt neobișnuit de sensibili la poluarea aerului.</v>
      </c>
      <c r="AZ202" s="7" t="str">
        <f>IFERROR(__xludf.DUMMYFUNCTION("GoogleTranslate(C202, ""en"", ""ru"")"),"Качество воздуха приемлемое. Однако для некоторых людей, особенно для тех, кто необычайно чувствителен к загрязнению воздуха, может существовать риск.")</f>
        <v>Качество воздуха приемлемое. Однако для некоторых людей, особенно для тех, кто необычайно чувствителен к загрязнению воздуха, может существовать риск.</v>
      </c>
      <c r="BA202" s="7" t="str">
        <f>IFERROR(__xludf.DUMMYFUNCTION("GoogleTranslate(C202, ""en"", ""sr"")"),"Квалитет ваздуха је прихватљив. Међутим, може постојати ризик за неке људе, посебно оне који су необично осетљиви на загађење ваздуха.")</f>
        <v>Квалитет ваздуха је прихватљив. Међутим, може постојати ризик за неке људе, посебно оне који су необично осетљиви на загађење ваздуха.</v>
      </c>
      <c r="BB202" s="7" t="str">
        <f>IFERROR(__xludf.DUMMYFUNCTION("GoogleTranslate(C202, ""en"", ""si"")"),"වාතයේ ගුණාත්මකභාවය පිළිගත හැකි ය. කෙසේ වෙතත්, සමහර පුද්ගලයින්ට, විශේෂයෙන් වායු දූෂණයට අසාමාන්‍ය ලෙස සංවේදී වන අයට අවදානමක් තිබිය හැකිය.")</f>
        <v>වාතයේ ගුණාත්මකභාවය පිළිගත හැකි ය. කෙසේ වෙතත්, සමහර පුද්ගලයින්ට, විශේෂයෙන් වායු දූෂණයට අසාමාන්‍ය ලෙස සංවේදී වන අයට අවදානමක් තිබිය හැකිය.</v>
      </c>
      <c r="BC202" s="7" t="str">
        <f>IFERROR(__xludf.DUMMYFUNCTION("GoogleTranslate(C202, ""en"", ""sk"")"),"Kvalita vzduchu je prijateľná. Pre niektorých ľudí však môže existovať riziko, najmä pre tých, ktorí sú nezvyčajne citliví na znečistenie ovzdušia.")</f>
        <v>Kvalita vzduchu je prijateľná. Pre niektorých ľudí však môže existovať riziko, najmä pre tých, ktorí sú nezvyčajne citliví na znečistenie ovzdušia.</v>
      </c>
      <c r="BD202" s="7" t="str">
        <f>IFERROR(__xludf.DUMMYFUNCTION("GoogleTranslate(C202, ""en"", ""sl"")"),"Kakovost zraka je sprejemljiva. Vendar pa lahko obstaja tveganje za nekatere ljudi, zlasti tiste, ki so neobičajno občutljivi na onesnažen zrak.")</f>
        <v>Kakovost zraka je sprejemljiva. Vendar pa lahko obstaja tveganje za nekatere ljudi, zlasti tiste, ki so neobičajno občutljivi na onesnažen zrak.</v>
      </c>
      <c r="BE202" s="7" t="str">
        <f>IFERROR(__xludf.DUMMYFUNCTION("GoogleTranslate(C202,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BF202" s="7" t="str">
        <f>IFERROR(__xludf.DUMMYFUNCTION("GoogleTranslate(C202, ""en"", ""sw"")"),"Ubora wa hewa unakubalika. Hata hivyo, kunaweza kuwa na hatari kwa baadhi ya watu, hasa wale ambao ni nyeti isivyo kawaida kwa uchafuzi wa hewa.")</f>
        <v>Ubora wa hewa unakubalika. Hata hivyo, kunaweza kuwa na hatari kwa baadhi ya watu, hasa wale ambao ni nyeti isivyo kawaida kwa uchafuzi wa hewa.</v>
      </c>
      <c r="BG202" s="7" t="str">
        <f>IFERROR(__xludf.DUMMYFUNCTION("GoogleTranslate(C202, ""en"", ""sv"")"),"Luftkvaliteten är acceptabel. Det kan dock finnas en risk för vissa människor, särskilt de som är ovanligt känsliga för luftföroreningar.")</f>
        <v>Luftkvaliteten är acceptabel. Det kan dock finnas en risk för vissa människor, särskilt de som är ovanligt känsliga för luftföroreningar.</v>
      </c>
      <c r="BH202" s="7" t="str">
        <f>IFERROR(__xludf.DUMMYFUNCTION("GoogleTranslate(C202, ""en"", ""te"")"),"గాలి నాణ్యత ఆమోదయోగ్యమైనది. అయినప్పటికీ, కొంతమందికి, ముఖ్యంగా వాయు కాలుష్యానికి అసాధారణంగా సున్నితంగా ఉండేవారికి ప్రమాదం ఉండవచ్చు.")</f>
        <v>గాలి నాణ్యత ఆమోదయోగ్యమైనది. అయినప్పటికీ, కొంతమందికి, ముఖ్యంగా వాయు కాలుష్యానికి అసాధారణంగా సున్నితంగా ఉండేవారికి ప్రమాదం ఉండవచ్చు.</v>
      </c>
      <c r="BI202" s="7" t="str">
        <f>IFERROR(__xludf.DUMMYFUNCTION("GoogleTranslate(C202, ""en"", ""th"")"),"คุณภาพอากาศเป็นที่ยอมรับ อย่างไรก็ตาม อาจมีความเสี่ยงสำหรับบางคน โดยเฉพาะผู้ที่มีความไวต่อมลพิษทางอากาศอย่างผิดปกติ")</f>
        <v>คุณภาพอากาศเป็นที่ยอมรับ อย่างไรก็ตาม อาจมีความเสี่ยงสำหรับบางคน โดยเฉพาะผู้ที่มีความไวต่อมลพิษทางอากาศอย่างผิดปกติ</v>
      </c>
      <c r="BJ202" s="7" t="str">
        <f>IFERROR(__xludf.DUMMYFUNCTION("GoogleTranslate(C202, ""en"", ""tr"")"),"Hava kalitesi kabul edilebilir. Ancak bazı insanlar, özellikle de hava kirliliğine karşı alışılmadık derecede hassas olanlar için risk söz konusu olabilir.")</f>
        <v>Hava kalitesi kabul edilebilir. Ancak bazı insanlar, özellikle de hava kirliliğine karşı alışılmadık derecede hassas olanlar için risk söz konusu olabilir.</v>
      </c>
      <c r="BK202" s="7" t="str">
        <f>IFERROR(__xludf.DUMMYFUNCTION("GoogleTranslate(C202, ""en"", ""uk"")"),"Якість повітря прийнятна. Однак для деяких людей, особливо для тих, хто надзвичайно чутливий до забруднення повітря, може бути ризик.")</f>
        <v>Якість повітря прийнятна. Однак для деяких людей, особливо для тих, хто надзвичайно чутливий до забруднення повітря, може бути ризик.</v>
      </c>
      <c r="BL202" s="7" t="str">
        <f>IFERROR(__xludf.DUMMYFUNCTION("GoogleTranslate(C202, ""en"", ""zu"")"),"Ikhwalithi yomoya yamukelekile. Nokho, kungase kube nengozi kwabanye abantu, ikakhulukazi labo abazwela ngokungavamile ukungcoliswa komoya.")</f>
        <v>Ikhwalithi yomoya yamukelekile. Nokho, kungase kube nengozi kwabanye abantu, ikakhulukazi labo abazwela ngokungavamile ukungcoliswa komoya.</v>
      </c>
    </row>
    <row r="203">
      <c r="A203" s="5" t="str">
        <f t="shared" si="1"/>
        <v>Members_of_sensitive_groups_may_experience_health_effects._The_general_public_is_less_likely_to_be_affected.</v>
      </c>
      <c r="B203" s="4" t="s">
        <v>252</v>
      </c>
      <c r="C203" s="4" t="s">
        <v>252</v>
      </c>
      <c r="D203" s="7" t="str">
        <f>IFERROR(__xludf.DUMMYFUNCTION("GoogleTranslate(C203,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E203" s="7" t="str">
        <f>IFERROR(__xludf.DUMMYFUNCTION("GoogleTranslate(C203, ""en"", ""ar"")"),"قد يتعرض أعضاء المجموعات الحساسة لآثار صحية. عامة الناس أقل عرضة للتأثر.")</f>
        <v>قد يتعرض أعضاء المجموعات الحساسة لآثار صحية. عامة الناس أقل عرضة للتأثر.</v>
      </c>
      <c r="F203" s="7" t="str">
        <f>IFERROR(__xludf.DUMMYFUNCTION("GoogleTranslate(C203, ""en"", ""hy"")"),"Զգայուն խմբերի անդամները կարող են ունենալ առողջական ազդեցություն: Լայն հանրությունը ավելի քիչ հավանական է, որ ազդի:")</f>
        <v>Զգայուն խմբերի անդամները կարող են ունենալ առողջական ազդեցություն: Լայն հանրությունը ավելի քիչ հավանական է, որ ազդի:</v>
      </c>
      <c r="G203" s="7" t="str">
        <f>IFERROR(__xludf.DUMMYFUNCTION("GoogleTranslate(C203, ""en"", ""vi"")"),"Thành viên của các nhóm nhạy cảm có thể bị ảnh hưởng sức khỏe. Công chúng ít có khả năng bị ảnh hưởng.")</f>
        <v>Thành viên của các nhóm nhạy cảm có thể bị ảnh hưởng sức khỏe. Công chúng ít có khả năng bị ảnh hưởng.</v>
      </c>
      <c r="H203" s="7" t="str">
        <f>IFERROR(__xludf.DUMMYFUNCTION("GoogleTranslate(C203, ""en"", ""az"")"),"Həssas qrupların üzvləri sağlamlığa təsir göstərə bilər. Ümumi ictimaiyyətin təsirlənmə ehtimalı azdır.")</f>
        <v>Həssas qrupların üzvləri sağlamlığa təsir göstərə bilər. Ümumi ictimaiyyətin təsirlənmə ehtimalı azdır.</v>
      </c>
      <c r="I203" s="7" t="str">
        <f>IFERROR(__xludf.DUMMYFUNCTION("GoogleTranslate(C203, ""en"", ""eu"")"),"Talde sentikorretako kideek osasun-ondorioak izan ditzakete. Publiko orokorrak eragin txikiagoa izango du.")</f>
        <v>Talde sentikorretako kideek osasun-ondorioak izan ditzakete. Publiko orokorrak eragin txikiagoa izango du.</v>
      </c>
      <c r="J203" s="7" t="str">
        <f>IFERROR(__xludf.DUMMYFUNCTION("GoogleTranslate(C203, ""en"", ""be"")"),"Члены адчувальных груп могуць адчуваць наступствы для здароўя. Шырокая грамадскасць будзе менш закранута.")</f>
        <v>Члены адчувальных груп могуць адчуваць наступствы для здароўя. Шырокая грамадскасць будзе менш закранута.</v>
      </c>
      <c r="K203" s="7" t="str">
        <f>IFERROR(__xludf.DUMMYFUNCTION("GoogleTranslate(C203, ""en"", ""bn"")"),"সংবেদনশীল গোষ্ঠীর সদস্যরা স্বাস্থ্যের প্রভাব অনুভব করতে পারে। এতে সাধারণ মানুষ ক্ষতিগ্রস্ত হওয়ার সম্ভাবনা কম।")</f>
        <v>সংবেদনশীল গোষ্ঠীর সদস্যরা স্বাস্থ্যের প্রভাব অনুভব করতে পারে। এতে সাধারণ মানুষ ক্ষতিগ্রস্ত হওয়ার সম্ভাবনা কম।</v>
      </c>
      <c r="L203" s="7" t="str">
        <f>IFERROR(__xludf.DUMMYFUNCTION("GoogleTranslate(C203, ""en"", ""bg"")"),"Членовете на чувствителни групи могат да изпитат последици за здравето. По-малко вероятно е широката общественост да бъде засегната.")</f>
        <v>Членовете на чувствителни групи могат да изпитат последици за здравето. По-малко вероятно е широката общественост да бъде засегната.</v>
      </c>
      <c r="M203" s="7" t="str">
        <f>IFERROR(__xludf.DUMMYFUNCTION("GoogleTranslate(C203, ""en"", ""my"")"),"ထိလွယ်ရှလွယ်သောအဖွဲ့များ၏ အဖွဲ့ဝင်များသည် ကျန်းမာရေးဆိုင်ရာ သက်ရောက်မှုများကို ခံစားရနိုင်သည်။ သာမန်ပြည်သူတွေ ထိခိုက်နိုင်ခြေ နည်းတယ်။")</f>
        <v>ထိလွယ်ရှလွယ်သောအဖွဲ့များ၏ အဖွဲ့ဝင်များသည် ကျန်းမာရေးဆိုင်ရာ သက်ရောက်မှုများကို ခံစားရနိုင်သည်။ သာမန်ပြည်သူတွေ ထိခိုက်နိုင်ခြေ နည်းတယ်။</v>
      </c>
      <c r="N203" s="7" t="str">
        <f>IFERROR(__xludf.DUMMYFUNCTION("GoogleTranslate(C203, ""en"", ""ca"")"),"Els membres de grups sensibles poden experimentar efectes sobre la salut. És menys probable que el públic en general es vegi afectat.")</f>
        <v>Els membres de grups sensibles poden experimentar efectes sobre la salut. És menys probable que el públic en general es vegi afectat.</v>
      </c>
      <c r="O203" s="7" t="str">
        <f>IFERROR(__xludf.DUMMYFUNCTION("GoogleTranslate(C203, ""en"", ""zh-cn"")"),"敏感群体的成员可能会受到健康影响。普通公众受到影响的可能性较小。")</f>
        <v>敏感群体的成员可能会受到健康影响。普通公众受到影响的可能性较小。</v>
      </c>
      <c r="P203" s="7" t="str">
        <f>IFERROR(__xludf.DUMMYFUNCTION("GoogleTranslate(C203, ""en"", ""zh-TW"")"),"敏感群體的成員可能會受到健康影響。一般公眾受到影響的可能性較小。")</f>
        <v>敏感群體的成員可能會受到健康影響。一般公眾受到影響的可能性較小。</v>
      </c>
      <c r="Q203" s="7" t="str">
        <f>IFERROR(__xludf.DUMMYFUNCTION("GoogleTranslate(C203, ""en"", ""hr"")"),"Pripadnici osjetljivih skupina mogu imati zdravstvene posljedice. Manje je vjerojatno da će biti pogođena šira javnost.")</f>
        <v>Pripadnici osjetljivih skupina mogu imati zdravstvene posljedice. Manje je vjerojatno da će biti pogođena šira javnost.</v>
      </c>
      <c r="R203" s="7" t="str">
        <f>IFERROR(__xludf.DUMMYFUNCTION("GoogleTranslate(C203, ""en"", ""cs"")"),"Členové citlivých skupin mohou pociťovat zdravotní účinky. Širší veřejnost je méně pravděpodobně zasažena.")</f>
        <v>Členové citlivých skupin mohou pociťovat zdravotní účinky. Širší veřejnost je méně pravděpodobně zasažena.</v>
      </c>
      <c r="S203" s="7" t="str">
        <f>IFERROR(__xludf.DUMMYFUNCTION("GoogleTranslate(C203, ""en"", ""da"")"),"Medlemmer af følsomme grupper kan opleve sundhedseffekter. Den brede offentlighed er mindre tilbøjelig til at blive berørt.")</f>
        <v>Medlemmer af følsomme grupper kan opleve sundhedseffekter. Den brede offentlighed er mindre tilbøjelig til at blive berørt.</v>
      </c>
      <c r="T203" s="7" t="str">
        <f>IFERROR(__xludf.DUMMYFUNCTION("GoogleTranslate(C203, ""en"", ""nl"")"),"Leden van gevoelige groepen kunnen gezondheidseffecten ervaren. Het grote publiek zal er minder snel last van hebben.")</f>
        <v>Leden van gevoelige groepen kunnen gezondheidseffecten ervaren. Het grote publiek zal er minder snel last van hebben.</v>
      </c>
      <c r="U203" s="7" t="str">
        <f>IFERROR(__xludf.DUMMYFUNCTION("GoogleTranslate(C203, ""en"", ""et"")"),"Tundlike rühmade liikmed võivad kogeda tervisemõjusid. Üldsust mõjutab see vähem tõenäoliselt.")</f>
        <v>Tundlike rühmade liikmed võivad kogeda tervisemõjusid. Üldsust mõjutab see vähem tõenäoliselt.</v>
      </c>
      <c r="V203" s="5" t="str">
        <f t="shared" si="3"/>
        <v>Members of sensitive groups may experience health effects. The general public is less likely to be affected.</v>
      </c>
      <c r="W203" s="7" t="str">
        <f>IFERROR(__xludf.DUMMYFUNCTION("GoogleTranslate(C203, ""en"", ""fi"")"),"Herkkien ryhmien jäsenet voivat kokea terveysvaikutuksia. Suuren yleisön vaikutus on vähemmän todennäköistä.")</f>
        <v>Herkkien ryhmien jäsenet voivat kokea terveysvaikutuksia. Suuren yleisön vaikutus on vähemmän todennäköistä.</v>
      </c>
      <c r="X203" s="7" t="str">
        <f>IFERROR(__xludf.DUMMYFUNCTION("GoogleTranslate(C203, ""en"", ""fr"")"),"Les membres des groupes sensibles peuvent subir des effets sur leur santé. Le grand public est moins susceptible d’être concerné.")</f>
        <v>Les membres des groupes sensibles peuvent subir des effets sur leur santé. Le grand public est moins susceptible d’être concerné.</v>
      </c>
      <c r="Y203" s="7" t="str">
        <f>IFERROR(__xludf.DUMMYFUNCTION("GoogleTranslate(C203, ""en"", ""de"")"),"Bei Angehörigen sensibler Gruppen kann es zu gesundheitlichen Auswirkungen kommen. Die breite Öffentlichkeit dürfte weniger betroffen sein.")</f>
        <v>Bei Angehörigen sensibler Gruppen kann es zu gesundheitlichen Auswirkungen kommen. Die breite Öffentlichkeit dürfte weniger betroffen sein.</v>
      </c>
      <c r="Z203" s="7" t="str">
        <f>IFERROR(__xludf.DUMMYFUNCTION("GoogleTranslate(C203, ""en"", ""el"")"),"Μέλη ευαίσθητων ομάδων μπορεί να παρουσιάσουν επιπτώσεις στην υγεία. Το ευρύ κοινό είναι λιγότερο πιθανό να επηρεαστεί.")</f>
        <v>Μέλη ευαίσθητων ομάδων μπορεί να παρουσιάσουν επιπτώσεις στην υγεία. Το ευρύ κοινό είναι λιγότερο πιθανό να επηρεαστεί.</v>
      </c>
      <c r="AA203" s="7" t="str">
        <f>IFERROR(__xludf.DUMMYFUNCTION("GoogleTranslate(C203, ""en"", ""iw"")"),"חברים בקבוצות רגישות עלולים לחוות השפעות בריאותיות. הציבור הרחב נוטה פחות להיפגע.")</f>
        <v>חברים בקבוצות רגישות עלולים לחוות השפעות בריאותיות. הציבור הרחב נוטה פחות להיפגע.</v>
      </c>
      <c r="AB203" s="7" t="str">
        <f>IFERROR(__xludf.DUMMYFUNCTION("GoogleTranslate(C203, ""en"", ""hi"")"),"संवेदनशील समूहों के सदस्यों को स्वास्थ्य प्रभावों का अनुभव हो सकता है। आम जनता के प्रभावित होने की संभावना कम है.")</f>
        <v>संवेदनशील समूहों के सदस्यों को स्वास्थ्य प्रभावों का अनुभव हो सकता है। आम जनता के प्रभावित होने की संभावना कम है.</v>
      </c>
      <c r="AC203" s="7" t="str">
        <f>IFERROR(__xludf.DUMMYFUNCTION("GoogleTranslate(C203, ""en"", ""hu"")"),"Az érzékeny csoportok tagjai egészségügyi hatásokat tapasztalhatnak. A nagyközönséget kevésbé valószínű, hogy ez érinti.")</f>
        <v>Az érzékeny csoportok tagjai egészségügyi hatásokat tapasztalhatnak. A nagyközönséget kevésbé valószínű, hogy ez érinti.</v>
      </c>
      <c r="AD203" s="7" t="str">
        <f>IFERROR(__xludf.DUMMYFUNCTION("GoogleTranslate(C203, ""en"", ""is"")"),"Meðlimir viðkvæmra hópa geta fundið fyrir heilsufarsáhrifum. Það er ólíklegra að almenningur verði fyrir áhrifum.")</f>
        <v>Meðlimir viðkvæmra hópa geta fundið fyrir heilsufarsáhrifum. Það er ólíklegra að almenningur verði fyrir áhrifum.</v>
      </c>
      <c r="AE203" s="7" t="str">
        <f>IFERROR(__xludf.DUMMYFUNCTION("GoogleTranslate(C203, ""en"", ""id"")"),"Anggota kelompok sensitif mungkin mengalami dampak kesehatan. Masyarakat umum cenderung tidak terkena dampaknya.")</f>
        <v>Anggota kelompok sensitif mungkin mengalami dampak kesehatan. Masyarakat umum cenderung tidak terkena dampaknya.</v>
      </c>
      <c r="AF203" s="7" t="str">
        <f>IFERROR(__xludf.DUMMYFUNCTION("GoogleTranslate(C203, ""en"", ""in"")"),"Anggota kelompok sensitif mungkin mengalami dampak kesehatan. Masyarakat umum cenderung tidak terkena dampaknya.")</f>
        <v>Anggota kelompok sensitif mungkin mengalami dampak kesehatan. Masyarakat umum cenderung tidak terkena dampaknya.</v>
      </c>
      <c r="AG203" s="7" t="str">
        <f>IFERROR(__xludf.DUMMYFUNCTION("GoogleTranslate(C203, ""en"", ""it"")"),"I membri di gruppi sensibili possono sperimentare effetti sulla salute. Il pubblico in generale ha meno probabilità di essere colpito.")</f>
        <v>I membri di gruppi sensibili possono sperimentare effetti sulla salute. Il pubblico in generale ha meno probabilità di essere colpito.</v>
      </c>
      <c r="AH203" s="7" t="str">
        <f>IFERROR(__xludf.DUMMYFUNCTION("GoogleTranslate(C203, ""en"", ""ja"")"),"敏感なグループのメンバーは健康への影響を経験する可能性があります。一般の人は影響を受ける可能性が低いです。")</f>
        <v>敏感なグループのメンバーは健康への影響を経験する可能性があります。一般の人は影響を受ける可能性が低いです。</v>
      </c>
      <c r="AI203" s="7" t="str">
        <f>IFERROR(__xludf.DUMMYFUNCTION("GoogleTranslate(C203, ""en"", ""kn"")"),"ಸೂಕ್ಷ್ಮ ಗುಂಪುಗಳ ಸದಸ್ಯರು ಆರೋಗ್ಯದ ಪರಿಣಾಮಗಳನ್ನು ಅನುಭವಿಸಬಹುದು. ಜನಸಾಮಾನ್ಯರಿಗೆ ತೊಂದರೆಯಾಗುವ ಸಾಧ್ಯತೆ ಕಡಿಮೆ.")</f>
        <v>ಸೂಕ್ಷ್ಮ ಗುಂಪುಗಳ ಸದಸ್ಯರು ಆರೋಗ್ಯದ ಪರಿಣಾಮಗಳನ್ನು ಅನುಭವಿಸಬಹುದು. ಜನಸಾಮಾನ್ಯರಿಗೆ ತೊಂದರೆಯಾಗುವ ಸಾಧ್ಯತೆ ಕಡಿಮೆ.</v>
      </c>
      <c r="AJ203" s="7" t="str">
        <f>IFERROR(__xludf.DUMMYFUNCTION("GoogleTranslate(C203, ""en"", ""km"")"),"សមាជិកនៃក្រុមរសើបអាចជួបប្រទះផលប៉ះពាល់សុខភាព។ សាធារណជន​ទូទៅ​មិន​សូវ​ទទួល​រង​ផល​ប៉ះពាល់​ទេ។")</f>
        <v>សមាជិកនៃក្រុមរសើបអាចជួបប្រទះផលប៉ះពាល់សុខភាព។ សាធារណជន​ទូទៅ​មិន​សូវ​ទទួល​រង​ផល​ប៉ះពាល់​ទេ។</v>
      </c>
      <c r="AK203" s="7" t="str">
        <f>IFERROR(__xludf.DUMMYFUNCTION("GoogleTranslate(C203, ""en"", ""ko"")"),"민감한 그룹의 구성원은 건강에 영향을 미칠 수 있습니다. 일반 대중은 영향을 받을 가능성이 적습니다.")</f>
        <v>민감한 그룹의 구성원은 건강에 영향을 미칠 수 있습니다. 일반 대중은 영향을 받을 가능성이 적습니다.</v>
      </c>
      <c r="AL203" s="7" t="str">
        <f>IFERROR(__xludf.DUMMYFUNCTION("GoogleTranslate(C203, ""en"", ""lo"")"),"ສະມາຊິກຂອງກຸ່ມທີ່ລະອຽດອ່ອນອາດຈະປະສົບຜົນກະທົບດ້ານສຸຂະພາບ. ປະຊາຊົນທົ່ວໄປແມ່ນຫນ້ອຍທີ່ຈະໄດ້ຮັບຜົນກະທົບ.")</f>
        <v>ສະມາຊິກຂອງກຸ່ມທີ່ລະອຽດອ່ອນອາດຈະປະສົບຜົນກະທົບດ້ານສຸຂະພາບ. ປະຊາຊົນທົ່ວໄປແມ່ນຫນ້ອຍທີ່ຈະໄດ້ຮັບຜົນກະທົບ.</v>
      </c>
      <c r="AM203" s="7" t="str">
        <f>IFERROR(__xludf.DUMMYFUNCTION("GoogleTranslate(C203, ""en"", ""lv"")"),"Sensitīvu grupu locekļi var saskarties ar ietekmi uz veselību. Visticamāk, ka sabiedrība tiks ietekmēta mazāk.")</f>
        <v>Sensitīvu grupu locekļi var saskarties ar ietekmi uz veselību. Visticamāk, ka sabiedrība tiks ietekmēta mazāk.</v>
      </c>
      <c r="AN203" s="7" t="str">
        <f>IFERROR(__xludf.DUMMYFUNCTION("GoogleTranslate(C203, ""en"", ""lt"")"),"Jautrių grupių nariai gali patirti poveikį sveikatai. Mažiau tikėtina, kad bus paveikta plačioji visuomenė.")</f>
        <v>Jautrių grupių nariai gali patirti poveikį sveikatai. Mažiau tikėtina, kad bus paveikta plačioji visuomenė.</v>
      </c>
      <c r="AO203" s="7" t="str">
        <f>IFERROR(__xludf.DUMMYFUNCTION("GoogleTranslate(C203, ""en"", ""mk"")"),"Членовите на чувствителните групи може да доживеат здравствени ефекти. Помалку е веројатно општата јавност да биде засегната.")</f>
        <v>Членовите на чувствителните групи може да доживеат здравствени ефекти. Помалку е веројатно општата јавност да биде засегната.</v>
      </c>
      <c r="AP203" s="7" t="str">
        <f>IFERROR(__xludf.DUMMYFUNCTION("GoogleTranslate(C203, ""en"", ""ms"")"),"Ahli kumpulan sensitif mungkin mengalami kesan kesihatan. Orang awam kurang berkemungkinan terjejas.")</f>
        <v>Ahli kumpulan sensitif mungkin mengalami kesan kesihatan. Orang awam kurang berkemungkinan terjejas.</v>
      </c>
      <c r="AQ203" s="7" t="str">
        <f>IFERROR(__xludf.DUMMYFUNCTION("GoogleTranslate(C203, ""en"", ""ml"")"),"സെൻസിറ്റീവ് ഗ്രൂപ്പുകളിലെ അംഗങ്ങൾക്ക് ആരോഗ്യപരമായ പ്രത്യാഘാതങ്ങൾ അനുഭവപ്പെട്ടേക്കാം. സാധാരണക്കാരെ ബാധിക്കാനുള്ള സാധ്യത കുറവാണ്.")</f>
        <v>സെൻസിറ്റീവ് ഗ്രൂപ്പുകളിലെ അംഗങ്ങൾക്ക് ആരോഗ്യപരമായ പ്രത്യാഘാതങ്ങൾ അനുഭവപ്പെട്ടേക്കാം. സാധാരണക്കാരെ ബാധിക്കാനുള്ള സാധ്യത കുറവാണ്.</v>
      </c>
      <c r="AR203" s="7" t="str">
        <f>IFERROR(__xludf.DUMMYFUNCTION("GoogleTranslate(C203, ""en"", ""mr"")"),"संवेदनशील गटातील सदस्यांना आरोग्यावर परिणाम होऊ शकतात. सर्वसामान्यांना याचा फटका बसण्याची शक्यता कमी आहे.")</f>
        <v>संवेदनशील गटातील सदस्यांना आरोग्यावर परिणाम होऊ शकतात. सर्वसामान्यांना याचा फटका बसण्याची शक्यता कमी आहे.</v>
      </c>
      <c r="AS203" s="7" t="str">
        <f>IFERROR(__xludf.DUMMYFUNCTION("GoogleTranslate(C203, ""en"", ""mn"")"),"Эмзэг бүлгийн гишүүд эрүүл мэндэд сөрөг нөлөө үзүүлж болзошгүй. Нийт ард иргэд өртөх магадлал бага байдаг.")</f>
        <v>Эмзэг бүлгийн гишүүд эрүүл мэндэд сөрөг нөлөө үзүүлж болзошгүй. Нийт ард иргэд өртөх магадлал бага байдаг.</v>
      </c>
      <c r="AT203" s="7" t="str">
        <f>IFERROR(__xludf.DUMMYFUNCTION("GoogleTranslate(C203, ""en"", ""ne"")"),"संवेदनशील समूहका सदस्यहरूले स्वास्थ्य प्रभावहरू अनुभव गर्न सक्छन्। सर्वसाधारणलाई भने कम असर परेको छ ।")</f>
        <v>संवेदनशील समूहका सदस्यहरूले स्वास्थ्य प्रभावहरू अनुभव गर्न सक्छन्। सर्वसाधारणलाई भने कम असर परेको छ ।</v>
      </c>
      <c r="AU203" s="7" t="str">
        <f>IFERROR(__xludf.DUMMYFUNCTION("GoogleTranslate(C203, ""en"", ""nb"")"),"Medlemmer av sensitive grupper kan oppleve helseeffekter. Allmennheten er mindre sannsynlig å bli berørt.")</f>
        <v>Medlemmer av sensitive grupper kan oppleve helseeffekter. Allmennheten er mindre sannsynlig å bli berørt.</v>
      </c>
      <c r="AV203" s="7" t="str">
        <f>IFERROR(__xludf.DUMMYFUNCTION("GoogleTranslate(C203, ""en"", ""fa"")"),"اعضای گروه های حساس ممکن است اثرات سلامتی را تجربه کنند. عموم مردم کمتر تحت تأثیر قرار می گیرند.")</f>
        <v>اعضای گروه های حساس ممکن است اثرات سلامتی را تجربه کنند. عموم مردم کمتر تحت تأثیر قرار می گیرند.</v>
      </c>
      <c r="AW203" s="7" t="str">
        <f>IFERROR(__xludf.DUMMYFUNCTION("GoogleTranslate(C203, ""en"", ""pl"")"),"Członkowie grup wrażliwych mogą doświadczyć skutków zdrowotnych. Jest mniejsze prawdopodobieństwo, że wpływ ten będzie dotyczył ogółu społeczeństwa.")</f>
        <v>Członkowie grup wrażliwych mogą doświadczyć skutków zdrowotnych. Jest mniejsze prawdopodobieństwo, że wpływ ten będzie dotyczył ogółu społeczeństwa.</v>
      </c>
      <c r="AX203" s="7" t="str">
        <f>IFERROR(__xludf.DUMMYFUNCTION("GoogleTranslate(C203, ""en"", ""pt"")"),"Membros de grupos sensíveis podem sofrer efeitos na saúde. O público em geral tem menos probabilidade de ser afetado.")</f>
        <v>Membros de grupos sensíveis podem sofrer efeitos na saúde. O público em geral tem menos probabilidade de ser afetado.</v>
      </c>
      <c r="AY203" s="7" t="str">
        <f>IFERROR(__xludf.DUMMYFUNCTION("GoogleTranslate(C203, ""en"", ""ro"")"),"Membrii grupurilor sensibile pot avea efecte asupra sănătății. Publicul larg este mai puțin probabil să fie afectat.")</f>
        <v>Membrii grupurilor sensibile pot avea efecte asupra sănătății. Publicul larg este mai puțin probabil să fie afectat.</v>
      </c>
      <c r="AZ203" s="7" t="str">
        <f>IFERROR(__xludf.DUMMYFUNCTION("GoogleTranslate(C203, ""en"", ""ru"")"),"Члены чувствительных групп могут испытывать последствия для здоровья. Широкая общественность пострадает в меньшей степени.")</f>
        <v>Члены чувствительных групп могут испытывать последствия для здоровья. Широкая общественность пострадает в меньшей степени.</v>
      </c>
      <c r="BA203" s="7" t="str">
        <f>IFERROR(__xludf.DUMMYFUNCTION("GoogleTranslate(C203, ""en"", ""sr"")"),"Припадници осетљивих група могу имати здравствене последице. Мање је вероватно да ће шира јавност бити погођена.")</f>
        <v>Припадници осетљивих група могу имати здравствене последице. Мање је вероватно да ће шира јавност бити погођена.</v>
      </c>
      <c r="BB203" s="7" t="str">
        <f>IFERROR(__xludf.DUMMYFUNCTION("GoogleTranslate(C203, ""en"", ""si"")"),"සංවේදී කණ්ඩායම්වල සාමාජිකයින්ට සෞඛ්ය බලපෑම් ඇති විය හැක. සාමාන්‍ය ජනතාව පීඩාවට පත්වීම අඩුයි.")</f>
        <v>සංවේදී කණ්ඩායම්වල සාමාජිකයින්ට සෞඛ්ය බලපෑම් ඇති විය හැක. සාමාන්‍ය ජනතාව පීඩාවට පත්වීම අඩුයි.</v>
      </c>
      <c r="BC203" s="7" t="str">
        <f>IFERROR(__xludf.DUMMYFUNCTION("GoogleTranslate(C203, ""en"", ""sk"")"),"Členovia citlivých skupín môžu pociťovať zdravotné účinky. Široká verejnosť je menej pravdepodobne ovplyvnená.")</f>
        <v>Členovia citlivých skupín môžu pociťovať zdravotné účinky. Široká verejnosť je menej pravdepodobne ovplyvnená.</v>
      </c>
      <c r="BD203" s="7" t="str">
        <f>IFERROR(__xludf.DUMMYFUNCTION("GoogleTranslate(C203, ""en"", ""sl"")"),"Člani občutljivih skupin lahko občutijo posledice za zdravje. Manj verjetno je, da bo prizadeta splošna javnost.")</f>
        <v>Člani občutljivih skupin lahko občutijo posledice za zdravje. Manj verjetno je, da bo prizadeta splošna javnost.</v>
      </c>
      <c r="BE203" s="7" t="str">
        <f>IFERROR(__xludf.DUMMYFUNCTION("GoogleTranslate(C203,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BF203" s="7" t="str">
        <f>IFERROR(__xludf.DUMMYFUNCTION("GoogleTranslate(C203, ""en"", ""sw"")"),"Washiriki wa vikundi nyeti wanaweza kupata athari za kiafya. Umma kwa ujumla una uwezekano mdogo wa kuathirika.")</f>
        <v>Washiriki wa vikundi nyeti wanaweza kupata athari za kiafya. Umma kwa ujumla una uwezekano mdogo wa kuathirika.</v>
      </c>
      <c r="BG203" s="7" t="str">
        <f>IFERROR(__xludf.DUMMYFUNCTION("GoogleTranslate(C203, ""en"", ""sv"")"),"Medlemmar i känsliga grupper kan uppleva hälsoeffekter. Allmänheten är mindre sannolikt att drabbas.")</f>
        <v>Medlemmar i känsliga grupper kan uppleva hälsoeffekter. Allmänheten är mindre sannolikt att drabbas.</v>
      </c>
      <c r="BH203" s="7" t="str">
        <f>IFERROR(__xludf.DUMMYFUNCTION("GoogleTranslate(C203, ""en"", ""te"")"),"సున్నితమైన సమూహాల సభ్యులు ఆరోగ్య ప్రభావాలను అనుభవించవచ్చు. సామాన్య ప్రజానీకం దీని బారిన పడే అవకాశం తక్కువ.")</f>
        <v>సున్నితమైన సమూహాల సభ్యులు ఆరోగ్య ప్రభావాలను అనుభవించవచ్చు. సామాన్య ప్రజానీకం దీని బారిన పడే అవకాశం తక్కువ.</v>
      </c>
      <c r="BI203" s="7" t="str">
        <f>IFERROR(__xludf.DUMMYFUNCTION("GoogleTranslate(C203, ""en"", ""th"")"),"สมาชิกของกลุ่มที่มีความอ่อนไหวอาจได้รับผลกระทบต่อสุขภาพ ประชาชนทั่วไปมีโอกาสได้รับผลกระทบน้อย")</f>
        <v>สมาชิกของกลุ่มที่มีความอ่อนไหวอาจได้รับผลกระทบต่อสุขภาพ ประชาชนทั่วไปมีโอกาสได้รับผลกระทบน้อย</v>
      </c>
      <c r="BJ203" s="7" t="str">
        <f>IFERROR(__xludf.DUMMYFUNCTION("GoogleTranslate(C203, ""en"", ""tr"")"),"Hassas grupların üyeleri sağlık açısından etkilerle karşılaşabilir. Genel halkın etkilenme olasılığı daha düşüktür.")</f>
        <v>Hassas grupların üyeleri sağlık açısından etkilerle karşılaşabilir. Genel halkın etkilenme olasılığı daha düşüktür.</v>
      </c>
      <c r="BK203" s="7" t="str">
        <f>IFERROR(__xludf.DUMMYFUNCTION("GoogleTranslate(C203, ""en"", ""uk"")"),"Члени чутливих груп можуть мати наслідки для здоров'я. Менш імовірно, що це вплине на населення.")</f>
        <v>Члени чутливих груп можуть мати наслідки для здоров'я. Менш імовірно, що це вплине на населення.</v>
      </c>
      <c r="BL203" s="7" t="str">
        <f>IFERROR(__xludf.DUMMYFUNCTION("GoogleTranslate(C203, ""en"", ""zu"")"),"Amalungu amaqembu azwelayo angase abe nemiphumela yezempilo. Umphakathi jikelele mancane amathuba okuthi uthinteke.")</f>
        <v>Amalungu amaqembu azwelayo angase abe nemiphumela yezempilo. Umphakathi jikelele mancane amathuba okuthi uthinteke.</v>
      </c>
    </row>
    <row r="204">
      <c r="A204" s="5" t="str">
        <f t="shared" si="1"/>
        <v>Some_members_of_the_general_public_may_experience_health_effects;_members_of_sensitive_groups_may_experience_more_serious_health_effects.</v>
      </c>
      <c r="B204" s="4" t="s">
        <v>253</v>
      </c>
      <c r="C204" s="4" t="s">
        <v>253</v>
      </c>
      <c r="D204" s="7" t="str">
        <f>IFERROR(__xludf.DUMMYFUNCTION("GoogleTranslate(C204,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E204" s="7" t="str">
        <f>IFERROR(__xludf.DUMMYFUNCTION("GoogleTranslate(C204, ""en"", ""ar"")"),"قد يتعرض بعض أفراد عامة الناس لآثار صحية؛ قد يتعرض أعضاء المجموعات الحساسة لآثار صحية أكثر خطورة.")</f>
        <v>قد يتعرض بعض أفراد عامة الناس لآثار صحية؛ قد يتعرض أعضاء المجموعات الحساسة لآثار صحية أكثر خطورة.</v>
      </c>
      <c r="F204" s="7" t="str">
        <f>IFERROR(__xludf.DUMMYFUNCTION("GoogleTranslate(C204, ""en"", ""hy"")"),"Հասարակության որոշ անդամներ կարող են զգալ առողջական ազդեցություն. զգայուն խմբերի անդամները կարող են ավելի լուրջ առողջական հետևանքներ ունենալ:")</f>
        <v>Հասարակության որոշ անդամներ կարող են զգալ առողջական ազդեցություն. զգայուն խմբերի անդամները կարող են ավելի լուրջ առողջական հետևանքներ ունենալ:</v>
      </c>
      <c r="G204" s="7" t="str">
        <f>IFERROR(__xludf.DUMMYFUNCTION("GoogleTranslate(C204, ""en"", ""vi"")"),"Một số thành viên của cộng đồng nói chung có thể bị ảnh hưởng về sức khoẻ; thành viên của các nhóm nhạy cảm có thể bị ảnh hưởng sức khỏe nghiêm trọng hơn.")</f>
        <v>Một số thành viên của cộng đồng nói chung có thể bị ảnh hưởng về sức khoẻ; thành viên của các nhóm nhạy cảm có thể bị ảnh hưởng sức khỏe nghiêm trọng hơn.</v>
      </c>
      <c r="H204" s="7" t="str">
        <f>IFERROR(__xludf.DUMMYFUNCTION("GoogleTranslate(C204, ""en"", ""az"")"),"Cəmiyyətin bəzi üzvləri sağlamlığa təsir göstərə bilər; həssas qrupların üzvləri daha ciddi sağlamlıq təsirləri ilə üzləşə bilər.")</f>
        <v>Cəmiyyətin bəzi üzvləri sağlamlığa təsir göstərə bilər; həssas qrupların üzvləri daha ciddi sağlamlıq təsirləri ilə üzləşə bilər.</v>
      </c>
      <c r="I204" s="7" t="str">
        <f>IFERROR(__xludf.DUMMYFUNCTION("GoogleTranslate(C204, ""en"", ""eu"")"),"Publiko orokorreko kide batzuek osasun-ondorioak izan ditzakete; talde sentikorretako kideek osasun-ondorio larriagoak izan ditzakete.")</f>
        <v>Publiko orokorreko kide batzuek osasun-ondorioak izan ditzakete; talde sentikorretako kideek osasun-ondorio larriagoak izan ditzakete.</v>
      </c>
      <c r="J204" s="7" t="str">
        <f>IFERROR(__xludf.DUMMYFUNCTION("GoogleTranslate(C204, ""en"", ""be"")"),"Некаторыя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f>
        <v>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v>
      </c>
      <c r="K204" s="7" t="str">
        <f>IFERROR(__xludf.DUMMYFUNCTION("GoogleTranslate(C204, ""en"", ""bn"")"),"সাধারণ জনগণের কিছু সদস্য স্বাস্থ্যের প্রভাব অনুভব করতে পারে; সংবেদনশীল গোষ্ঠীর সদস্যরা আরও গুরুতর স্বাস্থ্য প্রভাব অনুভব করতে পারে।")</f>
        <v>সাধারণ জনগণের কিছু সদস্য স্বাস্থ্যের প্রভাব অনুভব করতে পারে; সংবেদনশীল গোষ্ঠীর সদস্যরা আরও গুরুতর স্বাস্থ্য প্রভাব অনুভব করতে পারে।</v>
      </c>
      <c r="L204" s="7" t="str">
        <f>IFERROR(__xludf.DUMMYFUNCTION("GoogleTranslate(C204, ""en"", ""bg"")"),"Някои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f>
        <v>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v>
      </c>
      <c r="M204" s="7" t="str">
        <f>IFERROR(__xludf.DUMMYFUNCTION("GoogleTranslate(C204, ""en"", ""my"")"),"သာမန်ပြည်သူအချို့၏ ကျန်းမာရေးဆိုင်ရာ သက်ရောက်မှုများကို ခံစားရနိုင်သည်၊ ထိလွယ်ရှလွယ်သော အဖွဲ့များ၏ အဖွဲ့ဝင်များသည် ပိုမိုပြင်းထန်သော ကျန်းမာရေးဆိုင်ရာ သက်ရောက်မှုများကို ခံစားရနိုင်သည်။")</f>
        <v>သာမန်ပြည်သူအချို့၏ ကျန်းမာရေးဆိုင်ရာ သက်ရောက်မှုများကို ခံစားရနိုင်သည်၊ ထိလွယ်ရှလွယ်သော အဖွဲ့များ၏ အဖွဲ့ဝင်များသည် ပိုမိုပြင်းထန်သော ကျန်းမာရေးဆိုင်ရာ သက်ရောက်မှုများကို ခံစားရနိုင်သည်။</v>
      </c>
      <c r="N204" s="7" t="str">
        <f>IFERROR(__xludf.DUMMYFUNCTION("GoogleTranslate(C204, ""en"", ""ca"")"),"Alguns membres del públic en general poden experimentar efectes sobre la salut; els membres de grups sensibles poden experimentar efectes més greus per a la salut.")</f>
        <v>Alguns membres del públic en general poden experimentar efectes sobre la salut; els membres de grups sensibles poden experimentar efectes més greus per a la salut.</v>
      </c>
      <c r="O204" s="7" t="str">
        <f>IFERROR(__xludf.DUMMYFUNCTION("GoogleTranslate(C204, ""en"", ""zh-cn"")"),"一些公众可能会受到健康影响；敏感群体的成员可能会遭受更严重的健康影响。")</f>
        <v>一些公众可能会受到健康影响；敏感群体的成员可能会遭受更严重的健康影响。</v>
      </c>
      <c r="P204" s="7" t="str">
        <f>IFERROR(__xludf.DUMMYFUNCTION("GoogleTranslate(C204, ""en"", ""zh-TW"")"),"有些公眾可能會受到健康影響；敏感群體的成員可能會遭受更嚴重的健康影響。")</f>
        <v>有些公眾可能會受到健康影響；敏感群體的成員可能會遭受更嚴重的健康影響。</v>
      </c>
      <c r="Q204" s="7" t="str">
        <f>IFERROR(__xludf.DUMMYFUNCTION("GoogleTranslate(C204, ""en"", ""hr"")"),"Neki članovi opće javnosti mogu osjetiti zdravstvene učinke; pripadnici osjetljivih skupina mogu imati ozbiljnije zdravstvene posljedice.")</f>
        <v>Neki članovi opće javnosti mogu osjetiti zdravstvene učinke; pripadnici osjetljivih skupina mogu imati ozbiljnije zdravstvene posljedice.</v>
      </c>
      <c r="R204" s="7" t="str">
        <f>IFERROR(__xludf.DUMMYFUNCTION("GoogleTranslate(C204, ""en"", ""cs"")"),"Někteří členové široké veřejnosti mohou pociťovat zdravotní účinky; členové citlivých skupin mohou pociťovat vážnější zdravotní účinky.")</f>
        <v>Někteří členové široké veřejnosti mohou pociťovat zdravotní účinky; členové citlivých skupin mohou pociťovat vážnější zdravotní účinky.</v>
      </c>
      <c r="S204" s="7" t="str">
        <f>IFERROR(__xludf.DUMMYFUNCTION("GoogleTranslate(C204, ""en"", ""da"")"),"Nogle medlemmer af offentligheden kan opleve sundhedseffekter; medlemmer af følsomme grupper kan opleve mere alvorlige helbredseffekter.")</f>
        <v>Nogle medlemmer af offentligheden kan opleve sundhedseffekter; medlemmer af følsomme grupper kan opleve mere alvorlige helbredseffekter.</v>
      </c>
      <c r="T204" s="7" t="str">
        <f>IFERROR(__xludf.DUMMYFUNCTION("GoogleTranslate(C204, ""en"", ""nl"")"),"Sommige leden van het grote publiek kunnen gezondheidseffecten ervaren; leden van gevoelige groepen kunnen ernstigere gevolgen voor de gezondheid ervaren.")</f>
        <v>Sommige leden van het grote publiek kunnen gezondheidseffecten ervaren; leden van gevoelige groepen kunnen ernstigere gevolgen voor de gezondheid ervaren.</v>
      </c>
      <c r="U204" s="7" t="str">
        <f>IFERROR(__xludf.DUMMYFUNCTION("GoogleTranslate(C204, ""en"", ""et"")"),"Mõned üldsuse liikmed võivad kogeda tervisemõjusid; tundlike rühmade liikmed võivad kogeda tõsisemaid tervisemõjusid.")</f>
        <v>Mõned üldsuse liikmed võivad kogeda tervisemõjusid; tundlike rühmade liikmed võivad kogeda tõsisemaid tervisemõjusid.</v>
      </c>
      <c r="V204" s="5" t="str">
        <f t="shared" si="3"/>
        <v>Some members of the general public may experience health effects; members of sensitive groups may experience more serious health effects.</v>
      </c>
      <c r="W204" s="7" t="str">
        <f>IFERROR(__xludf.DUMMYFUNCTION("GoogleTranslate(C204, ""en"", ""fi"")"),"Jotkut suuren yleisön jäsenet voivat kokea terveysvaikutuksia; herkkien ryhmien jäsenillä voi olla vakavampia terveysvaikutuksia.")</f>
        <v>Jotkut suuren yleisön jäsenet voivat kokea terveysvaikutuksia; herkkien ryhmien jäsenillä voi olla vakavampia terveysvaikutuksia.</v>
      </c>
      <c r="X204" s="7" t="str">
        <f>IFERROR(__xludf.DUMMYFUNCTION("GoogleTranslate(C204, ""en"", ""fr"")"),"Certains membres du grand public peuvent subir des effets sur la santé ; les membres des groupes sensibles peuvent subir des effets plus graves sur leur santé.")</f>
        <v>Certains membres du grand public peuvent subir des effets sur la santé ; les membres des groupes sensibles peuvent subir des effets plus graves sur leur santé.</v>
      </c>
      <c r="Y204" s="7" t="str">
        <f>IFERROR(__xludf.DUMMYFUNCTION("GoogleTranslate(C204, ""en"", ""de"")"),"Bei einigen Mitgliedern der Öffentlichkeit können gesundheitliche Auswirkungen auftreten; Bei Mitgliedern sensibler Gruppen kann es zu schwerwiegenderen gesundheitlichen Auswirkungen kommen.")</f>
        <v>Bei einigen Mitgliedern der Öffentlichkeit können gesundheitliche Auswirkungen auftreten; Bei Mitgliedern sensibler Gruppen kann es zu schwerwiegenderen gesundheitlichen Auswirkungen kommen.</v>
      </c>
      <c r="Z204" s="7" t="str">
        <f>IFERROR(__xludf.DUMMYFUNCTION("GoogleTranslate(C204, ""en"", ""el"")"),"Ορισμένα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f>
        <v>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v>
      </c>
      <c r="AA204" s="7" t="str">
        <f>IFERROR(__xludf.DUMMYFUNCTION("GoogleTranslate(C204, ""en"", ""iw"")"),"חלק מהציבור הרחב עלולים לחוות השפעות בריאותיות; חברי קבוצות רגישות עלולים לחוות השפעות בריאותיות חמורות יותר.")</f>
        <v>חלק מהציבור הרחב עלולים לחוות השפעות בריאותיות; חברי קבוצות רגישות עלולים לחוות השפעות בריאותיות חמורות יותר.</v>
      </c>
      <c r="AB204" s="7" t="str">
        <f>IFERROR(__xludf.DUMMYFUNCTION("GoogleTranslate(C204, ""en"", ""hi"")"),"आम जनता के कुछ सदस्यों को स्वास्थ्य प्रभावों का अनुभव हो सकता है; संवेदनशील समूहों के सदस्यों को अधिक गंभीर स्वास्थ्य प्रभावों का अनुभव हो सकता है।")</f>
        <v>आम जनता के कुछ सदस्यों को स्वास्थ्य प्रभावों का अनुभव हो सकता है; संवेदनशील समूहों के सदस्यों को अधिक गंभीर स्वास्थ्य प्रभावों का अनुभव हो सकता है।</v>
      </c>
      <c r="AC204" s="7" t="str">
        <f>IFERROR(__xludf.DUMMYFUNCTION("GoogleTranslate(C204, ""en"", ""hu"")"),"A lakosság egy része egészségügyi hatásokat tapasztalhat; az érzékeny csoportok tagjai súlyosabb egészségügyi hatásokat tapasztalhatnak.")</f>
        <v>A lakosság egy része egészségügyi hatásokat tapasztalhat; az érzékeny csoportok tagjai súlyosabb egészségügyi hatásokat tapasztalhatnak.</v>
      </c>
      <c r="AD204" s="7" t="str">
        <f>IFERROR(__xludf.DUMMYFUNCTION("GoogleTranslate(C204, ""en"", ""is"")"),"Sumir meðlimir almennings geta fundið fyrir heilsufarsáhrifum; meðlimir viðkvæmra hópa geta fundið fyrir alvarlegri heilsufarsáhrifum.")</f>
        <v>Sumir meðlimir almennings geta fundið fyrir heilsufarsáhrifum; meðlimir viðkvæmra hópa geta fundið fyrir alvarlegri heilsufarsáhrifum.</v>
      </c>
      <c r="AE204" s="7" t="str">
        <f>IFERROR(__xludf.DUMMYFUNCTION("GoogleTranslate(C204, ""en"", ""id"")"),"Beberapa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F204" s="7" t="str">
        <f>IFERROR(__xludf.DUMMYFUNCTION("GoogleTranslate(C204, ""en"", ""in"")"),"Beberapa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G204" s="7" t="str">
        <f>IFERROR(__xludf.DUMMYFUNCTION("GoogleTranslate(C204, ""en"", ""it"")"),"Alcuni membri del pubblico in generale potrebbero sperimentare effetti sulla salute; i membri di gruppi sensibili possono sperimentare effetti sulla salute più gravi.")</f>
        <v>Alcuni membri del pubblico in generale potrebbero sperimentare effetti sulla salute; i membri di gruppi sensibili possono sperimentare effetti sulla salute più gravi.</v>
      </c>
      <c r="AH204" s="7" t="str">
        <f>IFERROR(__xludf.DUMMYFUNCTION("GoogleTranslate(C204, ""en"", ""ja"")"),"一般人の中には健康被害を経験する人もいるかもしれません。敏感なグループのメンバーは、より深刻な健康影響を経験する可能性があります。")</f>
        <v>一般人の中には健康被害を経験する人もいるかもしれません。敏感なグループのメンバーは、より深刻な健康影響を経験する可能性があります。</v>
      </c>
      <c r="AI204" s="7" t="str">
        <f>IFERROR(__xludf.DUMMYFUNCTION("GoogleTranslate(C204, ""en"", ""kn"")"),"ಸಾಮಾನ್ಯ ಜನರ ಕೆಲವು ಸದಸ್ಯರು ಆರೋಗ್ಯದ ಪರಿಣಾಮಗಳನ್ನು ಅನುಭವಿಸಬಹುದು; ಸೂಕ್ಷ್ಮ ಗುಂಪುಗಳ ಸದಸ್ಯರು ಹೆಚ್ಚು ಗಂಭೀರವಾದ ಆರೋಗ್ಯ ಪರಿಣಾಮಗಳನ್ನು ಅನುಭವಿಸಬಹುದು.")</f>
        <v>ಸಾಮಾನ್ಯ ಜನರ ಕೆಲವು ಸದಸ್ಯರು ಆರೋಗ್ಯದ ಪರಿಣಾಮಗಳನ್ನು ಅನುಭವಿಸಬಹುದು; ಸೂಕ್ಷ್ಮ ಗುಂಪುಗಳ ಸದಸ್ಯರು ಹೆಚ್ಚು ಗಂಭೀರವಾದ ಆರೋಗ್ಯ ಪರಿಣಾಮಗಳನ್ನು ಅನುಭವಿಸಬಹುದು.</v>
      </c>
      <c r="AJ204" s="7" t="str">
        <f>IFERROR(__xludf.DUMMYFUNCTION("GoogleTranslate(C204, ""en"", ""km"")"),"សមាជិកមួយចំនួននៃសាធារណជនទូទៅអាចជួបប្រទះផលប៉ះពាល់សុខភាព។ សមាជិកនៃក្រុមរសើបអាចជួបប្រទះផលប៉ះពាល់សុខភាពធ្ងន់ធ្ងរជាងនេះ។")</f>
        <v>សមាជិកមួយចំនួននៃសាធារណជនទូទៅអាចជួបប្រទះផលប៉ះពាល់សុខភាព។ សមាជិកនៃក្រុមរសើបអាចជួបប្រទះផលប៉ះពាល់សុខភាពធ្ងន់ធ្ងរជាងនេះ។</v>
      </c>
      <c r="AK204" s="7" t="str">
        <f>IFERROR(__xludf.DUMMYFUNCTION("GoogleTranslate(C204, ""en"", ""ko"")"),"일반 대중 중 일부는 건강에 영향을 미칠 수 있습니다. 민감한 그룹의 구성원은 건강에 더 심각한 영향을 미칠 수 있습니다.")</f>
        <v>일반 대중 중 일부는 건강에 영향을 미칠 수 있습니다. 민감한 그룹의 구성원은 건강에 더 심각한 영향을 미칠 수 있습니다.</v>
      </c>
      <c r="AL204" s="7" t="str">
        <f>IFERROR(__xludf.DUMMYFUNCTION("GoogleTranslate(C204, ""en"", ""lo"")"),"ສະມາຊິກບາງຄົນຂອງປະຊາຊົນທົ່ວໄປອາດຈະປະສົບຜົນກະທົບດ້ານສຸຂະພາບ;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f>
        <v>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v>
      </c>
      <c r="AM204" s="7" t="str">
        <f>IFERROR(__xludf.DUMMYFUNCTION("GoogleTranslate(C204, ""en"", ""lv"")"),"Dažiem plašas sabiedrības locekļiem var rasties ietekme uz veselību; jutīgu grupu locekļi var izjust nopietnāku ietekmi uz veselību.")</f>
        <v>Dažiem plašas sabiedrības locekļiem var rasties ietekme uz veselību; jutīgu grupu locekļi var izjust nopietnāku ietekmi uz veselību.</v>
      </c>
      <c r="AN204" s="7" t="str">
        <f>IFERROR(__xludf.DUMMYFUNCTION("GoogleTranslate(C204, ""en"", ""lt"")"),"Kai kurie plačiosios visuomenės nariai gali patirti poveikį sveikatai; jautrių grupių nariai gali patirti rimtesnį poveikį sveikatai.")</f>
        <v>Kai kurie plačiosios visuomenės nariai gali patirti poveikį sveikatai; jautrių grupių nariai gali patirti rimtesnį poveikį sveikatai.</v>
      </c>
      <c r="AO204" s="7" t="str">
        <f>IFERROR(__xludf.DUMMYFUNCTION("GoogleTranslate(C204, ""en"", ""mk"")"),"Некои членови на општата јавност може да доживеат здравствени ефекти; членовите на чувствителните групи може да доживеат посериозни здравствени ефекти.")</f>
        <v>Некои членови на општата јавност може да доживеат здравствени ефекти; членовите на чувствителните групи може да доживеат посериозни здравствени ефекти.</v>
      </c>
      <c r="AP204" s="7" t="str">
        <f>IFERROR(__xludf.DUMMYFUNCTION("GoogleTranslate(C204, ""en"", ""ms"")"),"Sesetengah orang awam mungkin mengalami kesan kesihatan; ahli kumpulan sensitif mungkin mengalami kesan kesihatan yang lebih serius.")</f>
        <v>Sesetengah orang awam mungkin mengalami kesan kesihatan; ahli kumpulan sensitif mungkin mengalami kesan kesihatan yang lebih serius.</v>
      </c>
      <c r="AQ204" s="7" t="str">
        <f>IFERROR(__xludf.DUMMYFUNCTION("GoogleTranslate(C204, ""en"", ""ml"")"),"പൊതുജനങ്ങളിൽ ചിലർക്ക് ആരോഗ്യപരമായ പ്രത്യാഘാതങ്ങൾ ഉണ്ടായേക്കാം; സെൻസിറ്റീവ് ഗ്രൂപ്പുകളിലെ അംഗങ്ങൾ കൂടുതൽ ഗുരുതരമായ ആരോഗ്യപ്രശ്നങ്ങൾ അനുഭവിച്ചേക്കാം.")</f>
        <v>പൊതുജനങ്ങളിൽ ചിലർക്ക് ആരോഗ്യപരമായ പ്രത്യാഘാതങ്ങൾ ഉണ്ടായേക്കാം; സെൻസിറ്റീവ് ഗ്രൂപ്പുകളിലെ അംഗങ്ങൾ കൂടുതൽ ഗുരുതരമായ ആരോഗ്യപ്രശ്നങ്ങൾ അനുഭവിച്ചേക്കാം.</v>
      </c>
      <c r="AR204" s="7" t="str">
        <f>IFERROR(__xludf.DUMMYFUNCTION("GoogleTranslate(C204, ""en"", ""mr"")"),"सामान्य लोकांच्या काही सदस्यांना आरोग्यावर परिणाम होऊ शकतात; संवेदनशील गटातील सदस्यांना आरोग्यावर अधिक गंभीर परिणाम होऊ शकतात.")</f>
        <v>सामान्य लोकांच्या काही सदस्यांना आरोग्यावर परिणाम होऊ शकतात; संवेदनशील गटातील सदस्यांना आरोग्यावर अधिक गंभीर परिणाम होऊ शकतात.</v>
      </c>
      <c r="AS204" s="7" t="str">
        <f>IFERROR(__xludf.DUMMYFUNCTION("GoogleTranslate(C204, ""en"", ""mn"")"),"Олон нийтийн зарим гишүүд эрүүл мэндэд сөрөг нөлөө үзүүлж болзошгүй; мэдрэмтгий бүлгийн гишүүд эрүүл мэндэд илүү ноцтой нөлөө үзүүлж болзошгүй.")</f>
        <v>Олон нийтийн зарим гишүүд эрүүл мэндэд сөрөг нөлөө үзүүлж болзошгүй; мэдрэмтгий бүлгийн гишүүд эрүүл мэндэд илүү ноцтой нөлөө үзүүлж болзошгүй.</v>
      </c>
      <c r="AT204" s="7" t="str">
        <f>IFERROR(__xludf.DUMMYFUNCTION("GoogleTranslate(C204, ""en"", ""ne"")"),"सामान्य जनताका केही सदस्यहरूले स्वास्थ्य प्रभावहरू अनुभव गर्न सक्छन्; संवेदनशील समूहका सदस्यहरूले थप गम्भीर स्वास्थ्य प्रभावहरू अनुभव गर्न सक्छन्।")</f>
        <v>सामान्य जनताका केही सदस्यहरूले स्वास्थ्य प्रभावहरू अनुभव गर्न सक्छन्; संवेदनशील समूहका सदस्यहरूले थप गम्भीर स्वास्थ्य प्रभावहरू अनुभव गर्न सक्छन्।</v>
      </c>
      <c r="AU204" s="7" t="str">
        <f>IFERROR(__xludf.DUMMYFUNCTION("GoogleTranslate(C204, ""en"", ""nb"")"),"Noen medlemmer av allmennheten kan oppleve helseeffekter; medlemmer av sensitive grupper kan oppleve mer alvorlige helseeffekter.")</f>
        <v>Noen medlemmer av allmennheten kan oppleve helseeffekter; medlemmer av sensitive grupper kan oppleve mer alvorlige helseeffekter.</v>
      </c>
      <c r="AV204" s="7" t="str">
        <f>IFERROR(__xludf.DUMMYFUNCTION("GoogleTranslate(C204, ""en"", ""fa"")"),"برخی از اعضای عموم ممکن است اثرات سلامتی را تجربه کنند. اعضای گروه های حساس ممکن است اثرات جدی تری بر سلامتی داشته باشند.")</f>
        <v>برخی از اعضای عموم ممکن است اثرات سلامتی را تجربه کنند. اعضای گروه های حساس ممکن است اثرات جدی تری بر سلامتی داشته باشند.</v>
      </c>
      <c r="AW204" s="7" t="str">
        <f>IFERROR(__xludf.DUMMYFUNCTION("GoogleTranslate(C204, ""en"", ""pl"")"),"Niektórzy członkowie społeczeństwa mogą doświadczyć skutków zdrowotnych; członkowie grup wrażliwych mogą doświadczyć poważniejszych skutków zdrowotnych.")</f>
        <v>Niektórzy członkowie społeczeństwa mogą doświadczyć skutków zdrowotnych; członkowie grup wrażliwych mogą doświadczyć poważniejszych skutków zdrowotnych.</v>
      </c>
      <c r="AX204" s="7" t="str">
        <f>IFERROR(__xludf.DUMMYFUNCTION("GoogleTranslate(C204, ""en"", ""pt"")"),"Alguns membros do público em geral podem sofrer efeitos na saúde; membros de grupos sensíveis podem sofrer efeitos mais graves para a saúde.")</f>
        <v>Alguns membros do público em geral podem sofrer efeitos na saúde; membros de grupos sensíveis podem sofrer efeitos mais graves para a saúde.</v>
      </c>
      <c r="AY204" s="7" t="str">
        <f>IFERROR(__xludf.DUMMYFUNCTION("GoogleTranslate(C204, ""en"", ""ro"")"),"Unii membri ai publicului larg pot avea efecte asupra sănătății; membrii grupurilor sensibile pot avea efecte mai grave asupra sănătății.")</f>
        <v>Unii membri ai publicului larg pot avea efecte asupra sănătății; membrii grupurilor sensibile pot avea efecte mai grave asupra sănătății.</v>
      </c>
      <c r="AZ204" s="7" t="str">
        <f>IFERROR(__xludf.DUMMYFUNCTION("GoogleTranslate(C204, ""en"", ""ru"")"),"Некоторые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f>
        <v>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v>
      </c>
      <c r="BA204" s="7" t="str">
        <f>IFERROR(__xludf.DUMMYFUNCTION("GoogleTranslate(C204, ""en"", ""sr"")"),"Неки припадници опште јавности могу имати здравствене последице; припадници осетљивих група могу имати озбиљније здравствене последице.")</f>
        <v>Неки припадници опште јавности могу имати здравствене последице; припадници осетљивих група могу имати озбиљније здравствене последице.</v>
      </c>
      <c r="BB204" s="7" t="str">
        <f>IFERROR(__xludf.DUMMYFUNCTION("GoogleTranslate(C204, ""en"", ""si"")"),"සාමාන්‍ය ජනතාවගේ සමහර සාමාජිකයින්ට සෞඛ්‍ය බලපෑම් ඇති විය හැක; සංවේදී කණ්ඩායම්වල සාමාජිකයින්ට වඩාත් බරපතල සෞඛ්ය බලපෑම් ඇති විය හැක.")</f>
        <v>සාමාන්‍ය ජනතාවගේ සමහර සාමාජිකයින්ට සෞඛ්‍ය බලපෑම් ඇති විය හැක; සංවේදී කණ්ඩායම්වල සාමාජිකයින්ට වඩාත් බරපතල සෞඛ්ය බලපෑම් ඇති විය හැක.</v>
      </c>
      <c r="BC204" s="7" t="str">
        <f>IFERROR(__xludf.DUMMYFUNCTION("GoogleTranslate(C204, ""en"", ""sk"")"),"Niektorí členovia širokej verejnosti môžu pociťovať zdravotné účinky; členovia citlivých skupín môžu pociťovať vážnejšie zdravotné účinky.")</f>
        <v>Niektorí členovia širokej verejnosti môžu pociťovať zdravotné účinky; členovia citlivých skupín môžu pociťovať vážnejšie zdravotné účinky.</v>
      </c>
      <c r="BD204" s="7" t="str">
        <f>IFERROR(__xludf.DUMMYFUNCTION("GoogleTranslate(C204, ""en"", ""sl"")"),"Nekateri člani širše javnosti lahko občutijo zdravstvene posledice; pripadniki občutljivih skupin imajo lahko resnejše posledice za zdravje.")</f>
        <v>Nekateri člani širše javnosti lahko občutijo zdravstvene posledice; pripadniki občutljivih skupin imajo lahko resnejše posledice za zdravje.</v>
      </c>
      <c r="BE204" s="7" t="str">
        <f>IFERROR(__xludf.DUMMYFUNCTION("GoogleTranslate(C204,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BF204" s="7" t="str">
        <f>IFERROR(__xludf.DUMMYFUNCTION("GoogleTranslate(C204, ""en"", ""sw"")"),"Baadhi ya wananchi kwa ujumla wanaweza kupata madhara ya kiafya; wanachama wa makundi nyeti wanaweza kupata madhara makubwa zaidi ya afya.")</f>
        <v>Baadhi ya wananchi kwa ujumla wanaweza kupata madhara ya kiafya; wanachama wa makundi nyeti wanaweza kupata madhara makubwa zaidi ya afya.</v>
      </c>
      <c r="BG204" s="7" t="str">
        <f>IFERROR(__xludf.DUMMYFUNCTION("GoogleTranslate(C204, ""en"", ""sv"")"),"Vissa medlemmar av allmänheten kan uppleva hälsoeffekter; medlemmar i känsliga grupper kan uppleva allvarligare hälsoeffekter.")</f>
        <v>Vissa medlemmar av allmänheten kan uppleva hälsoeffekter; medlemmar i känsliga grupper kan uppleva allvarligare hälsoeffekter.</v>
      </c>
      <c r="BH204" s="7" t="str">
        <f>IFERROR(__xludf.DUMMYFUNCTION("GoogleTranslate(C204, ""en"", ""te"")"),"సాధారణ ప్రజలలోని కొందరు సభ్యులు ఆరోగ్య ప్రభావాలను అనుభవించవచ్చు; సున్నితమైన సమూహాల సభ్యులు మరింత తీవ్రమైన ఆరోగ్య ప్రభావాలను అనుభవించవచ్చు.")</f>
        <v>సాధారణ ప్రజలలోని కొందరు సభ్యులు ఆరోగ్య ప్రభావాలను అనుభవించవచ్చు; సున్నితమైన సమూహాల సభ్యులు మరింత తీవ్రమైన ఆరోగ్య ప్రభావాలను అనుభవించవచ్చు.</v>
      </c>
      <c r="BI204" s="7" t="str">
        <f>IFERROR(__xludf.DUMMYFUNCTION("GoogleTranslate(C204, ""en"", ""th"")"),"ประชาชนทั่วไปบางคนอาจได้รับผลกระทบต่อสุขภาพ สมาชิกของกลุ่มที่มีความอ่อนไหวอาจได้รับผลกระทบต่อสุขภาพที่รุนแรงยิ่งขึ้น")</f>
        <v>ประชาชนทั่วไปบางคนอาจได้รับผลกระทบต่อสุขภาพ สมาชิกของกลุ่มที่มีความอ่อนไหวอาจได้รับผลกระทบต่อสุขภาพที่รุนแรงยิ่งขึ้น</v>
      </c>
      <c r="BJ204" s="7" t="str">
        <f>IFERROR(__xludf.DUMMYFUNCTION("GoogleTranslate(C204, ""en"", ""tr"")"),"Halkın bazı üyeleri sağlıkla ilgili etkilerle karşılaşabilir; hassas grupların üyeleri daha ciddi sağlık etkileriyle karşılaşabilir.")</f>
        <v>Halkın bazı üyeleri sağlıkla ilgili etkilerle karşılaşabilir; hassas grupların üyeleri daha ciddi sağlık etkileriyle karşılaşabilir.</v>
      </c>
      <c r="BK204" s="7" t="str">
        <f>IFERROR(__xludf.DUMMYFUNCTION("GoogleTranslate(C204, ""en"", ""uk"")"),"Деякі представники широкої громадськості можуть відчувати вплив на здоров'я; члени чутливих груп можуть мати більш серйозні наслідки для здоров'я.")</f>
        <v>Деякі представники широкої громадськості можуть відчувати вплив на здоров'я; члени чутливих груп можуть мати більш серйозні наслідки для здоров'я.</v>
      </c>
      <c r="BL204" s="7" t="str">
        <f>IFERROR(__xludf.DUMMYFUNCTION("GoogleTranslate(C204, ""en"", ""zu"")"),"Amanye amalungu omphakathi jikelele angase abe nemiphumela yezempilo; amalungu amaqembu azwelayo angase abe nemiphumela emibi kakhulu yezempilo.")</f>
        <v>Amanye amalungu omphakathi jikelele angase abe nemiphumela yezempilo; amalungu amaqembu azwelayo angase abe nemiphumela emibi kakhulu yezempilo.</v>
      </c>
    </row>
    <row r="205">
      <c r="A205" s="5" t="str">
        <f t="shared" si="1"/>
        <v>Health_alert:_The_risk_of_health_effects_is_increased_for_everyone.</v>
      </c>
      <c r="B205" s="4" t="s">
        <v>254</v>
      </c>
      <c r="C205" s="4" t="s">
        <v>254</v>
      </c>
      <c r="D205" s="7" t="str">
        <f>IFERROR(__xludf.DUMMYFUNCTION("GoogleTranslate(C205, ""en"", ""es"")"),"Alerta sanitaria: El riesgo de efectos sobre la salud aumenta para todos.")</f>
        <v>Alerta sanitaria: El riesgo de efectos sobre la salud aumenta para todos.</v>
      </c>
      <c r="E205" s="7" t="str">
        <f>IFERROR(__xludf.DUMMYFUNCTION("GoogleTranslate(C205, ""en"", ""ar"")"),"تنبيه صحي: يزداد خطر حدوث آثار صحية على الجميع.")</f>
        <v>تنبيه صحي: يزداد خطر حدوث آثار صحية على الجميع.</v>
      </c>
      <c r="F205" s="7" t="str">
        <f>IFERROR(__xludf.DUMMYFUNCTION("GoogleTranslate(C205, ""en"", ""hy"")"),"Առողջության նախազգուշացում. առողջության վրա ազդեցության ռիսկը մեծանում է բոլորի համար:")</f>
        <v>Առողջության նախազգուշացում. առողջության վրա ազդեցության ռիսկը մեծանում է բոլորի համար:</v>
      </c>
      <c r="G205" s="7" t="str">
        <f>IFERROR(__xludf.DUMMYFUNCTION("GoogleTranslate(C205, ""en"", ""vi"")"),"Cảnh báo về sức khỏe: Nguy cơ ảnh hưởng đến sức khỏe ngày càng tăng đối với mọi người.")</f>
        <v>Cảnh báo về sức khỏe: Nguy cơ ảnh hưởng đến sức khỏe ngày càng tăng đối với mọi người.</v>
      </c>
      <c r="H205" s="7" t="str">
        <f>IFERROR(__xludf.DUMMYFUNCTION("GoogleTranslate(C205, ""en"", ""az"")"),"Sağlamlıq xəbərdarlığı: Sağlamlığa təsir riski hər kəs üçün artır.")</f>
        <v>Sağlamlıq xəbərdarlığı: Sağlamlığa təsir riski hər kəs üçün artır.</v>
      </c>
      <c r="I205" s="7" t="str">
        <f>IFERROR(__xludf.DUMMYFUNCTION("GoogleTranslate(C205, ""en"", ""eu"")"),"Osasun alerta: osasun-ondorioak izateko arriskua areagotu egiten da guztiontzat.")</f>
        <v>Osasun alerta: osasun-ondorioak izateko arriskua areagotu egiten da guztiontzat.</v>
      </c>
      <c r="J205" s="7" t="str">
        <f>IFERROR(__xludf.DUMMYFUNCTION("GoogleTranslate(C205, ""en"", ""be"")"),"Папярэджанне пра здароўе: рызыка наступстваў для здароўя павышаецца для ўсіх.")</f>
        <v>Папярэджанне пра здароўе: рызыка наступстваў для здароўя павышаецца для ўсіх.</v>
      </c>
      <c r="K205" s="7" t="str">
        <f>IFERROR(__xludf.DUMMYFUNCTION("GoogleTranslate(C205, ""en"", ""bn"")"),"স্বাস্থ্য সতর্কতা: প্রত্যেকের জন্য স্বাস্থ্যের প্রভাবের ঝুঁকি বেড়ে যায়।")</f>
        <v>স্বাস্থ্য সতর্কতা: প্রত্যেকের জন্য স্বাস্থ্যের প্রভাবের ঝুঁকি বেড়ে যায়।</v>
      </c>
      <c r="L205" s="7" t="str">
        <f>IFERROR(__xludf.DUMMYFUNCTION("GoogleTranslate(C205, ""en"", ""bg"")"),"Здравен сигнал: Рискът от последици за здравето е повишен за всички.")</f>
        <v>Здравен сигнал: Рискът от последици за здравето е повишен за всички.</v>
      </c>
      <c r="M205" s="7" t="str">
        <f>IFERROR(__xludf.DUMMYFUNCTION("GoogleTranslate(C205, ""en"", ""my"")"),"ကျန်းမာရေးသတိပေးချက်- လူတိုင်းအတွက် ကျန်းမာရေးအကျိုးသက်ရောက်မှုအန္တရာယ် တိုးလာပါသည်။")</f>
        <v>ကျန်းမာရေးသတိပေးချက်- လူတိုင်းအတွက် ကျန်းမာရေးအကျိုးသက်ရောက်မှုအန္တရာယ် တိုးလာပါသည်။</v>
      </c>
      <c r="N205" s="7" t="str">
        <f>IFERROR(__xludf.DUMMYFUNCTION("GoogleTranslate(C205, ""en"", ""ca"")"),"Alerta sanitària: augmenta el risc d'efectes sobre la salut per a tothom.")</f>
        <v>Alerta sanitària: augmenta el risc d'efectes sobre la salut per a tothom.</v>
      </c>
      <c r="O205" s="7" t="str">
        <f>IFERROR(__xludf.DUMMYFUNCTION("GoogleTranslate(C205, ""en"", ""zh-cn"")"),"健康警报：每个人的健康影响风险都会增加。")</f>
        <v>健康警报：每个人的健康影响风险都会增加。</v>
      </c>
      <c r="P205" s="7" t="str">
        <f>IFERROR(__xludf.DUMMYFUNCTION("GoogleTranslate(C205, ""en"", ""zh-TW"")"),"健康警報：每個人的健康影響風險都會增加。")</f>
        <v>健康警報：每個人的健康影響風險都會增加。</v>
      </c>
      <c r="Q205" s="7" t="str">
        <f>IFERROR(__xludf.DUMMYFUNCTION("GoogleTranslate(C205, ""en"", ""hr"")"),"Zdravstveno upozorenje: Rizik od zdravstvenih učinaka je povećan za sve.")</f>
        <v>Zdravstveno upozorenje: Rizik od zdravstvenih učinaka je povećan za sve.</v>
      </c>
      <c r="R205" s="7" t="str">
        <f>IFERROR(__xludf.DUMMYFUNCTION("GoogleTranslate(C205, ""en"", ""cs"")"),"Zdravotní upozornění: Riziko zdravotních účinků je pro každého zvýšené.")</f>
        <v>Zdravotní upozornění: Riziko zdravotních účinků je pro každého zvýšené.</v>
      </c>
      <c r="S205" s="7" t="str">
        <f>IFERROR(__xludf.DUMMYFUNCTION("GoogleTranslate(C205, ""en"", ""da"")"),"Sundhedsalarm: Risikoen for helbredspåvirkninger er øget for alle.")</f>
        <v>Sundhedsalarm: Risikoen for helbredspåvirkninger er øget for alle.</v>
      </c>
      <c r="T205" s="7" t="str">
        <f>IFERROR(__xludf.DUMMYFUNCTION("GoogleTranslate(C205, ""en"", ""nl"")"),"Gezondheidswaarschuwing: Het risico op gezondheidseffecten is voor iedereen groter.")</f>
        <v>Gezondheidswaarschuwing: Het risico op gezondheidseffecten is voor iedereen groter.</v>
      </c>
      <c r="U205" s="7" t="str">
        <f>IFERROR(__xludf.DUMMYFUNCTION("GoogleTranslate(C205, ""en"", ""et"")"),"Tervisehoiatus: tervisemõjude oht on kõigi jaoks suurenenud.")</f>
        <v>Tervisehoiatus: tervisemõjude oht on kõigi jaoks suurenenud.</v>
      </c>
      <c r="V205" s="5" t="str">
        <f t="shared" si="3"/>
        <v>Health alert: The risk of health effects is increased for everyone.</v>
      </c>
      <c r="W205" s="7" t="str">
        <f>IFERROR(__xludf.DUMMYFUNCTION("GoogleTranslate(C205, ""en"", ""fi"")"),"Terveysvaroitus: Terveysvaikutusten riski on lisääntynyt kaikilla.")</f>
        <v>Terveysvaroitus: Terveysvaikutusten riski on lisääntynyt kaikilla.</v>
      </c>
      <c r="X205" s="7" t="str">
        <f>IFERROR(__xludf.DUMMYFUNCTION("GoogleTranslate(C205, ""en"", ""fr"")"),"Alerte santé : Le risque d’effets sur la santé est accru pour tout le monde.")</f>
        <v>Alerte santé : Le risque d’effets sur la santé est accru pour tout le monde.</v>
      </c>
      <c r="Y205" s="7" t="str">
        <f>IFERROR(__xludf.DUMMYFUNCTION("GoogleTranslate(C205, ""en"", ""de"")"),"Gesundheitswarnung: Das Risiko gesundheitlicher Auswirkungen ist für alle erhöht.")</f>
        <v>Gesundheitswarnung: Das Risiko gesundheitlicher Auswirkungen ist für alle erhöht.</v>
      </c>
      <c r="Z205" s="7" t="str">
        <f>IFERROR(__xludf.DUMMYFUNCTION("GoogleTranslate(C205, ""en"", ""el"")"),"Προειδοποίηση για την υγεία: Ο κίνδυνος επιπτώσεων στην υγεία είναι αυξημένος για όλους.")</f>
        <v>Προειδοποίηση για την υγεία: Ο κίνδυνος επιπτώσεων στην υγεία είναι αυξημένος για όλους.</v>
      </c>
      <c r="AA205" s="7" t="str">
        <f>IFERROR(__xludf.DUMMYFUNCTION("GoogleTranslate(C205, ""en"", ""iw"")"),"התראת בריאות: הסיכון להשפעות בריאותיות מוגבר עבור כולם.")</f>
        <v>התראת בריאות: הסיכון להשפעות בריאותיות מוגבר עבור כולם.</v>
      </c>
      <c r="AB205" s="7" t="str">
        <f>IFERROR(__xludf.DUMMYFUNCTION("GoogleTranslate(C205, ""en"", ""hi"")"),"स्वास्थ्य चेतावनी: हर किसी के स्वास्थ्य पर प्रभाव पड़ने का खतरा बढ़ गया है।")</f>
        <v>स्वास्थ्य चेतावनी: हर किसी के स्वास्थ्य पर प्रभाव पड़ने का खतरा बढ़ गया है।</v>
      </c>
      <c r="AC205" s="7" t="str">
        <f>IFERROR(__xludf.DUMMYFUNCTION("GoogleTranslate(C205, ""en"", ""hu"")"),"Egészségügyi figyelmeztetés: Az egészségügyi hatások kockázata mindenki számára megnövekedett.")</f>
        <v>Egészségügyi figyelmeztetés: Az egészségügyi hatások kockázata mindenki számára megnövekedett.</v>
      </c>
      <c r="AD205" s="7" t="str">
        <f>IFERROR(__xludf.DUMMYFUNCTION("GoogleTranslate(C205, ""en"", ""is"")"),"Heilsuviðvörun: Hættan á heilsufarsáhrifum er aukin fyrir alla.")</f>
        <v>Heilsuviðvörun: Hættan á heilsufarsáhrifum er aukin fyrir alla.</v>
      </c>
      <c r="AE205" s="7" t="str">
        <f>IFERROR(__xludf.DUMMYFUNCTION("GoogleTranslate(C205, ""en"", ""id"")"),"Peringatan kesehatan: Risiko dampak kesehatan meningkat pada semua orang.")</f>
        <v>Peringatan kesehatan: Risiko dampak kesehatan meningkat pada semua orang.</v>
      </c>
      <c r="AF205" s="7" t="str">
        <f>IFERROR(__xludf.DUMMYFUNCTION("GoogleTranslate(C205, ""en"", ""in"")"),"Peringatan kesehatan: Risiko dampak kesehatan meningkat pada semua orang.")</f>
        <v>Peringatan kesehatan: Risiko dampak kesehatan meningkat pada semua orang.</v>
      </c>
      <c r="AG205" s="7" t="str">
        <f>IFERROR(__xludf.DUMMYFUNCTION("GoogleTranslate(C205, ""en"", ""it"")"),"Avviso sanitario: il rischio di effetti sulla salute aumenta per tutti.")</f>
        <v>Avviso sanitario: il rischio di effetti sulla salute aumenta per tutti.</v>
      </c>
      <c r="AH205" s="7" t="str">
        <f>IFERROR(__xludf.DUMMYFUNCTION("GoogleTranslate(C205, ""en"", ""ja"")"),"健康に関する警告: 健康影響のリスクは誰にとっても高まります。")</f>
        <v>健康に関する警告: 健康影響のリスクは誰にとっても高まります。</v>
      </c>
      <c r="AI205" s="7" t="str">
        <f>IFERROR(__xludf.DUMMYFUNCTION("GoogleTranslate(C205, ""en"", ""kn"")"),"ಆರೋಗ್ಯ ಎಚ್ಚರಿಕೆ: ಆರೋಗ್ಯದ ಪರಿಣಾಮಗಳ ಅಪಾಯವು ಎಲ್ಲರಿಗೂ ಹೆಚ್ಚಾಗುತ್ತದೆ.")</f>
        <v>ಆರೋಗ್ಯ ಎಚ್ಚರಿಕೆ: ಆರೋಗ್ಯದ ಪರಿಣಾಮಗಳ ಅಪಾಯವು ಎಲ್ಲರಿಗೂ ಹೆಚ್ಚಾಗುತ್ತದೆ.</v>
      </c>
      <c r="AJ205" s="7" t="str">
        <f>IFERROR(__xludf.DUMMYFUNCTION("GoogleTranslate(C205, ""en"", ""km"")"),"ការជូនដំណឹងអំពីសុខភាព៖ ហានិភ័យនៃផលប៉ះពាល់សុខភាពត្រូវបានកើនឡើងសម្រាប់មនុស្សគ្រប់គ្នា។")</f>
        <v>ការជូនដំណឹងអំពីសុខភាព៖ ហានិភ័យនៃផលប៉ះពាល់សុខភាពត្រូវបានកើនឡើងសម្រាប់មនុស្សគ្រប់គ្នា។</v>
      </c>
      <c r="AK205" s="7" t="str">
        <f>IFERROR(__xludf.DUMMYFUNCTION("GoogleTranslate(C205, ""en"", ""ko"")"),"건강 경고: 건강에 영향을 미칠 위험은 모든 사람에게 증가합니다.")</f>
        <v>건강 경고: 건강에 영향을 미칠 위험은 모든 사람에게 증가합니다.</v>
      </c>
      <c r="AL205" s="7" t="str">
        <f>IFERROR(__xludf.DUMMYFUNCTION("GoogleTranslate(C205, ""en"", ""lo"")"),"ການເຕືອນໄພສຸຂະພາບ: ຄວາມສ່ຽງຂອງຜົນກະທົບດ້ານສຸຂະພາບແມ່ນເພີ່ມຂຶ້ນສໍາລັບທຸກຄົນ.")</f>
        <v>ການເຕືອນໄພສຸຂະພາບ: ຄວາມສ່ຽງຂອງຜົນກະທົບດ້ານສຸຂະພາບແມ່ນເພີ່ມຂຶ້ນສໍາລັບທຸກຄົນ.</v>
      </c>
      <c r="AM205" s="7" t="str">
        <f>IFERROR(__xludf.DUMMYFUNCTION("GoogleTranslate(C205, ""en"", ""lv"")"),"Brīdinājums par veselību: Ikvienam ir paaugstināts ietekmes uz veselību risks.")</f>
        <v>Brīdinājums par veselību: Ikvienam ir paaugstināts ietekmes uz veselību risks.</v>
      </c>
      <c r="AN205" s="7" t="str">
        <f>IFERROR(__xludf.DUMMYFUNCTION("GoogleTranslate(C205, ""en"", ""lt"")"),"Įspėjimas apie sveikatą: Poveikio sveikatai rizika padidėja visiems.")</f>
        <v>Įspėjimas apie sveikatą: Poveikio sveikatai rizika padidėja visiems.</v>
      </c>
      <c r="AO205" s="7" t="str">
        <f>IFERROR(__xludf.DUMMYFUNCTION("GoogleTranslate(C205, ""en"", ""mk"")"),"Здравствено предупредување: Ризикот од здравствени ефекти е зголемен за секого.")</f>
        <v>Здравствено предупредување: Ризикот од здравствени ефекти е зголемен за секого.</v>
      </c>
      <c r="AP205" s="7" t="str">
        <f>IFERROR(__xludf.DUMMYFUNCTION("GoogleTranslate(C205, ""en"", ""ms"")"),"Amaran kesihatan: Risiko kesan kesihatan meningkat untuk semua orang.")</f>
        <v>Amaran kesihatan: Risiko kesan kesihatan meningkat untuk semua orang.</v>
      </c>
      <c r="AQ205" s="7" t="str">
        <f>IFERROR(__xludf.DUMMYFUNCTION("GoogleTranslate(C205, ""en"", ""ml"")"),"ആരോഗ്യ മുന്നറിയിപ്പ്: ആരോഗ്യപരമായ പ്രത്യാഘാതങ്ങളുടെ സാധ്യത എല്ലാവർക്കും വർധിച്ചിരിക്കുന്നു.")</f>
        <v>ആരോഗ്യ മുന്നറിയിപ്പ്: ആരോഗ്യപരമായ പ്രത്യാഘാതങ്ങളുടെ സാധ്യത എല്ലാവർക്കും വർധിച്ചിരിക്കുന്നു.</v>
      </c>
      <c r="AR205" s="7" t="str">
        <f>IFERROR(__xludf.DUMMYFUNCTION("GoogleTranslate(C205, ""en"", ""mr"")"),"आरोग्य सूचना: प्रत्येकासाठी आरोग्यावर परिणाम होण्याचा धोका वाढला आहे.")</f>
        <v>आरोग्य सूचना: प्रत्येकासाठी आरोग्यावर परिणाम होण्याचा धोका वाढला आहे.</v>
      </c>
      <c r="AS205" s="7" t="str">
        <f>IFERROR(__xludf.DUMMYFUNCTION("GoogleTranslate(C205, ""en"", ""mn"")"),"Эрүүл мэндийн сэрэмжлүүлэг: Эрүүл мэндэд нөлөөлөх эрсдэл хүн бүрийн хувьд нэмэгддэг.")</f>
        <v>Эрүүл мэндийн сэрэмжлүүлэг: Эрүүл мэндэд нөлөөлөх эрсдэл хүн бүрийн хувьд нэмэгддэг.</v>
      </c>
      <c r="AT205" s="7" t="str">
        <f>IFERROR(__xludf.DUMMYFUNCTION("GoogleTranslate(C205, ""en"", ""ne"")"),"स्वास्थ्य सतर्कता: स्वास्थ्य प्रभावहरूको जोखिम सबैको लागि बढेको छ।")</f>
        <v>स्वास्थ्य सतर्कता: स्वास्थ्य प्रभावहरूको जोखिम सबैको लागि बढेको छ।</v>
      </c>
      <c r="AU205" s="7" t="str">
        <f>IFERROR(__xludf.DUMMYFUNCTION("GoogleTranslate(C205, ""en"", ""nb"")"),"Helsevarsling: Risikoen for helseeffekter øker for alle.")</f>
        <v>Helsevarsling: Risikoen for helseeffekter øker for alle.</v>
      </c>
      <c r="AV205" s="7" t="str">
        <f>IFERROR(__xludf.DUMMYFUNCTION("GoogleTranslate(C205, ""en"", ""fa"")"),"هشدار سلامت: خطر عوارض سلامتی برای همه افزایش می یابد.")</f>
        <v>هشدار سلامت: خطر عوارض سلامتی برای همه افزایش می یابد.</v>
      </c>
      <c r="AW205" s="7" t="str">
        <f>IFERROR(__xludf.DUMMYFUNCTION("GoogleTranslate(C205, ""en"", ""pl"")"),"Uwaga zdrowotna: Ryzyko wystąpienia skutków zdrowotnych jest zwiększone u każdego.")</f>
        <v>Uwaga zdrowotna: Ryzyko wystąpienia skutków zdrowotnych jest zwiększone u każdego.</v>
      </c>
      <c r="AX205" s="7" t="str">
        <f>IFERROR(__xludf.DUMMYFUNCTION("GoogleTranslate(C205, ""en"", ""pt"")"),"Alerta de saúde: O risco de efeitos na saúde aumenta para todos.")</f>
        <v>Alerta de saúde: O risco de efeitos na saúde aumenta para todos.</v>
      </c>
      <c r="AY205" s="7" t="str">
        <f>IFERROR(__xludf.DUMMYFUNCTION("GoogleTranslate(C205, ""en"", ""ro"")"),"Alertă de sănătate: Riscul de efecte asupra sănătății este crescut pentru toată lumea.")</f>
        <v>Alertă de sănătate: Riscul de efecte asupra sănătății este crescut pentru toată lumea.</v>
      </c>
      <c r="AZ205" s="7" t="str">
        <f>IFERROR(__xludf.DUMMYFUNCTION("GoogleTranslate(C205, ""en"", ""ru"")"),"Предупреждение о здоровье: риск последствий для здоровья увеличивается для всех.")</f>
        <v>Предупреждение о здоровье: риск последствий для здоровья увеличивается для всех.</v>
      </c>
      <c r="BA205" s="7" t="str">
        <f>IFERROR(__xludf.DUMMYFUNCTION("GoogleTranslate(C205, ""en"", ""sr"")"),"Здравствено упозорење: Ризик од здравствених ефеката је повећан за све.")</f>
        <v>Здравствено упозорење: Ризик од здравствених ефеката је повећан за све.</v>
      </c>
      <c r="BB205" s="7" t="str">
        <f>IFERROR(__xludf.DUMMYFUNCTION("GoogleTranslate(C205, ""en"", ""si"")"),"සෞඛ්‍ය අනතුරු ඇඟවීම: සෞඛ්‍ය බලපෑම් අවදානම සෑම කෙනෙකුටම වැඩි වේ.")</f>
        <v>සෞඛ්‍ය අනතුරු ඇඟවීම: සෞඛ්‍ය බලපෑම් අවදානම සෑම කෙනෙකුටම වැඩි වේ.</v>
      </c>
      <c r="BC205" s="7" t="str">
        <f>IFERROR(__xludf.DUMMYFUNCTION("GoogleTranslate(C205, ""en"", ""sk"")"),"Zdravotné upozornenie: Riziko zdravotných účinkov je zvýšené pre každého.")</f>
        <v>Zdravotné upozornenie: Riziko zdravotných účinkov je zvýšené pre každého.</v>
      </c>
      <c r="BD205" s="7" t="str">
        <f>IFERROR(__xludf.DUMMYFUNCTION("GoogleTranslate(C205, ""en"", ""sl"")"),"Zdravstveno opozorilo: Tveganje za učinke na zdravje je povečano za vse.")</f>
        <v>Zdravstveno opozorilo: Tveganje za učinke na zdravje je povečano za vse.</v>
      </c>
      <c r="BE205" s="7" t="str">
        <f>IFERROR(__xludf.DUMMYFUNCTION("GoogleTranslate(C205, ""en"", ""es"")"),"Alerta sanitaria: El riesgo de efectos sobre la salud aumenta para todos.")</f>
        <v>Alerta sanitaria: El riesgo de efectos sobre la salud aumenta para todos.</v>
      </c>
      <c r="BF205" s="7" t="str">
        <f>IFERROR(__xludf.DUMMYFUNCTION("GoogleTranslate(C205, ""en"", ""sw"")"),"Tahadhari ya kiafya: Hatari ya athari za kiafya huongezeka kwa kila mtu.")</f>
        <v>Tahadhari ya kiafya: Hatari ya athari za kiafya huongezeka kwa kila mtu.</v>
      </c>
      <c r="BG205" s="7" t="str">
        <f>IFERROR(__xludf.DUMMYFUNCTION("GoogleTranslate(C205, ""en"", ""sv"")"),"Hälsovarning: Risken för hälsoeffekter ökar för alla.")</f>
        <v>Hälsovarning: Risken för hälsoeffekter ökar för alla.</v>
      </c>
      <c r="BH205" s="7" t="str">
        <f>IFERROR(__xludf.DUMMYFUNCTION("GoogleTranslate(C205, ""en"", ""te"")"),"ఆరోగ్య హెచ్చరిక: ఆరోగ్య ప్రభావాల ప్రమాదం అందరికీ పెరుగుతుంది.")</f>
        <v>ఆరోగ్య హెచ్చరిక: ఆరోగ్య ప్రభావాల ప్రమాదం అందరికీ పెరుగుతుంది.</v>
      </c>
      <c r="BI205" s="7" t="str">
        <f>IFERROR(__xludf.DUMMYFUNCTION("GoogleTranslate(C205, ""en"", ""th"")"),"การแจ้งเตือนด้านสุขภาพ: ความเสี่ยงต่อผลกระทบต่อสุขภาพเพิ่มขึ้นสำหรับทุกคน")</f>
        <v>การแจ้งเตือนด้านสุขภาพ: ความเสี่ยงต่อผลกระทบต่อสุขภาพเพิ่มขึ้นสำหรับทุกคน</v>
      </c>
      <c r="BJ205" s="7" t="str">
        <f>IFERROR(__xludf.DUMMYFUNCTION("GoogleTranslate(C205, ""en"", ""tr"")"),"Sağlık uyarısı: Sağlık etkileri riski herkes için artar.")</f>
        <v>Sağlık uyarısı: Sağlık etkileri riski herkes için artar.</v>
      </c>
      <c r="BK205" s="7" t="str">
        <f>IFERROR(__xludf.DUMMYFUNCTION("GoogleTranslate(C205, ""en"", ""uk"")"),"Попередження про здоров’я: ризики для здоров’я підвищуються для всіх.")</f>
        <v>Попередження про здоров’я: ризики для здоров’я підвищуються для всіх.</v>
      </c>
      <c r="BL205" s="7" t="str">
        <f>IFERROR(__xludf.DUMMYFUNCTION("GoogleTranslate(C205, ""en"", ""zu"")"),"Isexwayiso sezempilo: Ingozi yemiphumela yezempilo iyanda kuwo wonke umuntu.")</f>
        <v>Isexwayiso sezempilo: Ingozi yemiphumela yezempilo iyanda kuwo wonke umuntu.</v>
      </c>
    </row>
    <row r="206">
      <c r="A206" s="5" t="str">
        <f t="shared" si="1"/>
        <v>Health_warning_of_emergency_conditions:_everyone_is_more_likely_to_be_affected.</v>
      </c>
      <c r="B206" s="4" t="s">
        <v>255</v>
      </c>
      <c r="C206" s="4" t="s">
        <v>255</v>
      </c>
      <c r="D206" s="7" t="str">
        <f>IFERROR(__xludf.DUMMYFUNCTION("GoogleTranslate(C206, ""en"", ""es"")"),"Advertencia sanitaria de condiciones de emergencia: todos tienen más probabilidades de verse afectados.")</f>
        <v>Advertencia sanitaria de condiciones de emergencia: todos tienen más probabilidades de verse afectados.</v>
      </c>
      <c r="E206" s="7" t="str">
        <f>IFERROR(__xludf.DUMMYFUNCTION("GoogleTranslate(C206, ""en"", ""ar"")"),"التحذير الصحي من الظروف الطارئة: الجميع أكثر عرضة للتأثر.")</f>
        <v>التحذير الصحي من الظروف الطارئة: الجميع أكثر عرضة للتأثر.</v>
      </c>
      <c r="F206" s="7" t="str">
        <f>IFERROR(__xludf.DUMMYFUNCTION("GoogleTranslate(C206, ""en"", ""hy"")"),"Առողջապահական նախազգուշացում արտակարգ իրավիճակների մասին. բոլորը ավելի հավանական է, որ տուժեն:")</f>
        <v>Առողջապահական նախազգուշացում արտակարգ իրավիճակների մասին. բոլորը ավելի հավանական է, որ տուժեն:</v>
      </c>
      <c r="G206" s="7" t="str">
        <f>IFERROR(__xludf.DUMMYFUNCTION("GoogleTranslate(C206, ""en"", ""vi"")"),"Cảnh báo sức khỏe về tình trạng khẩn cấp: mọi người đều có nhiều khả năng bị ảnh hưởng hơn.")</f>
        <v>Cảnh báo sức khỏe về tình trạng khẩn cấp: mọi người đều có nhiều khả năng bị ảnh hưởng hơn.</v>
      </c>
      <c r="H206" s="7" t="str">
        <f>IFERROR(__xludf.DUMMYFUNCTION("GoogleTranslate(C206, ""en"", ""az"")"),"Fövqəladə vəziyyətlər barədə sağlamlıq xəbərdarlığı: hər kəsin təsirlənmə ehtimalı daha yüksəkdir.")</f>
        <v>Fövqəladə vəziyyətlər barədə sağlamlıq xəbərdarlığı: hər kəsin təsirlənmə ehtimalı daha yüksəkdir.</v>
      </c>
      <c r="I206" s="7" t="str">
        <f>IFERROR(__xludf.DUMMYFUNCTION("GoogleTranslate(C206, ""en"", ""eu"")"),"Larrialdi-baldintzei buruzko osasun-abisua: denek gehiago dute kaltetua.")</f>
        <v>Larrialdi-baldintzei buruzko osasun-abisua: denek gehiago dute kaltetua.</v>
      </c>
      <c r="J206" s="7" t="str">
        <f>IFERROR(__xludf.DUMMYFUNCTION("GoogleTranslate(C206, ""en"", ""be"")"),"Медыцынскае папярэджанне аб надзвычайных сітуацыях: больш шанцаў пацярпець для ўсіх.")</f>
        <v>Медыцынскае папярэджанне аб надзвычайных сітуацыях: больш шанцаў пацярпець для ўсіх.</v>
      </c>
      <c r="K206" s="7" t="str">
        <f>IFERROR(__xludf.DUMMYFUNCTION("GoogleTranslate(C206, ""en"", ""bn"")"),"জরুরি অবস্থার স্বাস্থ্য সতর্কতা: প্রত্যেকেরই আক্রান্ত হওয়ার সম্ভাবনা বেশি।")</f>
        <v>জরুরি অবস্থার স্বাস্থ্য সতর্কতা: প্রত্যেকেরই আক্রান্ত হওয়ার সম্ভাবনা বেশি।</v>
      </c>
      <c r="L206" s="7" t="str">
        <f>IFERROR(__xludf.DUMMYFUNCTION("GoogleTranslate(C206, ""en"", ""bg"")"),"Здравно предупреждение за извънредни ситуации: всеки е по-вероятно да бъде засегнат.")</f>
        <v>Здравно предупреждение за извънредни ситуации: всеки е по-вероятно да бъде засегнат.</v>
      </c>
      <c r="M206" s="7" t="str">
        <f>IFERROR(__xludf.DUMMYFUNCTION("GoogleTranslate(C206, ""en"", ""my"")"),"အရေးပေါ်အခြေအနေများအတွက် ကျန်းမာရေးသတိပေးချက်- လူတိုင်းသည် ထိခိုက်နိုင်ခြေပိုများသည်။")</f>
        <v>အရေးပေါ်အခြေအနေများအတွက် ကျန်းမာရေးသတိပေးချက်- လူတိုင်းသည် ထိခိုက်နိုင်ခြေပိုများသည်။</v>
      </c>
      <c r="N206" s="7" t="str">
        <f>IFERROR(__xludf.DUMMYFUNCTION("GoogleTranslate(C206, ""en"", ""ca"")"),"Alerta sanitària de condicions d'emergència: tothom és més probable que es vegi afectat.")</f>
        <v>Alerta sanitària de condicions d'emergència: tothom és més probable que es vegi afectat.</v>
      </c>
      <c r="O206" s="7" t="str">
        <f>IFERROR(__xludf.DUMMYFUNCTION("GoogleTranslate(C206, ""en"", ""zh-cn"")"),"紧急情况健康警告：每个人都更有可能受到影响。")</f>
        <v>紧急情况健康警告：每个人都更有可能受到影响。</v>
      </c>
      <c r="P206" s="7" t="str">
        <f>IFERROR(__xludf.DUMMYFUNCTION("GoogleTranslate(C206, ""en"", ""zh-TW"")"),"緊急情況健康警告：每個人都更有可能受到影響。")</f>
        <v>緊急情況健康警告：每個人都更有可能受到影響。</v>
      </c>
      <c r="Q206" s="7" t="str">
        <f>IFERROR(__xludf.DUMMYFUNCTION("GoogleTranslate(C206, ""en"", ""hr"")"),"Zdravstveno upozorenje o hitnim stanjima: veća je vjerojatnost da će svi biti pogođeni.")</f>
        <v>Zdravstveno upozorenje o hitnim stanjima: veća je vjerojatnost da će svi biti pogođeni.</v>
      </c>
      <c r="R206" s="7" t="str">
        <f>IFERROR(__xludf.DUMMYFUNCTION("GoogleTranslate(C206, ""en"", ""cs"")"),"Zdravotní varování před nouzovými podmínkami: všichni jsou pravděpodobněji postiženi.")</f>
        <v>Zdravotní varování před nouzovými podmínkami: všichni jsou pravděpodobněji postiženi.</v>
      </c>
      <c r="S206" s="7" t="str">
        <f>IFERROR(__xludf.DUMMYFUNCTION("GoogleTranslate(C206, ""en"", ""da"")"),"Sundhedsadvarsel om nødsituationer: alle er mere tilbøjelige til at blive ramt.")</f>
        <v>Sundhedsadvarsel om nødsituationer: alle er mere tilbøjelige til at blive ramt.</v>
      </c>
      <c r="T206" s="7" t="str">
        <f>IFERROR(__xludf.DUMMYFUNCTION("GoogleTranslate(C206, ""en"", ""nl"")"),"Gezondheidswaarschuwing voor noodsituaties: de kans is groter dat iedereen hierdoor wordt getroffen.")</f>
        <v>Gezondheidswaarschuwing voor noodsituaties: de kans is groter dat iedereen hierdoor wordt getroffen.</v>
      </c>
      <c r="U206" s="7" t="str">
        <f>IFERROR(__xludf.DUMMYFUNCTION("GoogleTranslate(C206, ""en"", ""et"")"),"Tervisehoiatus hädaolukordade eest: kõik on tõenäolisemalt mõjutatud.")</f>
        <v>Tervisehoiatus hädaolukordade eest: kõik on tõenäolisemalt mõjutatud.</v>
      </c>
      <c r="V206" s="5" t="str">
        <f t="shared" si="3"/>
        <v>Health warning of emergency conditions: everyone is more likely to be affected.</v>
      </c>
      <c r="W206" s="7" t="str">
        <f>IFERROR(__xludf.DUMMYFUNCTION("GoogleTranslate(C206, ""en"", ""fi"")"),"Terveysvaroitus hätätilanteista: kaikki kärsivät todennäköisemmin.")</f>
        <v>Terveysvaroitus hätätilanteista: kaikki kärsivät todennäköisemmin.</v>
      </c>
      <c r="X206" s="7" t="str">
        <f>IFERROR(__xludf.DUMMYFUNCTION("GoogleTranslate(C206, ""en"", ""fr"")"),"Avertissement sanitaire concernant les conditions d’urgence : tout le monde est plus susceptible d’être touché.")</f>
        <v>Avertissement sanitaire concernant les conditions d’urgence : tout le monde est plus susceptible d’être touché.</v>
      </c>
      <c r="Y206" s="7" t="str">
        <f>IFERROR(__xludf.DUMMYFUNCTION("GoogleTranslate(C206, ""en"", ""de"")"),"Gesundheitswarnung vor Notfällen: Es ist wahrscheinlicher, dass jeder betroffen ist.")</f>
        <v>Gesundheitswarnung vor Notfällen: Es ist wahrscheinlicher, dass jeder betroffen ist.</v>
      </c>
      <c r="Z206" s="7" t="str">
        <f>IFERROR(__xludf.DUMMYFUNCTION("GoogleTranslate(C206, ""en"", ""el"")"),"Προειδοποίηση υγείας για καταστάσεις έκτακτης ανάγκης: όλοι είναι πιο πιθανό να επηρεαστούν.")</f>
        <v>Προειδοποίηση υγείας για καταστάσεις έκτακτης ανάγκης: όλοι είναι πιο πιθανό να επηρεαστούν.</v>
      </c>
      <c r="AA206" s="7" t="str">
        <f>IFERROR(__xludf.DUMMYFUNCTION("GoogleTranslate(C206, ""en"", ""iw"")"),"אזהרת בריאות מפני מצבי חירום: סביר יותר שכולם ייפגעו.")</f>
        <v>אזהרת בריאות מפני מצבי חירום: סביר יותר שכולם ייפגעו.</v>
      </c>
      <c r="AB206" s="7" t="str">
        <f>IFERROR(__xludf.DUMMYFUNCTION("GoogleTranslate(C206, ""en"", ""hi"")"),"आपातकालीन स्थितियों की स्वास्थ्य चेतावनी: हर किसी के प्रभावित होने की अधिक संभावना है।")</f>
        <v>आपातकालीन स्थितियों की स्वास्थ्य चेतावनी: हर किसी के प्रभावित होने की अधिक संभावना है।</v>
      </c>
      <c r="AC206" s="7" t="str">
        <f>IFERROR(__xludf.DUMMYFUNCTION("GoogleTranslate(C206, ""en"", ""hu"")"),"Egészségügyi figyelmeztetés vészhelyzetekre: mindenki nagyobb valószínűséggel érintett.")</f>
        <v>Egészségügyi figyelmeztetés vészhelyzetekre: mindenki nagyobb valószínűséggel érintett.</v>
      </c>
      <c r="AD206" s="7" t="str">
        <f>IFERROR(__xludf.DUMMYFUNCTION("GoogleTranslate(C206, ""en"", ""is"")"),"Heilsuviðvörun vegna neyðarástands: líklegra er að allir verði fyrir áhrifum.")</f>
        <v>Heilsuviðvörun vegna neyðarástands: líklegra er að allir verði fyrir áhrifum.</v>
      </c>
      <c r="AE206" s="7" t="str">
        <f>IFERROR(__xludf.DUMMYFUNCTION("GoogleTranslate(C206, ""en"", ""id"")"),"Peringatan kesehatan mengenai kondisi darurat: semua orang lebih mungkin terkena dampaknya.")</f>
        <v>Peringatan kesehatan mengenai kondisi darurat: semua orang lebih mungkin terkena dampaknya.</v>
      </c>
      <c r="AF206" s="7" t="str">
        <f>IFERROR(__xludf.DUMMYFUNCTION("GoogleTranslate(C206, ""en"", ""in"")"),"Peringatan kesehatan mengenai kondisi darurat: semua orang lebih mungkin terkena dampaknya.")</f>
        <v>Peringatan kesehatan mengenai kondisi darurat: semua orang lebih mungkin terkena dampaknya.</v>
      </c>
      <c r="AG206" s="7" t="str">
        <f>IFERROR(__xludf.DUMMYFUNCTION("GoogleTranslate(C206, ""en"", ""it"")"),"Allarme sanitario sulle condizioni di emergenza: tutti hanno maggiori probabilità di essere colpiti.")</f>
        <v>Allarme sanitario sulle condizioni di emergenza: tutti hanno maggiori probabilità di essere colpiti.</v>
      </c>
      <c r="AH206" s="7" t="str">
        <f>IFERROR(__xludf.DUMMYFUNCTION("GoogleTranslate(C206, ""en"", ""ja"")"),"緊急事態に関する健康上の警告: 誰もが影響を受ける可能性が高くなります。")</f>
        <v>緊急事態に関する健康上の警告: 誰もが影響を受ける可能性が高くなります。</v>
      </c>
      <c r="AI206" s="7" t="str">
        <f>IFERROR(__xludf.DUMMYFUNCTION("GoogleTranslate(C206, ""en"", ""kn"")"),"ತುರ್ತು ಪರಿಸ್ಥಿತಿಗಳ ಆರೋಗ್ಯ ಎಚ್ಚರಿಕೆ: ಪ್ರತಿಯೊಬ್ಬರೂ ಪರಿಣಾಮ ಬೀರುವ ಸಾಧ್ಯತೆ ಹೆಚ್ಚು.")</f>
        <v>ತುರ್ತು ಪರಿಸ್ಥಿತಿಗಳ ಆರೋಗ್ಯ ಎಚ್ಚರಿಕೆ: ಪ್ರತಿಯೊಬ್ಬರೂ ಪರಿಣಾಮ ಬೀರುವ ಸಾಧ್ಯತೆ ಹೆಚ್ಚು.</v>
      </c>
      <c r="AJ206" s="7" t="str">
        <f>IFERROR(__xludf.DUMMYFUNCTION("GoogleTranslate(C206, ""en"", ""km"")"),"ការ​ព្រមាន​សុខភាព​នៃ​ស្ថានភាព​អាសន្ន៖ អ្នក​រាល់​គ្នា​ងាយ​នឹង​រង​ផល​ប៉ះពាល់។")</f>
        <v>ការ​ព្រមាន​សុខភាព​នៃ​ស្ថានភាព​អាសន្ន៖ អ្នក​រាល់​គ្នា​ងាយ​នឹង​រង​ផល​ប៉ះពាល់។</v>
      </c>
      <c r="AK206" s="7" t="str">
        <f>IFERROR(__xludf.DUMMYFUNCTION("GoogleTranslate(C206, ""en"", ""ko"")"),"비상 상황에 대한 건강 경고: 모든 사람이 영향을 받을 가능성이 더 높습니다.")</f>
        <v>비상 상황에 대한 건강 경고: 모든 사람이 영향을 받을 가능성이 더 높습니다.</v>
      </c>
      <c r="AL206" s="7" t="str">
        <f>IFERROR(__xludf.DUMMYFUNCTION("GoogleTranslate(C206, ""en"", ""lo"")"),"ການເຕືອນໄພສຸຂະພາບຂອງສະຖານະການສຸກເສີນ: ທຸກຄົນມັກຈະໄດ້ຮັບຜົນກະທົບ.")</f>
        <v>ການເຕືອນໄພສຸຂະພາບຂອງສະຖານະການສຸກເສີນ: ທຸກຄົນມັກຈະໄດ້ຮັບຜົນກະທົບ.</v>
      </c>
      <c r="AM206" s="7" t="str">
        <f>IFERROR(__xludf.DUMMYFUNCTION("GoogleTranslate(C206, ""en"", ""lv"")"),"Brīdinājums par veselību ārkārtas situācijās: visticamāk, ka tas tiks ietekmēts ikvienam.")</f>
        <v>Brīdinājums par veselību ārkārtas situācijās: visticamāk, ka tas tiks ietekmēts ikvienam.</v>
      </c>
      <c r="AN206" s="7" t="str">
        <f>IFERROR(__xludf.DUMMYFUNCTION("GoogleTranslate(C206, ""en"", ""lt"")"),"Sveikatos įspėjimas apie ekstremalias situacijas: labiau tikėtina, kad nukentės kiekvienas.")</f>
        <v>Sveikatos įspėjimas apie ekstremalias situacijas: labiau tikėtina, kad nukentės kiekvienas.</v>
      </c>
      <c r="AO206" s="7" t="str">
        <f>IFERROR(__xludf.DUMMYFUNCTION("GoogleTranslate(C206, ""en"", ""mk"")"),"Здравствено предупредување за вонредни состојби: поверојатно е секој да биде погоден.")</f>
        <v>Здравствено предупредување за вонредни состојби: поверојатно е секој да биде погоден.</v>
      </c>
      <c r="AP206" s="7" t="str">
        <f>IFERROR(__xludf.DUMMYFUNCTION("GoogleTranslate(C206, ""en"", ""ms"")"),"Amaran kesihatan tentang keadaan kecemasan: semua orang lebih berkemungkinan terjejas.")</f>
        <v>Amaran kesihatan tentang keadaan kecemasan: semua orang lebih berkemungkinan terjejas.</v>
      </c>
      <c r="AQ206" s="7" t="str">
        <f>IFERROR(__xludf.DUMMYFUNCTION("GoogleTranslate(C206, ""en"", ""ml"")"),"അടിയന്തര സാഹചര്യങ്ങളെക്കുറിച്ചുള്ള ആരോഗ്യ മുന്നറിയിപ്പ്: എല്ലാവരേയും ബാധിക്കാനുള്ള സാധ്യത കൂടുതലാണ്.")</f>
        <v>അടിയന്തര സാഹചര്യങ്ങളെക്കുറിച്ചുള്ള ആരോഗ്യ മുന്നറിയിപ്പ്: എല്ലാവരേയും ബാധിക്കാനുള്ള സാധ്യത കൂടുതലാണ്.</v>
      </c>
      <c r="AR206" s="7" t="str">
        <f>IFERROR(__xludf.DUMMYFUNCTION("GoogleTranslate(C206, ""en"", ""mr"")"),"आपत्कालीन परिस्थितींबद्दल आरोग्य चेतावणी: प्रत्येकजण प्रभावित होण्याची शक्यता जास्त असते.")</f>
        <v>आपत्कालीन परिस्थितींबद्दल आरोग्य चेतावणी: प्रत्येकजण प्रभावित होण्याची शक्यता जास्त असते.</v>
      </c>
      <c r="AS206" s="7" t="str">
        <f>IFERROR(__xludf.DUMMYFUNCTION("GoogleTranslate(C206, ""en"", ""mn"")"),"Онцгой байдлын эрүүл мэндийн сэрэмжлүүлэг: хүн бүр өртөх магадлал өндөр байдаг.")</f>
        <v>Онцгой байдлын эрүүл мэндийн сэрэмжлүүлэг: хүн бүр өртөх магадлал өндөр байдаг.</v>
      </c>
      <c r="AT206" s="7" t="str">
        <f>IFERROR(__xludf.DUMMYFUNCTION("GoogleTranslate(C206, ""en"", ""ne"")"),"आपतकालीन अवस्थाहरूको स्वास्थ्य चेतावनी: सबैजना प्रभावित हुने सम्भावना बढी हुन्छ।")</f>
        <v>आपतकालीन अवस्थाहरूको स्वास्थ्य चेतावनी: सबैजना प्रभावित हुने सम्भावना बढी हुन्छ।</v>
      </c>
      <c r="AU206" s="7" t="str">
        <f>IFERROR(__xludf.DUMMYFUNCTION("GoogleTranslate(C206, ""en"", ""nb"")"),"Helseadvarsel om nødsituasjoner: alle er mer sannsynlig å bli berørt.")</f>
        <v>Helseadvarsel om nødsituasjoner: alle er mer sannsynlig å bli berørt.</v>
      </c>
      <c r="AV206" s="7" t="str">
        <f>IFERROR(__xludf.DUMMYFUNCTION("GoogleTranslate(C206, ""en"", ""fa"")"),"هشدار بهداشتی در مورد شرایط اضطراری: احتمال ابتلا به همه افراد بیشتر است.")</f>
        <v>هشدار بهداشتی در مورد شرایط اضطراری: احتمال ابتلا به همه افراد بیشتر است.</v>
      </c>
      <c r="AW206" s="7" t="str">
        <f>IFERROR(__xludf.DUMMYFUNCTION("GoogleTranslate(C206, ""en"", ""pl"")"),"Ostrzeżenie zdrowotne dotyczące sytuacji nadzwyczajnych: ryzyko wystąpienia sytuacji awaryjnej jest większe u każdego.")</f>
        <v>Ostrzeżenie zdrowotne dotyczące sytuacji nadzwyczajnych: ryzyko wystąpienia sytuacji awaryjnej jest większe u każdego.</v>
      </c>
      <c r="AX206" s="7" t="str">
        <f>IFERROR(__xludf.DUMMYFUNCTION("GoogleTranslate(C206, ""en"", ""pt"")"),"Alerta de saúde sobre condições de emergência: é mais provável que todos sejam afetados.")</f>
        <v>Alerta de saúde sobre condições de emergência: é mais provável que todos sejam afetados.</v>
      </c>
      <c r="AY206" s="7" t="str">
        <f>IFERROR(__xludf.DUMMYFUNCTION("GoogleTranslate(C206, ""en"", ""ro"")"),"Avertisment de sănătate privind condițiile de urgență: toată lumea este mai probabil să fie afectată.")</f>
        <v>Avertisment de sănătate privind condițiile de urgență: toată lumea este mai probabil să fie afectată.</v>
      </c>
      <c r="AZ206" s="7" t="str">
        <f>IFERROR(__xludf.DUMMYFUNCTION("GoogleTranslate(C206, ""en"", ""ru"")"),"Предупреждение о чрезвычайных ситуациях для здоровья: вероятность того, что пострадают все, выше.")</f>
        <v>Предупреждение о чрезвычайных ситуациях для здоровья: вероятность того, что пострадают все, выше.</v>
      </c>
      <c r="BA206" s="7" t="str">
        <f>IFERROR(__xludf.DUMMYFUNCTION("GoogleTranslate(C206, ""en"", ""sr"")"),"Здравствено упозорење о ванредним ситуацијама: већа је вероватноћа да ће сви бити погођени.")</f>
        <v>Здравствено упозорење о ванредним ситуацијама: већа је вероватноћа да ће сви бити погођени.</v>
      </c>
      <c r="BB206" s="7" t="str">
        <f>IFERROR(__xludf.DUMMYFUNCTION("GoogleTranslate(C206, ""en"", ""si"")"),"හදිසි තත්වයන් පිළිබඳ සෞඛ්‍ය අනතුරු ඇඟවීම: සෑම කෙනෙකුම පීඩාවට පත්වීමට වැඩි ඉඩක් ඇත.")</f>
        <v>හදිසි තත්වයන් පිළිබඳ සෞඛ්‍ය අනතුරු ඇඟවීම: සෑම කෙනෙකුම පීඩාවට පත්වීමට වැඩි ඉඩක් ඇත.</v>
      </c>
      <c r="BC206" s="7" t="str">
        <f>IFERROR(__xludf.DUMMYFUNCTION("GoogleTranslate(C206, ""en"", ""sk"")"),"Zdravotné varovanie pred mimoriadnymi podmienkami: pravdepodobnejšie budú postihnutí všetci.")</f>
        <v>Zdravotné varovanie pred mimoriadnymi podmienkami: pravdepodobnejšie budú postihnutí všetci.</v>
      </c>
      <c r="BD206" s="7" t="str">
        <f>IFERROR(__xludf.DUMMYFUNCTION("GoogleTranslate(C206, ""en"", ""sl"")"),"Zdravstveno opozorilo o izrednih razmerah: verjetneje je, da bodo prizadeti vsi.")</f>
        <v>Zdravstveno opozorilo o izrednih razmerah: verjetneje je, da bodo prizadeti vsi.</v>
      </c>
      <c r="BE206" s="7" t="str">
        <f>IFERROR(__xludf.DUMMYFUNCTION("GoogleTranslate(C206, ""en"", ""es"")"),"Advertencia sanitaria de condiciones de emergencia: todos tienen más probabilidades de verse afectados.")</f>
        <v>Advertencia sanitaria de condiciones de emergencia: todos tienen más probabilidades de verse afectados.</v>
      </c>
      <c r="BF206" s="7" t="str">
        <f>IFERROR(__xludf.DUMMYFUNCTION("GoogleTranslate(C206, ""en"", ""sw"")"),"Onyo la kiafya la hali ya dharura: kila mtu ana uwezekano mkubwa wa kuathiriwa.")</f>
        <v>Onyo la kiafya la hali ya dharura: kila mtu ana uwezekano mkubwa wa kuathiriwa.</v>
      </c>
      <c r="BG206" s="7" t="str">
        <f>IFERROR(__xludf.DUMMYFUNCTION("GoogleTranslate(C206, ""en"", ""sv"")"),"Hälsovarning för akuta tillstånd: alla är mer benägna att drabbas.")</f>
        <v>Hälsovarning för akuta tillstånd: alla är mer benägna att drabbas.</v>
      </c>
      <c r="BH206" s="7" t="str">
        <f>IFERROR(__xludf.DUMMYFUNCTION("GoogleTranslate(C206, ""en"", ""te"")"),"అత్యవసర పరిస్థితుల గురించి ఆరోగ్య హెచ్చరిక: ప్రతి ఒక్కరూ ప్రభావితమయ్యే అవకాశం ఉంది.")</f>
        <v>అత్యవసర పరిస్థితుల గురించి ఆరోగ్య హెచ్చరిక: ప్రతి ఒక్కరూ ప్రభావితమయ్యే అవకాశం ఉంది.</v>
      </c>
      <c r="BI206" s="7" t="str">
        <f>IFERROR(__xludf.DUMMYFUNCTION("GoogleTranslate(C206, ""en"", ""th"")"),"คำเตือนด้านสุขภาพสำหรับสภาวะฉุกเฉิน: ทุกคนมีแนวโน้มที่จะได้รับผลกระทบมากขึ้น")</f>
        <v>คำเตือนด้านสุขภาพสำหรับสภาวะฉุกเฉิน: ทุกคนมีแนวโน้มที่จะได้รับผลกระทบมากขึ้น</v>
      </c>
      <c r="BJ206" s="7" t="str">
        <f>IFERROR(__xludf.DUMMYFUNCTION("GoogleTranslate(C206, ""en"", ""tr"")"),"Acil durumlara ilişkin sağlık uyarısı: Herkesin etkilenme olasılığı daha yüksektir.")</f>
        <v>Acil durumlara ilişkin sağlık uyarısı: Herkesin etkilenme olasılığı daha yüksektir.</v>
      </c>
      <c r="BK206" s="7" t="str">
        <f>IFERROR(__xludf.DUMMYFUNCTION("GoogleTranslate(C206, ""en"", ""uk"")"),"Медичне попередження про надзвичайні ситуації: імовірність постраждати у всіх є більшою.")</f>
        <v>Медичне попередження про надзвичайні ситуації: імовірність постраждати у всіх є більшою.</v>
      </c>
      <c r="BL206" s="7" t="str">
        <f>IFERROR(__xludf.DUMMYFUNCTION("GoogleTranslate(C206, ""en"", ""zu"")"),"Isixwayiso sezempilo sezimo eziphuthumayo: wonke umuntu kungenzeka ukuthi athinteke.")</f>
        <v>Isixwayiso sezempilo sezimo eziphuthumayo: wonke umuntu kungenzeka ukuthi athinteke.</v>
      </c>
    </row>
    <row r="207">
      <c r="A207" s="5" t="str">
        <f t="shared" si="1"/>
        <v>Unusually_sensitive_people_should_consider_reducing_prolonged_or_heavy_exertion.</v>
      </c>
      <c r="B207" s="4" t="s">
        <v>198</v>
      </c>
      <c r="C207" s="4" t="s">
        <v>198</v>
      </c>
      <c r="D207" s="7" t="str">
        <f>IFERROR(__xludf.DUMMYFUNCTION("GoogleTranslate(C207, ""en"", ""es"")"),"Las personas inusualmente sensibles deberían considerar reducir el esfuerzo prolongado o intenso.")</f>
        <v>Las personas inusualmente sensibles deberían considerar reducir el esfuerzo prolongado o intenso.</v>
      </c>
      <c r="E207" s="7" t="str">
        <f>IFERROR(__xludf.DUMMYFUNCTION("GoogleTranslate(C207, ""en"", ""ar"")"),"يجب على الأشخاص ذوي الحساسية غير المعتادة أن يفكروا في تقليل المجهود لفترات طويلة أو ثقيلة.")</f>
        <v>يجب على الأشخاص ذوي الحساسية غير المعتادة أن يفكروا في تقليل المجهود لفترات طويلة أو ثقيلة.</v>
      </c>
      <c r="F207" s="7" t="str">
        <f>IFERROR(__xludf.DUMMYFUNCTION("GoogleTranslate(C207, ""en"", ""hy"")"),"Անսովոր զգայուն մարդիկ պետք է մտածեն երկարատև կամ ծանր ուժերը նվազեցնելու մասին:")</f>
        <v>Անսովոր զգայուն մարդիկ պետք է մտածեն երկարատև կամ ծանր ուժերը նվազեցնելու մասին:</v>
      </c>
      <c r="G207" s="7" t="str">
        <f>IFERROR(__xludf.DUMMYFUNCTION("GoogleTranslate(C207, ""en"", ""vi"")"),"Những người nhạy cảm bất thường nên cân nhắc giảm gắng sức kéo dài hoặc nặng nhọc.")</f>
        <v>Những người nhạy cảm bất thường nên cân nhắc giảm gắng sức kéo dài hoặc nặng nhọc.</v>
      </c>
      <c r="H207" s="7" t="str">
        <f>IFERROR(__xludf.DUMMYFUNCTION("GoogleTranslate(C207, ""en"", ""az"")"),"Qeyri-adi həssas insanlar uzunmüddətli və ya ağır yükü azaltmağı düşünməlidirlər.")</f>
        <v>Qeyri-adi həssas insanlar uzunmüddətli və ya ağır yükü azaltmağı düşünməlidirlər.</v>
      </c>
      <c r="I207" s="7" t="str">
        <f>IFERROR(__xludf.DUMMYFUNCTION("GoogleTranslate(C207, ""en"", ""eu"")"),"Ezohiko sentikorrak diren pertsonek esfortzu luzeak edo astunak murriztea kontuan hartu beharko lukete.")</f>
        <v>Ezohiko sentikorrak diren pertsonek esfortzu luzeak edo astunak murriztea kontuan hartu beharko lukete.</v>
      </c>
      <c r="J207" s="7" t="str">
        <f>IFERROR(__xludf.DUMMYFUNCTION("GoogleTranslate(C207, ""en"", ""be"")"),"Незвычайна адчувальным людзям варта падумаць аб зніжэнні працяглых або цяжкіх нагрузак.")</f>
        <v>Незвычайна адчувальным людзям варта падумаць аб зніжэнні працяглых або цяжкіх нагрузак.</v>
      </c>
      <c r="K207" s="7" t="str">
        <f>IFERROR(__xludf.DUMMYFUNCTION("GoogleTranslate(C207, ""en"", ""bn"")"),"অস্বাভাবিকভাবে সংবেদনশীল ব্যক্তিদের দীর্ঘায়িত বা ভারী পরিশ্রম কমানোর কথা বিবেচনা করা উচিত।")</f>
        <v>অস্বাভাবিকভাবে সংবেদনশীল ব্যক্তিদের দীর্ঘায়িত বা ভারী পরিশ্রম কমানোর কথা বিবেচনা করা উচিত।</v>
      </c>
      <c r="L207" s="7" t="str">
        <f>IFERROR(__xludf.DUMMYFUNCTION("GoogleTranslate(C207, ""en"", ""bg"")"),"Необичайно чувствителните хора трябва да обмислят намаляване на продължително или тежко натоварване.")</f>
        <v>Необичайно чувствителните хора трябва да обмислят намаляване на продължително или тежко натоварване.</v>
      </c>
      <c r="M207" s="7" t="str">
        <f>IFERROR(__xludf.DUMMYFUNCTION("GoogleTranslate(C207, ""en"", ""my"")"),"ပုံမှန်မဟုတ်သော အထိခိုက်လွယ်သူများသည် ကြာရှည်စွာ သို့မဟုတ် ပြင်းထန်သော အားထုတ်မှုကို လျှော့ချရန် စဉ်းစားသင့်သည်။")</f>
        <v>ပုံမှန်မဟုတ်သော အထိခိုက်လွယ်သူများသည် ကြာရှည်စွာ သို့မဟုတ် ပြင်းထန်သော အားထုတ်မှုကို လျှော့ချရန် စဉ်းစားသင့်သည်။</v>
      </c>
      <c r="N207" s="7" t="str">
        <f>IFERROR(__xludf.DUMMYFUNCTION("GoogleTranslate(C207, ""en"", ""ca"")"),"Les persones inusualment sensibles haurien de considerar reduir l'esforç prolongat o intens.")</f>
        <v>Les persones inusualment sensibles haurien de considerar reduir l'esforç prolongat o intens.</v>
      </c>
      <c r="O207" s="7" t="str">
        <f>IFERROR(__xludf.DUMMYFUNCTION("GoogleTranslate(C207, ""en"", ""zh-cn"")"),"异常敏感的人应考虑减少长时间或剧烈的劳累。")</f>
        <v>异常敏感的人应考虑减少长时间或剧烈的劳累。</v>
      </c>
      <c r="P207" s="7" t="str">
        <f>IFERROR(__xludf.DUMMYFUNCTION("GoogleTranslate(C207, ""en"", ""zh-TW"")"),"異常敏感的人應考慮減少長時間或劇烈的勞累。")</f>
        <v>異常敏感的人應考慮減少長時間或劇烈的勞累。</v>
      </c>
      <c r="Q207" s="7" t="str">
        <f>IFERROR(__xludf.DUMMYFUNCTION("GoogleTranslate(C207, ""en"", ""hr"")"),"Neobično osjetljive osobe trebale bi razmisliti o smanjenju dugotrajnog ili teškog napora.")</f>
        <v>Neobično osjetljive osobe trebale bi razmisliti o smanjenju dugotrajnog ili teškog napora.</v>
      </c>
      <c r="R207" s="7" t="str">
        <f>IFERROR(__xludf.DUMMYFUNCTION("GoogleTranslate(C207, ""en"", ""cs"")"),"Neobvykle citliví lidé by měli zvážit omezení dlouhodobé nebo těžké námahy.")</f>
        <v>Neobvykle citliví lidé by měli zvážit omezení dlouhodobé nebo těžké námahy.</v>
      </c>
      <c r="S207" s="7" t="str">
        <f>IFERROR(__xludf.DUMMYFUNCTION("GoogleTranslate(C207, ""en"", ""da"")"),"Usædvanligt sensitive mennesker bør overveje at reducere langvarig eller tung anstrengelse.")</f>
        <v>Usædvanligt sensitive mennesker bør overveje at reducere langvarig eller tung anstrengelse.</v>
      </c>
      <c r="T207" s="7" t="str">
        <f>IFERROR(__xludf.DUMMYFUNCTION("GoogleTranslate(C207, ""en"", ""nl"")"),"Ongewoon gevoelige mensen zouden moeten overwegen om langdurige of zware inspanning te verminderen.")</f>
        <v>Ongewoon gevoelige mensen zouden moeten overwegen om langdurige of zware inspanning te verminderen.</v>
      </c>
      <c r="U207" s="7" t="str">
        <f>IFERROR(__xludf.DUMMYFUNCTION("GoogleTranslate(C207, ""en"", ""et"")"),"Ebatavaliselt tundlikud inimesed peaksid kaaluma pikaajalise või raske koormuse vähendamist.")</f>
        <v>Ebatavaliselt tundlikud inimesed peaksid kaaluma pikaajalise või raske koormuse vähendamist.</v>
      </c>
      <c r="V207" s="5" t="str">
        <f t="shared" si="3"/>
        <v>Unusually sensitive people should consider reducing prolonged or heavy exertion.</v>
      </c>
      <c r="W207" s="7" t="str">
        <f>IFERROR(__xludf.DUMMYFUNCTION("GoogleTranslate(C207, ""en"", ""fi"")"),"Epätavallisen herkkien ihmisten tulisi harkita pitkäaikaisen tai raskaan rasituksen vähentämistä.")</f>
        <v>Epätavallisen herkkien ihmisten tulisi harkita pitkäaikaisen tai raskaan rasituksen vähentämistä.</v>
      </c>
      <c r="X207" s="7" t="str">
        <f>IFERROR(__xludf.DUMMYFUNCTION("GoogleTranslate(C207, ""en"", ""fr"")"),"Les personnes exceptionnellement sensibles devraient envisager de réduire les efforts prolongés ou intenses.")</f>
        <v>Les personnes exceptionnellement sensibles devraient envisager de réduire les efforts prolongés ou intenses.</v>
      </c>
      <c r="Y207" s="7" t="str">
        <f>IFERROR(__xludf.DUMMYFUNCTION("GoogleTranslate(C207, ""en"", ""de"")"),"Besonders empfindliche Menschen sollten darüber nachdenken, längere oder schwere Anstrengungen zu reduzieren.")</f>
        <v>Besonders empfindliche Menschen sollten darüber nachdenken, längere oder schwere Anstrengungen zu reduzieren.</v>
      </c>
      <c r="Z207" s="7" t="str">
        <f>IFERROR(__xludf.DUMMYFUNCTION("GoogleTranslate(C207, ""en"", ""el"")"),"Τα ασυνήθιστα ευαίσθητα άτομα θα πρέπει να εξετάσουν το ενδεχόμενο μείωσης της παρατεταμένης ή βαριάς προσπάθειας.")</f>
        <v>Τα ασυνήθιστα ευαίσθητα άτομα θα πρέπει να εξετάσουν το ενδεχόμενο μείωσης της παρατεταμένης ή βαριάς προσπάθειας.</v>
      </c>
      <c r="AA207" s="7" t="str">
        <f>IFERROR(__xludf.DUMMYFUNCTION("GoogleTranslate(C207, ""en"", ""iw"")"),"אנשים רגישים בצורה יוצאת דופן צריכים לשקול להפחית מאמץ ממושך או כבד.")</f>
        <v>אנשים רגישים בצורה יוצאת דופן צריכים לשקול להפחית מאמץ ממושך או כבד.</v>
      </c>
      <c r="AB207" s="7" t="str">
        <f>IFERROR(__xludf.DUMMYFUNCTION("GoogleTranslate(C207, ""en"", ""hi"")"),"असामान्य रूप से संवेदनशील लोगों को लंबे समय तक या भारी परिश्रम को कम करने पर विचार करना चाहिए।")</f>
        <v>असामान्य रूप से संवेदनशील लोगों को लंबे समय तक या भारी परिश्रम को कम करने पर विचार करना चाहिए।</v>
      </c>
      <c r="AC207" s="7" t="str">
        <f>IFERROR(__xludf.DUMMYFUNCTION("GoogleTranslate(C207, ""en"", ""hu"")"),"A szokatlanul érzékeny embereknek fontolóra kell venniük a hosszan tartó vagy erős megerőltetés csökkentését.")</f>
        <v>A szokatlanul érzékeny embereknek fontolóra kell venniük a hosszan tartó vagy erős megerőltetés csökkentését.</v>
      </c>
      <c r="AD207" s="7" t="str">
        <f>IFERROR(__xludf.DUMMYFUNCTION("GoogleTranslate(C207, ""en"", ""is"")"),"Óvenjulega viðkvæmt fólk ætti að íhuga að draga úr langvarandi eða mikilli áreynslu.")</f>
        <v>Óvenjulega viðkvæmt fólk ætti að íhuga að draga úr langvarandi eða mikilli áreynslu.</v>
      </c>
      <c r="AE207" s="7" t="str">
        <f>IFERROR(__xludf.DUMMYFUNCTION("GoogleTranslate(C207, ""en"", ""id"")"),"Orang yang sangat sensitif harus mempertimbangkan untuk mengurangi aktivitas yang berkepanjangan atau berat.")</f>
        <v>Orang yang sangat sensitif harus mempertimbangkan untuk mengurangi aktivitas yang berkepanjangan atau berat.</v>
      </c>
      <c r="AF207" s="7" t="str">
        <f>IFERROR(__xludf.DUMMYFUNCTION("GoogleTranslate(C207, ""en"", ""in"")"),"Orang yang sangat sensitif harus mempertimbangkan untuk mengurangi aktivitas yang berkepanjangan atau berat.")</f>
        <v>Orang yang sangat sensitif harus mempertimbangkan untuk mengurangi aktivitas yang berkepanjangan atau berat.</v>
      </c>
      <c r="AG207" s="7" t="str">
        <f>IFERROR(__xludf.DUMMYFUNCTION("GoogleTranslate(C207, ""en"", ""it"")"),"Le persone insolitamente sensibili dovrebbero considerare di ridurre lo sforzo prolungato o intenso.")</f>
        <v>Le persone insolitamente sensibili dovrebbero considerare di ridurre lo sforzo prolungato o intenso.</v>
      </c>
      <c r="AH207" s="7" t="str">
        <f>IFERROR(__xludf.DUMMYFUNCTION("GoogleTranslate(C207, ""en"", ""ja"")"),"異常に敏感な人は、長時間または激しい運動を減らすことを検討する必要があります。")</f>
        <v>異常に敏感な人は、長時間または激しい運動を減らすことを検討する必要があります。</v>
      </c>
      <c r="AI207" s="7" t="str">
        <f>IFERROR(__xludf.DUMMYFUNCTION("GoogleTranslate(C207, ""en"", ""kn"")"),"ಅಸಾಮಾನ್ಯವಾಗಿ ಸೂಕ್ಷ್ಮ ಜನರು ದೀರ್ಘಕಾಲದ ಅಥವಾ ಭಾರೀ ಪರಿಶ್ರಮವನ್ನು ಕಡಿಮೆ ಮಾಡಲು ಪರಿಗಣಿಸಬೇಕು.")</f>
        <v>ಅಸಾಮಾನ್ಯವಾಗಿ ಸೂಕ್ಷ್ಮ ಜನರು ದೀರ್ಘಕಾಲದ ಅಥವಾ ಭಾರೀ ಪರಿಶ್ರಮವನ್ನು ಕಡಿಮೆ ಮಾಡಲು ಪರಿಗಣಿಸಬೇಕು.</v>
      </c>
      <c r="AJ207" s="7" t="str">
        <f>IFERROR(__xludf.DUMMYFUNCTION("GoogleTranslate(C207, ""en"", ""km"")"),"មនុស្ស​ដែល​មាន​អារម្មណ៍​មិន​ប្រក្រតី គួរ​ពិចារណា​កាត់​បន្ថយ​ការ​ធ្វើ​លំហាត់​ប្រាណ​យូរ ឬ​ធ្ងន់។")</f>
        <v>មនុស្ស​ដែល​មាន​អារម្មណ៍​មិន​ប្រក្រតី គួរ​ពិចារណា​កាត់​បន្ថយ​ការ​ធ្វើ​លំហាត់​ប្រាណ​យូរ ឬ​ធ្ងន់។</v>
      </c>
      <c r="AK207" s="7" t="str">
        <f>IFERROR(__xludf.DUMMYFUNCTION("GoogleTranslate(C207, ""en"", ""ko"")"),"비정상적으로 민감한 사람들은 장시간 또는 심한 운동을 줄이는 것을 고려해야 합니다.")</f>
        <v>비정상적으로 민감한 사람들은 장시간 또는 심한 운동을 줄이는 것을 고려해야 합니다.</v>
      </c>
      <c r="AL207" s="7" t="str">
        <f>IFERROR(__xludf.DUMMYFUNCTION("GoogleTranslate(C207, ""en"", ""lo"")"),"ຄົນທີ່ມີຄວາມອ່ອນໄຫວຜິດປົກກະຕິຄວນພິຈາລະນາຫຼຸດຜ່ອນການອອກແຮງທີ່ຍາວນານ ຫຼືໜັກ.")</f>
        <v>ຄົນທີ່ມີຄວາມອ່ອນໄຫວຜິດປົກກະຕິຄວນພິຈາລະນາຫຼຸດຜ່ອນການອອກແຮງທີ່ຍາວນານ ຫຼືໜັກ.</v>
      </c>
      <c r="AM207" s="7" t="str">
        <f>IFERROR(__xludf.DUMMYFUNCTION("GoogleTranslate(C207, ""en"", ""lv"")"),"Neparasti jutīgiem cilvēkiem jāapsver ilgstošas ​​vai smagas slodzes samazināšana.")</f>
        <v>Neparasti jutīgiem cilvēkiem jāapsver ilgstošas ​​vai smagas slodzes samazināšana.</v>
      </c>
      <c r="AN207" s="7" t="str">
        <f>IFERROR(__xludf.DUMMYFUNCTION("GoogleTranslate(C207, ""en"", ""lt"")"),"Neįprastai jautrūs žmonės turėtų apsvarstyti galimybę sumažinti ilgalaikį ar sunkų krūvį.")</f>
        <v>Neįprastai jautrūs žmonės turėtų apsvarstyti galimybę sumažinti ilgalaikį ar sunkų krūvį.</v>
      </c>
      <c r="AO207" s="7" t="str">
        <f>IFERROR(__xludf.DUMMYFUNCTION("GoogleTranslate(C207, ""en"", ""mk"")"),"Невообичаено чувствителните луѓе треба да размислат за намалување на продолжениот или тежок напор.")</f>
        <v>Невообичаено чувствителните луѓе треба да размислат за намалување на продолжениот или тежок напор.</v>
      </c>
      <c r="AP207" s="7" t="str">
        <f>IFERROR(__xludf.DUMMYFUNCTION("GoogleTranslate(C207, ""en"", ""ms"")"),"Orang yang luar biasa sensitif harus mempertimbangkan untuk mengurangkan usaha yang berpanjangan atau berat.")</f>
        <v>Orang yang luar biasa sensitif harus mempertimbangkan untuk mengurangkan usaha yang berpanjangan atau berat.</v>
      </c>
      <c r="AQ207" s="7" t="str">
        <f>IFERROR(__xludf.DUMMYFUNCTION("GoogleTranslate(C207, ""en"", ""ml"")"),"അസാധാരണമായ സെൻസിറ്റീവായ ആളുകൾ ദീർഘമായ അല്ലെങ്കിൽ കനത്ത അദ്ധ്വാനം കുറയ്ക്കുന്നത് പരിഗണിക്കണം.")</f>
        <v>അസാധാരണമായ സെൻസിറ്റീവായ ആളുകൾ ദീർഘമായ അല്ലെങ്കിൽ കനത്ത അദ്ധ്വാനം കുറയ്ക്കുന്നത് പരിഗണിക്കണം.</v>
      </c>
      <c r="AR207" s="7" t="str">
        <f>IFERROR(__xludf.DUMMYFUNCTION("GoogleTranslate(C207, ""en"", ""mr"")"),"असामान्यपणे संवेदनशील लोकांनी दीर्घकाळ किंवा जड श्रम कमी करण्याचा विचार केला पाहिजे.")</f>
        <v>असामान्यपणे संवेदनशील लोकांनी दीर्घकाळ किंवा जड श्रम कमी करण्याचा विचार केला पाहिजे.</v>
      </c>
      <c r="AS207" s="7" t="str">
        <f>IFERROR(__xludf.DUMMYFUNCTION("GoogleTranslate(C207, ""en"", ""mn"")"),"Ер бусын мэдрэмтгий хүмүүс удаан хугацаагаар эсвэл хүнд ачааллыг багасгах талаар бодох хэрэгтэй.")</f>
        <v>Ер бусын мэдрэмтгий хүмүүс удаан хугацаагаар эсвэл хүнд ачааллыг багасгах талаар бодох хэрэгтэй.</v>
      </c>
      <c r="AT207" s="7" t="str">
        <f>IFERROR(__xludf.DUMMYFUNCTION("GoogleTranslate(C207, ""en"", ""ne"")"),"असामान्य रूपमा संवेदनशील व्यक्तिहरूले लामो वा भारी परिश्रम कम गर्ने विचार गर्नुपर्छ।")</f>
        <v>असामान्य रूपमा संवेदनशील व्यक्तिहरूले लामो वा भारी परिश्रम कम गर्ने विचार गर्नुपर्छ।</v>
      </c>
      <c r="AU207" s="7" t="str">
        <f>IFERROR(__xludf.DUMMYFUNCTION("GoogleTranslate(C207, ""en"", ""nb"")"),"Uvanlig sensitive personer bør vurdere å redusere langvarig eller tung anstrengelse.")</f>
        <v>Uvanlig sensitive personer bør vurdere å redusere langvarig eller tung anstrengelse.</v>
      </c>
      <c r="AV207" s="7" t="str">
        <f>IFERROR(__xludf.DUMMYFUNCTION("GoogleTranslate(C207, ""en"", ""fa"")"),"افراد غیرمعمول حساس باید تلاش طولانی یا سنگین را کاهش دهند.")</f>
        <v>افراد غیرمعمول حساس باید تلاش طولانی یا سنگین را کاهش دهند.</v>
      </c>
      <c r="AW207" s="7" t="str">
        <f>IFERROR(__xludf.DUMMYFUNCTION("GoogleTranslate(C207, ""en"", ""pl"")"),"Osoby wyjątkowo wrażliwe powinny rozważyć ograniczenie długotrwałego lub ciężkiego wysiłku.")</f>
        <v>Osoby wyjątkowo wrażliwe powinny rozważyć ograniczenie długotrwałego lub ciężkiego wysiłku.</v>
      </c>
      <c r="AX207" s="7" t="str">
        <f>IFERROR(__xludf.DUMMYFUNCTION("GoogleTranslate(C207, ""en"", ""pt"")"),"Pessoas excepcionalmente sensíveis devem considerar a redução do esforço prolongado ou pesado.")</f>
        <v>Pessoas excepcionalmente sensíveis devem considerar a redução do esforço prolongado ou pesado.</v>
      </c>
      <c r="AY207" s="7" t="str">
        <f>IFERROR(__xludf.DUMMYFUNCTION("GoogleTranslate(C207, ""en"", ""ro"")"),"Persoanele neobișnuit de sensibile ar trebui să ia în considerare reducerea efortului prelungit sau greu.")</f>
        <v>Persoanele neobișnuit de sensibile ar trebui să ia în considerare reducerea efortului prelungit sau greu.</v>
      </c>
      <c r="AZ207" s="7" t="str">
        <f>IFERROR(__xludf.DUMMYFUNCTION("GoogleTranslate(C207, ""en"", ""ru"")"),"Необычно чувствительным людям следует рассмотреть возможность снижения длительных или тяжелых нагрузок.")</f>
        <v>Необычно чувствительным людям следует рассмотреть возможность снижения длительных или тяжелых нагрузок.</v>
      </c>
      <c r="BA207" s="7" t="str">
        <f>IFERROR(__xludf.DUMMYFUNCTION("GoogleTranslate(C207, ""en"", ""sr"")"),"Неуобичајено осетљиве особе треба да размотре смањење продуженог или тешког напора.")</f>
        <v>Неуобичајено осетљиве особе треба да размотре смањење продуженог или тешког напора.</v>
      </c>
      <c r="BB207" s="7" t="str">
        <f>IFERROR(__xludf.DUMMYFUNCTION("GoogleTranslate(C207, ""en"", ""si"")"),"අසාමාන්ය ලෙස සංවේදී පුද්ගලයන් දිගු හෝ අධික වෙහෙස අඩු කිරීම ගැන සලකා බැලිය යුතුය.")</f>
        <v>අසාමාන්ය ලෙස සංවේදී පුද්ගලයන් දිගු හෝ අධික වෙහෙස අඩු කිරීම ගැන සලකා බැලිය යුතුය.</v>
      </c>
      <c r="BC207" s="7" t="str">
        <f>IFERROR(__xludf.DUMMYFUNCTION("GoogleTranslate(C207, ""en"", ""sk"")"),"Nezvyčajne citliví ľudia by mali zvážiť zníženie dlhodobej alebo ťažkej námahy.")</f>
        <v>Nezvyčajne citliví ľudia by mali zvážiť zníženie dlhodobej alebo ťažkej námahy.</v>
      </c>
      <c r="BD207" s="7" t="str">
        <f>IFERROR(__xludf.DUMMYFUNCTION("GoogleTranslate(C207, ""en"", ""sl"")"),"Nenavadno občutljivi ljudje bi morali razmisliti o zmanjšanju dolgotrajnega ali močnega napora.")</f>
        <v>Nenavadno občutljivi ljudje bi morali razmisliti o zmanjšanju dolgotrajnega ali močnega napora.</v>
      </c>
      <c r="BE207" s="7" t="str">
        <f>IFERROR(__xludf.DUMMYFUNCTION("GoogleTranslate(C207, ""en"", ""es"")"),"Las personas inusualmente sensibles deberían considerar reducir el esfuerzo prolongado o intenso.")</f>
        <v>Las personas inusualmente sensibles deberían considerar reducir el esfuerzo prolongado o intenso.</v>
      </c>
      <c r="BF207" s="7" t="str">
        <f>IFERROR(__xludf.DUMMYFUNCTION("GoogleTranslate(C207, ""en"", ""sw"")"),"Watu wenye hisia zisizo za kawaida wanapaswa kuzingatia kupunguza bidii ya muda mrefu au nzito.")</f>
        <v>Watu wenye hisia zisizo za kawaida wanapaswa kuzingatia kupunguza bidii ya muda mrefu au nzito.</v>
      </c>
      <c r="BG207" s="7" t="str">
        <f>IFERROR(__xludf.DUMMYFUNCTION("GoogleTranslate(C207, ""en"", ""sv"")"),"Ovanligt känsliga personer bör överväga att minska långvarig eller tung ansträngning.")</f>
        <v>Ovanligt känsliga personer bör överväga att minska långvarig eller tung ansträngning.</v>
      </c>
      <c r="BH207" s="7" t="str">
        <f>IFERROR(__xludf.DUMMYFUNCTION("GoogleTranslate(C207, ""en"", ""te"")"),"అసాధారణంగా సున్నితమైన వ్యక్తులు సుదీర్ఘమైన లేదా భారీ శ్రమను తగ్గించడాన్ని పరిగణించాలి.")</f>
        <v>అసాధారణంగా సున్నితమైన వ్యక్తులు సుదీర్ఘమైన లేదా భారీ శ్రమను తగ్గించడాన్ని పరిగణించాలి.</v>
      </c>
      <c r="BI207" s="7" t="str">
        <f>IFERROR(__xludf.DUMMYFUNCTION("GoogleTranslate(C207, ""en"", ""th"")"),"คนที่อ่อนไหวอย่างผิดปกติควรพิจารณาลดการออกแรงที่ยืดเยื้อหรือหนักหน่วงลง")</f>
        <v>คนที่อ่อนไหวอย่างผิดปกติควรพิจารณาลดการออกแรงที่ยืดเยื้อหรือหนักหน่วงลง</v>
      </c>
      <c r="BJ207" s="7" t="str">
        <f>IFERROR(__xludf.DUMMYFUNCTION("GoogleTranslate(C207, ""en"", ""tr"")"),"Alışılmadık derecede hassas kişiler, uzun süreli veya ağır eforları azaltmayı düşünmelidir.")</f>
        <v>Alışılmadık derecede hassas kişiler, uzun süreli veya ağır eforları azaltmayı düşünmelidir.</v>
      </c>
      <c r="BK207" s="7" t="str">
        <f>IFERROR(__xludf.DUMMYFUNCTION("GoogleTranslate(C207, ""en"", ""uk"")"),"Надзвичайно чутливі люди повинні зменшити тривале або важке навантаження.")</f>
        <v>Надзвичайно чутливі люди повинні зменшити тривале або важке навантаження.</v>
      </c>
      <c r="BL207" s="7" t="str">
        <f>IFERROR(__xludf.DUMMYFUNCTION("GoogleTranslate(C207, ""en"", ""zu"")"),"Abantu abazwela ngokungavamile kufanele bacabangele ukunciphisa ukuzikhandla okude noma okukhulu.")</f>
        <v>Abantu abazwela ngokungavamile kufanele bacabangele ukunciphisa ukuzikhandla okude noma okukhulu.</v>
      </c>
    </row>
    <row r="208">
      <c r="A208" s="5" t="str">
        <f t="shared" si="1"/>
        <v>People_with_respiratory_or_heart_disease,_the_elderly_and_children_should_limit_prolonged_exertion.</v>
      </c>
      <c r="B208" s="4" t="s">
        <v>256</v>
      </c>
      <c r="C208" s="4" t="s">
        <v>256</v>
      </c>
      <c r="D208" s="7" t="str">
        <f>IFERROR(__xludf.DUMMYFUNCTION("GoogleTranslate(C208, ""en"", ""es"")"),"Las personas con enfermedades respiratorias o cardíacas, los ancianos y los niños deben limitar los esfuerzos prolongados.")</f>
        <v>Las personas con enfermedades respiratorias o cardíacas, los ancianos y los niños deben limitar los esfuerzos prolongados.</v>
      </c>
      <c r="E208" s="7" t="str">
        <f>IFERROR(__xludf.DUMMYFUNCTION("GoogleTranslate(C208, ""en"", ""ar"")"),"يجب على الأشخاص الذين يعانون من أمراض الجهاز التنفسي أو القلب وكبار السن والأطفال الحد من المجهود لفترات طويلة.")</f>
        <v>يجب على الأشخاص الذين يعانون من أمراض الجهاز التنفسي أو القلب وكبار السن والأطفال الحد من المجهود لفترات طويلة.</v>
      </c>
      <c r="F208" s="7" t="str">
        <f>IFERROR(__xludf.DUMMYFUNCTION("GoogleTranslate(C208, ""en"", ""hy"")"),"Շնչառական կամ սրտի հիվանդություններ ունեցող մարդիկ, տարեցները և երեխաները պետք է սահմանափակեն երկարատև ջանքերը:")</f>
        <v>Շնչառական կամ սրտի հիվանդություններ ունեցող մարդիկ, տարեցները և երեխաները պետք է սահմանափակեն երկարատև ջանքերը:</v>
      </c>
      <c r="G208" s="7" t="str">
        <f>IFERROR(__xludf.DUMMYFUNCTION("GoogleTranslate(C208, ""en"", ""vi"")"),"Người có bệnh về hô hấp, tim mạch, người già và trẻ em nên hạn chế gắng sức kéo dài.")</f>
        <v>Người có bệnh về hô hấp, tim mạch, người già và trẻ em nên hạn chế gắng sức kéo dài.</v>
      </c>
      <c r="H208" s="7" t="str">
        <f>IFERROR(__xludf.DUMMYFUNCTION("GoogleTranslate(C208, ""en"", ""az"")"),"Tənəffüs və ya ürək xəstəlikləri olan insanlar, yaşlılar və uşaqlar uzun müddətli gərginliyi məhdudlaşdırmalıdırlar.")</f>
        <v>Tənəffüs və ya ürək xəstəlikləri olan insanlar, yaşlılar və uşaqlar uzun müddətli gərginliyi məhdudlaşdırmalıdırlar.</v>
      </c>
      <c r="I208" s="7" t="str">
        <f>IFERROR(__xludf.DUMMYFUNCTION("GoogleTranslate(C208, ""en"", ""eu"")"),"Arnas edo bihotzeko gaixotasunak dituzten pertsonek, adinekoek eta haurrek esfortzu luzea mugatu behar dute.")</f>
        <v>Arnas edo bihotzeko gaixotasunak dituzten pertsonek, adinekoek eta haurrek esfortzu luzea mugatu behar dute.</v>
      </c>
      <c r="J208" s="7" t="str">
        <f>IFERROR(__xludf.DUMMYFUNCTION("GoogleTranslate(C208, ""en"", ""be"")"),"Людзям з захворваннямі органаў дыхання і сэрца, пажылым людзям і дзецям варта абмежаваць працяглыя нагрузкі.")</f>
        <v>Людзям з захворваннямі органаў дыхання і сэрца, пажылым людзям і дзецям варта абмежаваць працяглыя нагрузкі.</v>
      </c>
      <c r="K208" s="7" t="str">
        <f>IFERROR(__xludf.DUMMYFUNCTION("GoogleTranslate(C208, ""en"", ""bn"")"),"শ্বাসযন্ত্র বা হৃদরোগে আক্রান্ত ব্যক্তিদের, বয়স্ক এবং শিশুদের দীর্ঘায়িত পরিশ্রম সীমিত করা উচিত।")</f>
        <v>শ্বাসযন্ত্র বা হৃদরোগে আক্রান্ত ব্যক্তিদের, বয়স্ক এবং শিশুদের দীর্ঘায়িত পরিশ্রম সীমিত করা উচিত।</v>
      </c>
      <c r="L208" s="7" t="str">
        <f>IFERROR(__xludf.DUMMYFUNCTION("GoogleTranslate(C208, ""en"", ""bg"")"),"Хората с респираторни или сърдечни заболявания, възрастните хора и децата трябва да ограничат продължителното натоварване.")</f>
        <v>Хората с респираторни или сърдечни заболявания, възрастните хора и децата трябва да ограничат продължителното натоварване.</v>
      </c>
      <c r="M208" s="7" t="str">
        <f>IFERROR(__xludf.DUMMYFUNCTION("GoogleTranslate(C208, ""en"", ""my"")"),"အသက်ရှုလမ်းကြောင်းဆိုင်ရာ သို့မဟုတ် နှလုံးရောဂါရှိသူများ၊ သက်ကြီးရွယ်အိုများနှင့် ကလေးငယ်များသည် အချိန်ကြာမြင့်စွာ အားထုတ်ခြင်းကို ကန့်သတ်သင့်သည်။")</f>
        <v>အသက်ရှုလမ်းကြောင်းဆိုင်ရာ သို့မဟုတ် နှလုံးရောဂါရှိသူများ၊ သက်ကြီးရွယ်အိုများနှင့် ကလေးငယ်များသည် အချိန်ကြာမြင့်စွာ အားထုတ်ခြင်းကို ကန့်သတ်သင့်သည်။</v>
      </c>
      <c r="N208" s="7" t="str">
        <f>IFERROR(__xludf.DUMMYFUNCTION("GoogleTranslate(C208, ""en"", ""ca"")"),"Les persones amb malalties respiratòries o cardíaques, la gent gran i els nens han de limitar l'esforç prolongat.")</f>
        <v>Les persones amb malalties respiratòries o cardíaques, la gent gran i els nens han de limitar l'esforç prolongat.</v>
      </c>
      <c r="O208" s="7" t="str">
        <f>IFERROR(__xludf.DUMMYFUNCTION("GoogleTranslate(C208, ""en"", ""zh-cn"")"),"患有呼吸道疾病或心脏病的人、老人和儿童应限制长时间的运动。")</f>
        <v>患有呼吸道疾病或心脏病的人、老人和儿童应限制长时间的运动。</v>
      </c>
      <c r="P208" s="7" t="str">
        <f>IFERROR(__xludf.DUMMYFUNCTION("GoogleTranslate(C208, ""en"", ""zh-TW"")"),"患有呼吸道疾病或心臟病的人、老人和兒童應限制長時間的運動。")</f>
        <v>患有呼吸道疾病或心臟病的人、老人和兒童應限制長時間的運動。</v>
      </c>
      <c r="Q208" s="7" t="str">
        <f>IFERROR(__xludf.DUMMYFUNCTION("GoogleTranslate(C208, ""en"", ""hr"")"),"Osobe s dišnim i srčanim bolestima, starije osobe i djeca trebaju ograničiti dugotrajne napore.")</f>
        <v>Osobe s dišnim i srčanim bolestima, starije osobe i djeca trebaju ograničiti dugotrajne napore.</v>
      </c>
      <c r="R208" s="7" t="str">
        <f>IFERROR(__xludf.DUMMYFUNCTION("GoogleTranslate(C208, ""en"", ""cs"")"),"Lidé s respiračním nebo srdečním onemocněním, senioři a děti by měli omezit dlouhodobou námahu.")</f>
        <v>Lidé s respiračním nebo srdečním onemocněním, senioři a děti by měli omezit dlouhodobou námahu.</v>
      </c>
      <c r="S208" s="7" t="str">
        <f>IFERROR(__xludf.DUMMYFUNCTION("GoogleTranslate(C208, ""en"", ""da"")"),"Personer med luftvejs- eller hjertesygdomme, ældre og børn bør begrænse langvarig anstrengelse.")</f>
        <v>Personer med luftvejs- eller hjertesygdomme, ældre og børn bør begrænse langvarig anstrengelse.</v>
      </c>
      <c r="T208" s="7" t="str">
        <f>IFERROR(__xludf.DUMMYFUNCTION("GoogleTranslate(C208, ""en"", ""nl"")"),"Mensen met luchtweg- of hartaandoeningen, ouderen en kinderen moeten langdurige inspanningen beperken.")</f>
        <v>Mensen met luchtweg- of hartaandoeningen, ouderen en kinderen moeten langdurige inspanningen beperken.</v>
      </c>
      <c r="U208" s="7" t="str">
        <f>IFERROR(__xludf.DUMMYFUNCTION("GoogleTranslate(C208, ""en"", ""et"")"),"Hingamisteede või südamehaigustega inimesed, eakad ja lapsed peaksid piirama pikaajalist pingutust.")</f>
        <v>Hingamisteede või südamehaigustega inimesed, eakad ja lapsed peaksid piirama pikaajalist pingutust.</v>
      </c>
      <c r="V208" s="5" t="str">
        <f t="shared" si="3"/>
        <v>People with respiratory or heart disease, the elderly and children should limit prolonged exertion.</v>
      </c>
      <c r="W208" s="7" t="str">
        <f>IFERROR(__xludf.DUMMYFUNCTION("GoogleTranslate(C208, ""en"", ""fi"")"),"Hengitystie- tai sydänsairauksia sairastavien, vanhusten ja lasten tulee rajoittaa pitkäaikaista rasitusta.")</f>
        <v>Hengitystie- tai sydänsairauksia sairastavien, vanhusten ja lasten tulee rajoittaa pitkäaikaista rasitusta.</v>
      </c>
      <c r="X208" s="7" t="str">
        <f>IFERROR(__xludf.DUMMYFUNCTION("GoogleTranslate(C208, ""en"", ""fr"")"),"Les personnes souffrant de maladies respiratoires ou cardiaques, les personnes âgées et les enfants doivent limiter les efforts prolongés.")</f>
        <v>Les personnes souffrant de maladies respiratoires ou cardiaques, les personnes âgées et les enfants doivent limiter les efforts prolongés.</v>
      </c>
      <c r="Y208" s="7" t="str">
        <f>IFERROR(__xludf.DUMMYFUNCTION("GoogleTranslate(C208, ""en"", ""de"")"),"Menschen mit Atemwegs- oder Herzerkrankungen, ältere Menschen und Kinder sollten längere Anstrengungen einschränken.")</f>
        <v>Menschen mit Atemwegs- oder Herzerkrankungen, ältere Menschen und Kinder sollten längere Anstrengungen einschränken.</v>
      </c>
      <c r="Z208" s="7" t="str">
        <f>IFERROR(__xludf.DUMMYFUNCTION("GoogleTranslate(C208, ""en"", ""el"")"),"Άτομα με αναπνευστικές ή καρδιακές παθήσεις, ηλικιωμένοι και παιδιά θα πρέπει να περιορίσουν την παρατεταμένη προσπάθεια.")</f>
        <v>Άτομα με αναπνευστικές ή καρδιακές παθήσεις, ηλικιωμένοι και παιδιά θα πρέπει να περιορίσουν την παρατεταμένη προσπάθεια.</v>
      </c>
      <c r="AA208" s="7" t="str">
        <f>IFERROR(__xludf.DUMMYFUNCTION("GoogleTranslate(C208, ""en"", ""iw"")"),"אנשים עם מחלות נשימה או לב, קשישים וילדים צריכים להגביל מאמץ ממושך.")</f>
        <v>אנשים עם מחלות נשימה או לב, קשישים וילדים צריכים להגביל מאמץ ממושך.</v>
      </c>
      <c r="AB208" s="7" t="str">
        <f>IFERROR(__xludf.DUMMYFUNCTION("GoogleTranslate(C208, ""en"", ""hi"")"),"श्वसन या हृदय रोग वाले लोगों, बुजुर्गों और बच्चों को लंबे समय तक परिश्रम सीमित करना चाहिए।")</f>
        <v>श्वसन या हृदय रोग वाले लोगों, बुजुर्गों और बच्चों को लंबे समय तक परिश्रम सीमित करना चाहिए।</v>
      </c>
      <c r="AC208" s="7" t="str">
        <f>IFERROR(__xludf.DUMMYFUNCTION("GoogleTranslate(C208, ""en"", ""hu"")"),"Légúti vagy szívbetegségben szenvedőknek, időseknek és gyermekeknek korlátozniuk kell a hosszan tartó terhelést.")</f>
        <v>Légúti vagy szívbetegségben szenvedőknek, időseknek és gyermekeknek korlátozniuk kell a hosszan tartó terhelést.</v>
      </c>
      <c r="AD208" s="7" t="str">
        <f>IFERROR(__xludf.DUMMYFUNCTION("GoogleTranslate(C208, ""en"", ""is"")"),"Fólk með öndunarfæra- eða hjartasjúkdóma, aldraðir og börn ættu að takmarka langvarandi áreynslu.")</f>
        <v>Fólk með öndunarfæra- eða hjartasjúkdóma, aldraðir og börn ættu að takmarka langvarandi áreynslu.</v>
      </c>
      <c r="AE208" s="7" t="str">
        <f>IFERROR(__xludf.DUMMYFUNCTION("GoogleTranslate(C208, ""en"", ""id"")"),"Orang dengan penyakit pernafasan atau jantung, orang tua dan anak-anak harus membatasi aktivitas yang berkepanjangan.")</f>
        <v>Orang dengan penyakit pernafasan atau jantung, orang tua dan anak-anak harus membatasi aktivitas yang berkepanjangan.</v>
      </c>
      <c r="AF208" s="7" t="str">
        <f>IFERROR(__xludf.DUMMYFUNCTION("GoogleTranslate(C208, ""en"", ""in"")"),"Orang dengan penyakit pernafasan atau jantung, orang tua dan anak-anak harus membatasi aktivitas yang berkepanjangan.")</f>
        <v>Orang dengan penyakit pernafasan atau jantung, orang tua dan anak-anak harus membatasi aktivitas yang berkepanjangan.</v>
      </c>
      <c r="AG208" s="7" t="str">
        <f>IFERROR(__xludf.DUMMYFUNCTION("GoogleTranslate(C208, ""en"", ""it"")"),"Le persone con malattie respiratorie o cardiache, gli anziani e i bambini dovrebbero limitare lo sforzo prolungato.")</f>
        <v>Le persone con malattie respiratorie o cardiache, gli anziani e i bambini dovrebbero limitare lo sforzo prolungato.</v>
      </c>
      <c r="AH208" s="7" t="str">
        <f>IFERROR(__xludf.DUMMYFUNCTION("GoogleTranslate(C208, ""en"", ""ja"")"),"呼吸器疾患や心臓疾患のある人、高齢者、子供は、長時間の運動を制限する必要があります。")</f>
        <v>呼吸器疾患や心臓疾患のある人、高齢者、子供は、長時間の運動を制限する必要があります。</v>
      </c>
      <c r="AI208" s="7" t="str">
        <f>IFERROR(__xludf.DUMMYFUNCTION("GoogleTranslate(C208, ""en"", ""kn"")"),"ಉಸಿರಾಟ ಅಥವಾ ಹೃದ್ರೋಗ ಹೊಂದಿರುವ ಜನರು, ವೃದ್ಧರು ಮತ್ತು ಮಕ್ಕಳು ದೀರ್ಘಕಾಲದ ಪರಿಶ್ರಮವನ್ನು ಮಿತಿಗೊಳಿಸಬೇಕು.")</f>
        <v>ಉಸಿರಾಟ ಅಥವಾ ಹೃದ್ರೋಗ ಹೊಂದಿರುವ ಜನರು, ವೃದ್ಧರು ಮತ್ತು ಮಕ್ಕಳು ದೀರ್ಘಕಾಲದ ಪರಿಶ್ರಮವನ್ನು ಮಿತಿಗೊಳಿಸಬೇಕು.</v>
      </c>
      <c r="AJ208" s="7" t="str">
        <f>IFERROR(__xludf.DUMMYFUNCTION("GoogleTranslate(C208, ""en"", ""km"")"),"អ្នកដែលមានជំងឺផ្លូវដង្ហើម ឬបេះដូង មនុស្សចាស់ និងកុមារគួរកំណត់ការធ្វើលំហាត់ប្រាណយូរ។")</f>
        <v>អ្នកដែលមានជំងឺផ្លូវដង្ហើម ឬបេះដូង មនុស្សចាស់ និងកុមារគួរកំណត់ការធ្វើលំហាត់ប្រាណយូរ។</v>
      </c>
      <c r="AK208" s="7" t="str">
        <f>IFERROR(__xludf.DUMMYFUNCTION("GoogleTranslate(C208, ""en"", ""ko"")"),"호흡기 질환이나 심장 질환이 있는 사람, 노인, 어린이는 장시간의 운동을 자제해야 합니다.")</f>
        <v>호흡기 질환이나 심장 질환이 있는 사람, 노인, 어린이는 장시간의 운동을 자제해야 합니다.</v>
      </c>
      <c r="AL208" s="7" t="str">
        <f>IFERROR(__xludf.DUMMYFUNCTION("GoogleTranslate(C208, ""en"", ""lo"")"),"ຜູ້ທີ່ເປັນພະຍາດລະບົບຫາຍໃຈ ຫຼືຫົວໃຈ, ຜູ້ສູງອາຍຸ ແລະ ເດັກນ້ອຍຄວນຈຳກັດການອອກກຳລັງເປັນເວລາດົນ.")</f>
        <v>ຜູ້ທີ່ເປັນພະຍາດລະບົບຫາຍໃຈ ຫຼືຫົວໃຈ, ຜູ້ສູງອາຍຸ ແລະ ເດັກນ້ອຍຄວນຈຳກັດການອອກກຳລັງເປັນເວລາດົນ.</v>
      </c>
      <c r="AM208" s="7" t="str">
        <f>IFERROR(__xludf.DUMMYFUNCTION("GoogleTranslate(C208, ""en"", ""lv"")"),"Cilvēkiem ar elpceļu vai sirds slimībām, gados vecākiem cilvēkiem un bērniem jāierobežo ilgstoša slodze.")</f>
        <v>Cilvēkiem ar elpceļu vai sirds slimībām, gados vecākiem cilvēkiem un bērniem jāierobežo ilgstoša slodze.</v>
      </c>
      <c r="AN208" s="7" t="str">
        <f>IFERROR(__xludf.DUMMYFUNCTION("GoogleTranslate(C208, ""en"", ""lt"")"),"Žmonės, sergantys kvėpavimo ar širdies ligomis, pagyvenę žmonės ir vaikai, turėtų apriboti ilgalaikį krūvį.")</f>
        <v>Žmonės, sergantys kvėpavimo ar širdies ligomis, pagyvenę žmonės ir vaikai, turėtų apriboti ilgalaikį krūvį.</v>
      </c>
      <c r="AO208" s="7" t="str">
        <f>IFERROR(__xludf.DUMMYFUNCTION("GoogleTranslate(C208, ""en"", ""mk"")"),"Луѓето со респираторни или срцеви заболувања, постарите лица и децата треба да го ограничат продолжениот напор.")</f>
        <v>Луѓето со респираторни или срцеви заболувања, постарите лица и децата треба да го ограничат продолжениот напор.</v>
      </c>
      <c r="AP208" s="7" t="str">
        <f>IFERROR(__xludf.DUMMYFUNCTION("GoogleTranslate(C208, ""en"", ""ms"")"),"Orang yang mempunyai penyakit pernafasan atau jantung, orang tua dan kanak-kanak harus mengehadkan tenaga yang berpanjangan.")</f>
        <v>Orang yang mempunyai penyakit pernafasan atau jantung, orang tua dan kanak-kanak harus mengehadkan tenaga yang berpanjangan.</v>
      </c>
      <c r="AQ208" s="7" t="str">
        <f>IFERROR(__xludf.DUMMYFUNCTION("GoogleTranslate(C208, ""en"", ""ml"")"),"ശ്വാസകോശ സംബന്ധമായ അസുഖങ്ങളോ ഹൃദ്രോഗങ്ങളോ ഉള്ളവർ, പ്രായമായവർ, കുട്ടികൾ എന്നിവർ ദീർഘനേരം അദ്ധ്വാനിക്കുന്നത് പരിമിതപ്പെടുത്തണം.")</f>
        <v>ശ്വാസകോശ സംബന്ധമായ അസുഖങ്ങളോ ഹൃദ്രോഗങ്ങളോ ഉള്ളവർ, പ്രായമായവർ, കുട്ടികൾ എന്നിവർ ദീർഘനേരം അദ്ധ്വാനിക്കുന്നത് പരിമിതപ്പെടുത്തണം.</v>
      </c>
      <c r="AR208" s="7" t="str">
        <f>IFERROR(__xludf.DUMMYFUNCTION("GoogleTranslate(C208, ""en"", ""mr"")"),"श्वसन किंवा हृदयरोग असलेले लोक, वृद्ध आणि मुलांनी दीर्घकाळापर्यंत श्रम मर्यादित केले पाहिजेत.")</f>
        <v>श्वसन किंवा हृदयरोग असलेले लोक, वृद्ध आणि मुलांनी दीर्घकाळापर्यंत श्रम मर्यादित केले पाहिजेत.</v>
      </c>
      <c r="AS208" s="7" t="str">
        <f>IFERROR(__xludf.DUMMYFUNCTION("GoogleTranslate(C208, ""en"", ""mn"")"),"Амьсгалын замын болон зүрхний өвчтэй хүмүүс, өндөр настан, хүүхдүүд удаан хугацаагаар ачааллыг хязгаарлах хэрэгтэй.")</f>
        <v>Амьсгалын замын болон зүрхний өвчтэй хүмүүс, өндөр настан, хүүхдүүд удаан хугацаагаар ачааллыг хязгаарлах хэрэгтэй.</v>
      </c>
      <c r="AT208" s="7" t="str">
        <f>IFERROR(__xludf.DUMMYFUNCTION("GoogleTranslate(C208, ""en"", ""ne"")"),"श्वासप्रश्वास वा हृदय रोग भएका व्यक्तिहरू, वृद्धहरू र बालबालिकाहरूले लामो समयसम्म परिश्रम सीमित गर्नुपर्छ।")</f>
        <v>श्वासप्रश्वास वा हृदय रोग भएका व्यक्तिहरू, वृद्धहरू र बालबालिकाहरूले लामो समयसम्म परिश्रम सीमित गर्नुपर्छ।</v>
      </c>
      <c r="AU208" s="7" t="str">
        <f>IFERROR(__xludf.DUMMYFUNCTION("GoogleTranslate(C208, ""en"", ""nb"")"),"Personer med luftveis- eller hjertesykdom, eldre og barn bør begrense langvarig anstrengelse.")</f>
        <v>Personer med luftveis- eller hjertesykdom, eldre og barn bør begrense langvarig anstrengelse.</v>
      </c>
      <c r="AV208" s="7" t="str">
        <f>IFERROR(__xludf.DUMMYFUNCTION("GoogleTranslate(C208, ""en"", ""fa"")"),"افراد مبتلا به بیماری های تنفسی یا قلبی، افراد مسن و کودکان باید فعالیت های طولانی مدت را محدود کنند.")</f>
        <v>افراد مبتلا به بیماری های تنفسی یا قلبی، افراد مسن و کودکان باید فعالیت های طولانی مدت را محدود کنند.</v>
      </c>
      <c r="AW208" s="7" t="str">
        <f>IFERROR(__xludf.DUMMYFUNCTION("GoogleTranslate(C208, ""en"", ""pl"")"),"Osoby z chorobami układu oddechowego lub serca, osoby starsze i dzieci powinny ograniczyć długotrwały wysiłek.")</f>
        <v>Osoby z chorobami układu oddechowego lub serca, osoby starsze i dzieci powinny ograniczyć długotrwały wysiłek.</v>
      </c>
      <c r="AX208" s="7" t="str">
        <f>IFERROR(__xludf.DUMMYFUNCTION("GoogleTranslate(C208, ""en"", ""pt"")"),"Pessoas com doenças respiratórias ou cardíacas, idosos e crianças devem limitar os esforços prolongados.")</f>
        <v>Pessoas com doenças respiratórias ou cardíacas, idosos e crianças devem limitar os esforços prolongados.</v>
      </c>
      <c r="AY208" s="7" t="str">
        <f>IFERROR(__xludf.DUMMYFUNCTION("GoogleTranslate(C208, ""en"", ""ro"")"),"Persoanele cu boli respiratorii sau cardiace, vârstnicii și copiii ar trebui să limiteze efortul prelungit.")</f>
        <v>Persoanele cu boli respiratorii sau cardiace, vârstnicii și copiii ar trebui să limiteze efortul prelungit.</v>
      </c>
      <c r="AZ208" s="7" t="str">
        <f>IFERROR(__xludf.DUMMYFUNCTION("GoogleTranslate(C208, ""en"", ""ru"")"),"Людям с респираторными или сердечными заболеваниями, пожилым людям и детям следует ограничить длительные нагрузки.")</f>
        <v>Людям с респираторными или сердечными заболеваниями, пожилым людям и детям следует ограничить длительные нагрузки.</v>
      </c>
      <c r="BA208" s="7" t="str">
        <f>IFERROR(__xludf.DUMMYFUNCTION("GoogleTranslate(C208, ""en"", ""sr"")"),"Особе са респираторним или срчаним обољењима, старије особе и деца треба да ограниче продужени напор.")</f>
        <v>Особе са респираторним или срчаним обољењима, старије особе и деца треба да ограниче продужени напор.</v>
      </c>
      <c r="BB208" s="7" t="str">
        <f>IFERROR(__xludf.DUMMYFUNCTION("GoogleTranslate(C208, ""en"", ""si"")"),"ශ්වසන හෝ හෘද රෝග ඇති පුද්ගලයින්, වැඩිහිටියන් සහ ළමුන් දිගු වෙහෙසීම සීමා කළ යුතුය.")</f>
        <v>ශ්වසන හෝ හෘද රෝග ඇති පුද්ගලයින්, වැඩිහිටියන් සහ ළමුන් දිගු වෙහෙසීම සීමා කළ යුතුය.</v>
      </c>
      <c r="BC208" s="7" t="str">
        <f>IFERROR(__xludf.DUMMYFUNCTION("GoogleTranslate(C208, ""en"", ""sk"")"),"Ľudia s respiračnými alebo srdcovými chorobami, starší ľudia a deti by mali obmedziť dlhodobú námahu.")</f>
        <v>Ľudia s respiračnými alebo srdcovými chorobami, starší ľudia a deti by mali obmedziť dlhodobú námahu.</v>
      </c>
      <c r="BD208" s="7" t="str">
        <f>IFERROR(__xludf.DUMMYFUNCTION("GoogleTranslate(C208, ""en"", ""sl"")"),"Ljudje z boleznimi dihal ali srca, starejši in otroci naj omejijo dolgotrajne obremenitve.")</f>
        <v>Ljudje z boleznimi dihal ali srca, starejši in otroci naj omejijo dolgotrajne obremenitve.</v>
      </c>
      <c r="BE208" s="7" t="str">
        <f>IFERROR(__xludf.DUMMYFUNCTION("GoogleTranslate(C208, ""en"", ""es"")"),"Las personas con enfermedades respiratorias o cardíacas, los ancianos y los niños deben limitar los esfuerzos prolongados.")</f>
        <v>Las personas con enfermedades respiratorias o cardíacas, los ancianos y los niños deben limitar los esfuerzos prolongados.</v>
      </c>
      <c r="BF208" s="7" t="str">
        <f>IFERROR(__xludf.DUMMYFUNCTION("GoogleTranslate(C208, ""en"", ""sw"")"),"Watu walio na magonjwa ya kupumua au ya moyo, wazee na watoto wanapaswa kupunguza bidii ya muda mrefu.")</f>
        <v>Watu walio na magonjwa ya kupumua au ya moyo, wazee na watoto wanapaswa kupunguza bidii ya muda mrefu.</v>
      </c>
      <c r="BG208" s="7" t="str">
        <f>IFERROR(__xludf.DUMMYFUNCTION("GoogleTranslate(C208, ""en"", ""sv"")"),"Personer med luftvägs- eller hjärtsjukdomar, äldre och barn bör begränsa långvarig ansträngning.")</f>
        <v>Personer med luftvägs- eller hjärtsjukdomar, äldre och barn bör begränsa långvarig ansträngning.</v>
      </c>
      <c r="BH208" s="7" t="str">
        <f>IFERROR(__xludf.DUMMYFUNCTION("GoogleTranslate(C208, ""en"", ""te"")"),"శ్వాసకోశ లేదా గుండె జబ్బులు ఉన్నవారు, వృద్ధులు మరియు పిల్లలు దీర్ఘకాలిక శ్రమను పరిమితం చేయాలి.")</f>
        <v>శ్వాసకోశ లేదా గుండె జబ్బులు ఉన్నవారు, వృద్ధులు మరియు పిల్లలు దీర్ఘకాలిక శ్రమను పరిమితం చేయాలి.</v>
      </c>
      <c r="BI208" s="7" t="str">
        <f>IFERROR(__xludf.DUMMYFUNCTION("GoogleTranslate(C208, ""en"", ""th"")"),"ผู้ที่เป็นโรคระบบทางเดินหายใจ หรือโรคหัวใจ ผู้สูงอายุ และเด็ก ควรจำกัดการออกกำลังกายเป็นเวลานานๆ")</f>
        <v>ผู้ที่เป็นโรคระบบทางเดินหายใจ หรือโรคหัวใจ ผู้สูงอายุ และเด็ก ควรจำกัดการออกกำลังกายเป็นเวลานานๆ</v>
      </c>
      <c r="BJ208" s="7" t="str">
        <f>IFERROR(__xludf.DUMMYFUNCTION("GoogleTranslate(C208, ""en"", ""tr"")"),"Solunum veya kalp hastalığı olan kişiler, yaşlılar ve çocuklar uzun süreli eforu sınırlamalıdır.")</f>
        <v>Solunum veya kalp hastalığı olan kişiler, yaşlılar ve çocuklar uzun süreli eforu sınırlamalıdır.</v>
      </c>
      <c r="BK208" s="7" t="str">
        <f>IFERROR(__xludf.DUMMYFUNCTION("GoogleTranslate(C208, ""en"", ""uk"")"),"Людям із захворюваннями органів дихання чи серця, людям похилого віку та дітям варто обмежити тривалі фізичні навантаження.")</f>
        <v>Людям із захворюваннями органів дихання чи серця, людям похилого віку та дітям варто обмежити тривалі фізичні навантаження.</v>
      </c>
      <c r="BL208" s="7" t="str">
        <f>IFERROR(__xludf.DUMMYFUNCTION("GoogleTranslate(C208, ""en"", ""zu"")"),"Abantu abanesifo sokuphefumula noma senhliziyo, abantu abadala kanye nezingane kufanele banciphise ukuzikhandla isikhathi eside.")</f>
        <v>Abantu abanesifo sokuphefumula noma senhliziyo, abantu abadala kanye nezingane kufanele banciphise ukuzikhandla isikhathi eside.</v>
      </c>
    </row>
    <row r="209">
      <c r="A209" s="5" t="str">
        <f t="shared" si="1"/>
        <v>People_with_respiratory_or_heart_disease,_the_elderly_and_children_should_avoid_prolonged_exertion;_everyone_else_should_limit_prolonged_exertion.</v>
      </c>
      <c r="B209" s="4" t="s">
        <v>257</v>
      </c>
      <c r="C209" s="4" t="s">
        <v>257</v>
      </c>
      <c r="D209" s="7" t="str">
        <f>IFERROR(__xludf.DUMMYFUNCTION("GoogleTranslate(C209, ""en"", ""es"")"),"Las personas con enfermedades respiratorias o cardíacas, los ancianos y los niños deben evitar esfuerzos prolongados; todos los demás deberían limitar el esfuerzo prolongado.")</f>
        <v>Las personas con enfermedades respiratorias o cardíacas, los ancianos y los niños deben evitar esfuerzos prolongados; todos los demás deberían limitar el esfuerzo prolongado.</v>
      </c>
      <c r="E209" s="7" t="str">
        <f>IFERROR(__xludf.DUMMYFUNCTION("GoogleTranslate(C209, ""en"", ""ar"")"),"يجب على الأشخاص الذين يعانون من أمراض الجهاز التنفسي أو القلب وكبار السن والأطفال تجنب المجهود لفترات طويلة؛ يجب على الجميع الحد من المجهود المطول.")</f>
        <v>يجب على الأشخاص الذين يعانون من أمراض الجهاز التنفسي أو القلب وكبار السن والأطفال تجنب المجهود لفترات طويلة؛ يجب على الجميع الحد من المجهود المطول.</v>
      </c>
      <c r="F209" s="7" t="str">
        <f>IFERROR(__xludf.DUMMYFUNCTION("GoogleTranslate(C209, ""en"", ""hy"")"),"Շնչառական կամ սրտի հիվանդություն ունեցող մարդիկ, տարեցները և երեխաները պետք է խուսափեն երկարատև ջանքերից. մնացած բոլորը պետք է սահմանափակեն երկարատև ջանքերը:")</f>
        <v>Շնչառական կամ սրտի հիվանդություն ունեցող մարդիկ, տարեցները և երեխաները պետք է խուսափեն երկարատև ջանքերից. մնացած բոլորը պետք է սահմանափակեն երկարատև ջանքերը:</v>
      </c>
      <c r="G209" s="7" t="str">
        <f>IFERROR(__xludf.DUMMYFUNCTION("GoogleTranslate(C209, ""en"", ""vi"")"),"Người mắc bệnh hô hấp, tim mạch, người già và trẻ em nên tránh gắng sức kéo dài; mọi người khác nên hạn chế gắng sức kéo dài.")</f>
        <v>Người mắc bệnh hô hấp, tim mạch, người già và trẻ em nên tránh gắng sức kéo dài; mọi người khác nên hạn chế gắng sức kéo dài.</v>
      </c>
      <c r="H209" s="7" t="str">
        <f>IFERROR(__xludf.DUMMYFUNCTION("GoogleTranslate(C209, ""en"", ""az"")"),"Tənəffüs və ya ürək xəstəlikləri olan insanlar, yaşlılar və uşaqlar uzun müddət gərginlikdən çəkinməlidirlər; qalan hər kəs uzunmüddətli gərginliyi məhdudlaşdırmalıdır.")</f>
        <v>Tənəffüs və ya ürək xəstəlikləri olan insanlar, yaşlılar və uşaqlar uzun müddət gərginlikdən çəkinməlidirlər; qalan hər kəs uzunmüddətli gərginliyi məhdudlaşdırmalıdır.</v>
      </c>
      <c r="I209" s="7" t="str">
        <f>IFERROR(__xludf.DUMMYFUNCTION("GoogleTranslate(C209, ""en"", ""eu"")"),"Arnas edo bihotzeko gaixotasunak dituzten pertsonek, adinekoek eta haurrek esfortzu luzea saihestu behar dute; beste guztiek esfortzu luzea mugatu beharko lukete.")</f>
        <v>Arnas edo bihotzeko gaixotasunak dituzten pertsonek, adinekoek eta haurrek esfortzu luzea saihestu behar dute; beste guztiek esfortzu luzea mugatu beharko lukete.</v>
      </c>
      <c r="J209" s="7" t="str">
        <f>IFERROR(__xludf.DUMMYFUNCTION("GoogleTranslate(C209, ""en"", ""be"")"),"Людзям з захворваннямі органаў дыхання і сэрца, пажылым людзям і дзецям варта пазбягаць працяглых нагрузак; усе астатнія павінны абмежаваць працяглыя нагрузкі.")</f>
        <v>Людзям з захворваннямі органаў дыхання і сэрца, пажылым людзям і дзецям варта пазбягаць працяглых нагрузак; усе астатнія павінны абмежаваць працяглыя нагрузкі.</v>
      </c>
      <c r="K209" s="7" t="str">
        <f>IFERROR(__xludf.DUMMYFUNCTION("GoogleTranslate(C209, ""en"", ""bn"")"),"শ্বাসযন্ত্র বা হৃদরোগে আক্রান্ত ব্যক্তিদের, বয়স্ক এবং শিশুদের দীর্ঘায়িত পরিশ্রম এড়ানো উচিত; অন্য সকলের উচিত দীর্ঘায়িত পরিশ্রম সীমিত করা।")</f>
        <v>শ্বাসযন্ত্র বা হৃদরোগে আক্রান্ত ব্যক্তিদের, বয়স্ক এবং শিশুদের দীর্ঘায়িত পরিশ্রম এড়ানো উচিত; অন্য সকলের উচিত দীর্ঘায়িত পরিশ্রম সীমিত করা।</v>
      </c>
      <c r="L209" s="7" t="str">
        <f>IFERROR(__xludf.DUMMYFUNCTION("GoogleTranslate(C209, ""en"", ""bg"")"),"Хората с респираторни или сърдечни заболявания, възрастните хора и децата трябва да избягват продължителни натоварвания; всички останали трябва да ограничат продължителното натоварване.")</f>
        <v>Хората с респираторни или сърдечни заболявания, възрастните хора и децата трябва да избягват продължителни натоварвания; всички останали трябва да ограничат продължителното натоварване.</v>
      </c>
      <c r="M209" s="7" t="str">
        <f>IFERROR(__xludf.DUMMYFUNCTION("GoogleTranslate(C209, ""en"", ""my"")"),"အသက်ရှုလမ်းကြောင်းဆိုင်ရာ သို့မဟုတ် နှလုံးရောဂါရှိသူများ၊ သက်ကြီးရွယ်အိုများနှင့် ကလေးများသည် ကြာရှည်စွာ အားထုတ်ခြင်းကို ရှောင်ကြဉ်သင့်သည်။ အခြားလူတိုင်းသည် ကြာရှည်စွာ အားထုတ်ခြင်းကို ကန့်သတ်သင့်သည်။")</f>
        <v>အသက်ရှုလမ်းကြောင်းဆိုင်ရာ သို့မဟုတ် နှလုံးရောဂါရှိသူများ၊ သက်ကြီးရွယ်အိုများနှင့် ကလေးများသည် ကြာရှည်စွာ အားထုတ်ခြင်းကို ရှောင်ကြဉ်သင့်သည်။ အခြားလူတိုင်းသည် ကြာရှည်စွာ အားထုတ်ခြင်းကို ကန့်သတ်သင့်သည်။</v>
      </c>
      <c r="N209" s="7" t="str">
        <f>IFERROR(__xludf.DUMMYFUNCTION("GoogleTranslate(C209, ""en"", ""ca"")"),"Les persones amb malalties respiratòries o cardíaques, la gent gran i els nens han d'evitar l'esforç prolongat; tots els altres haurien de limitar l'esforç prolongat.")</f>
        <v>Les persones amb malalties respiratòries o cardíaques, la gent gran i els nens han d'evitar l'esforç prolongat; tots els altres haurien de limitar l'esforç prolongat.</v>
      </c>
      <c r="O209" s="7" t="str">
        <f>IFERROR(__xludf.DUMMYFUNCTION("GoogleTranslate(C209, ""en"", ""zh-cn"")"),"患有呼吸系统或心脏病的人、老人和儿童应避免长时间劳累；其他人都应该限制长时间的运动。")</f>
        <v>患有呼吸系统或心脏病的人、老人和儿童应避免长时间劳累；其他人都应该限制长时间的运动。</v>
      </c>
      <c r="P209" s="7" t="str">
        <f>IFERROR(__xludf.DUMMYFUNCTION("GoogleTranslate(C209, ""en"", ""zh-TW"")"),"患有呼吸系統或心臟病的人、老人和兒童應避免長時間勞累；其他人都應該限制長時間的運動。")</f>
        <v>患有呼吸系統或心臟病的人、老人和兒童應避免長時間勞累；其他人都應該限制長時間的運動。</v>
      </c>
      <c r="Q209" s="7" t="str">
        <f>IFERROR(__xludf.DUMMYFUNCTION("GoogleTranslate(C209, ""en"", ""hr"")"),"Osobe s dišnim ili srčanim oboljenjima, starije osobe i djeca trebaju izbjegavati dugotrajne napore; svi ostali trebali bi ograničiti dugotrajne napore.")</f>
        <v>Osobe s dišnim ili srčanim oboljenjima, starije osobe i djeca trebaju izbjegavati dugotrajne napore; svi ostali trebali bi ograničiti dugotrajne napore.</v>
      </c>
      <c r="R209" s="7" t="str">
        <f>IFERROR(__xludf.DUMMYFUNCTION("GoogleTranslate(C209, ""en"", ""cs"")"),"Lidé s respiračním nebo srdečním onemocněním, starší lidé a děti by se měli vyhýbat dlouhodobé námaze; všichni ostatní by měli omezit dlouhodobou námahu.")</f>
        <v>Lidé s respiračním nebo srdečním onemocněním, starší lidé a děti by se měli vyhýbat dlouhodobé námaze; všichni ostatní by měli omezit dlouhodobou námahu.</v>
      </c>
      <c r="S209" s="7" t="str">
        <f>IFERROR(__xludf.DUMMYFUNCTION("GoogleTranslate(C209, ""en"", ""da"")"),"Mennesker med luftvejs- eller hjertesygdomme, ældre og børn bør undgå langvarig anstrengelse; alle andre bør begrænse langvarig anstrengelse.")</f>
        <v>Mennesker med luftvejs- eller hjertesygdomme, ældre og børn bør undgå langvarig anstrengelse; alle andre bør begrænse langvarig anstrengelse.</v>
      </c>
      <c r="T209" s="7" t="str">
        <f>IFERROR(__xludf.DUMMYFUNCTION("GoogleTranslate(C209, ""en"", ""nl"")"),"Mensen met ademhalings- of hartaandoeningen, ouderen en kinderen moeten langdurige inspanning vermijden; alle anderen moeten langdurige inspanningen beperken.")</f>
        <v>Mensen met ademhalings- of hartaandoeningen, ouderen en kinderen moeten langdurige inspanning vermijden; alle anderen moeten langdurige inspanningen beperken.</v>
      </c>
      <c r="U209" s="7" t="str">
        <f>IFERROR(__xludf.DUMMYFUNCTION("GoogleTranslate(C209, ""en"", ""et"")"),"Hingamisteede või südamehaigustega inimesed, eakad ja lapsed peaksid vältima pikaajalist pingutust; kõik teised peaksid piirama pikaajalist pingutust.")</f>
        <v>Hingamisteede või südamehaigustega inimesed, eakad ja lapsed peaksid vältima pikaajalist pingutust; kõik teised peaksid piirama pikaajalist pingutust.</v>
      </c>
      <c r="V209" s="5" t="str">
        <f t="shared" si="3"/>
        <v>People with respiratory or heart disease, the elderly and children should avoid prolonged exertion; everyone else should limit prolonged exertion.</v>
      </c>
      <c r="W209" s="7" t="str">
        <f>IFERROR(__xludf.DUMMYFUNCTION("GoogleTranslate(C209, ""en"", ""fi"")"),"Hengitystie- tai sydänsairauksia sairastavien, vanhusten ja lasten tulee välttää pitkäaikaista rasitusta; kaikkien muiden pitäisi rajoittaa pitkäkestoista rasitusta.")</f>
        <v>Hengitystie- tai sydänsairauksia sairastavien, vanhusten ja lasten tulee välttää pitkäaikaista rasitusta; kaikkien muiden pitäisi rajoittaa pitkäkestoista rasitusta.</v>
      </c>
      <c r="X209" s="7" t="str">
        <f>IFERROR(__xludf.DUMMYFUNCTION("GoogleTranslate(C209, ""en"", ""fr"")"),"Les personnes souffrant de maladies respiratoires ou cardiaques, les personnes âgées et les enfants doivent éviter les efforts prolongés ; tout le monde devrait limiter les efforts prolongés.")</f>
        <v>Les personnes souffrant de maladies respiratoires ou cardiaques, les personnes âgées et les enfants doivent éviter les efforts prolongés ; tout le monde devrait limiter les efforts prolongés.</v>
      </c>
      <c r="Y209" s="7" t="str">
        <f>IFERROR(__xludf.DUMMYFUNCTION("GoogleTranslate(C209, ""en"", ""de"")"),"Menschen mit Atemwegs- oder Herzerkrankungen, ältere Menschen und Kinder sollten längere Anstrengungen vermeiden; Alle anderen sollten längere Anstrengungen begrenzen.")</f>
        <v>Menschen mit Atemwegs- oder Herzerkrankungen, ältere Menschen und Kinder sollten längere Anstrengungen vermeiden; Alle anderen sollten längere Anstrengungen begrenzen.</v>
      </c>
      <c r="Z209" s="7" t="str">
        <f>IFERROR(__xludf.DUMMYFUNCTION("GoogleTranslate(C209, ""en"", ""el"")"),"Άτομα με αναπνευστικές ή καρδιακές παθήσεις, ηλικιωμένοι και παιδιά πρέπει να αποφεύγουν την παρατεταμένη προσπάθεια. Όλοι οι άλλοι θα πρέπει να περιορίσουν την παρατεταμένη προσπάθεια.")</f>
        <v>Άτομα με αναπνευστικές ή καρδιακές παθήσεις, ηλικιωμένοι και παιδιά πρέπει να αποφεύγουν την παρατεταμένη προσπάθεια. Όλοι οι άλλοι θα πρέπει να περιορίσουν την παρατεταμένη προσπάθεια.</v>
      </c>
      <c r="AA209" s="7" t="str">
        <f>IFERROR(__xludf.DUMMYFUNCTION("GoogleTranslate(C209, ""en"", ""iw"")"),"אנשים עם מחלות נשימה או לב, קשישים וילדים צריכים להימנע ממאמץ ממושך; כל השאר צריכים להגביל מאמץ ממושך.")</f>
        <v>אנשים עם מחלות נשימה או לב, קשישים וילדים צריכים להימנע ממאמץ ממושך; כל השאר צריכים להגביל מאמץ ממושך.</v>
      </c>
      <c r="AB209" s="7" t="str">
        <f>IFERROR(__xludf.DUMMYFUNCTION("GoogleTranslate(C209, ""en"", ""hi"")"),"श्वसन या हृदय रोग से पीड़ित लोगों, बुजुर्गों और बच्चों को लंबे समय तक परिश्रम करने से बचना चाहिए; बाकी सभी को लंबे समय तक परिश्रम सीमित करना चाहिए।")</f>
        <v>श्वसन या हृदय रोग से पीड़ित लोगों, बुजुर्गों और बच्चों को लंबे समय तक परिश्रम करने से बचना चाहिए; बाकी सभी को लंबे समय तक परिश्रम सीमित करना चाहिए।</v>
      </c>
      <c r="AC209" s="7" t="str">
        <f>IFERROR(__xludf.DUMMYFUNCTION("GoogleTranslate(C209, ""en"", ""hu"")"),"Légúti vagy szívbetegségben szenvedők, idősek és gyermekek kerüljék a hosszan tartó erőfeszítést; mindenki másnak korlátoznia kell a hosszan tartó erőfeszítést.")</f>
        <v>Légúti vagy szívbetegségben szenvedők, idősek és gyermekek kerüljék a hosszan tartó erőfeszítést; mindenki másnak korlátoznia kell a hosszan tartó erőfeszítést.</v>
      </c>
      <c r="AD209" s="7" t="str">
        <f>IFERROR(__xludf.DUMMYFUNCTION("GoogleTranslate(C209, ""en"", ""is"")"),"Fólk með öndunarfæra- eða hjartasjúkdóma, aldraðir og börn ættu að forðast langvarandi áreynslu; allir aðrir ættu að takmarka langvarandi áreynslu.")</f>
        <v>Fólk með öndunarfæra- eða hjartasjúkdóma, aldraðir og börn ættu að forðast langvarandi áreynslu; allir aðrir ættu að takmarka langvarandi áreynslu.</v>
      </c>
      <c r="AE209" s="7" t="str">
        <f>IFERROR(__xludf.DUMMYFUNCTION("GoogleTranslate(C209, ""en"", ""id"")"),"Orang dengan penyakit pernapasan atau jantung, orang tua dan anak-anak harus menghindari aktivitas yang terlalu lama; semua orang harus membatasi aktivitas yang berkepanjangan.")</f>
        <v>Orang dengan penyakit pernapasan atau jantung, orang tua dan anak-anak harus menghindari aktivitas yang terlalu lama; semua orang harus membatasi aktivitas yang berkepanjangan.</v>
      </c>
      <c r="AF209" s="7" t="str">
        <f>IFERROR(__xludf.DUMMYFUNCTION("GoogleTranslate(C209, ""en"", ""in"")"),"Orang dengan penyakit pernapasan atau jantung, orang tua dan anak-anak harus menghindari aktivitas yang terlalu lama; semua orang harus membatasi aktivitas yang berkepanjangan.")</f>
        <v>Orang dengan penyakit pernapasan atau jantung, orang tua dan anak-anak harus menghindari aktivitas yang terlalu lama; semua orang harus membatasi aktivitas yang berkepanjangan.</v>
      </c>
      <c r="AG209" s="7" t="str">
        <f>IFERROR(__xludf.DUMMYFUNCTION("GoogleTranslate(C209, ""en"", ""it"")"),"Le persone con malattie respiratorie o cardiache, gli anziani e i bambini dovrebbero evitare sforzi prolungati; tutti gli altri dovrebbero limitare lo sforzo prolungato.")</f>
        <v>Le persone con malattie respiratorie o cardiache, gli anziani e i bambini dovrebbero evitare sforzi prolungati; tutti gli altri dovrebbero limitare lo sforzo prolungato.</v>
      </c>
      <c r="AH209" s="7" t="str">
        <f>IFERROR(__xludf.DUMMYFUNCTION("GoogleTranslate(C209, ""en"", ""ja"")"),"呼吸器疾患や心臓疾患のある人、高齢者、子供は長時間の運動を避けるべきです。他の人は長時間の運動を制限する必要があります。")</f>
        <v>呼吸器疾患や心臓疾患のある人、高齢者、子供は長時間の運動を避けるべきです。他の人は長時間の運動を制限する必要があります。</v>
      </c>
      <c r="AI209" s="7" t="str">
        <f>IFERROR(__xludf.DUMMYFUNCTION("GoogleTranslate(C209, ""en"", ""kn"")"),"ಉಸಿರಾಟ ಅಥವಾ ಹೃದ್ರೋಗ ಹೊಂದಿರುವ ಜನರು, ವೃದ್ಧರು ಮತ್ತು ಮಕ್ಕಳು ದೀರ್ಘಕಾಲದ ಪರಿಶ್ರಮವನ್ನು ತಪ್ಪಿಸಬೇಕು; ಉಳಿದವರೆಲ್ಲರೂ ದೀರ್ಘಕಾಲದ ಪರಿಶ್ರಮವನ್ನು ಮಿತಿಗೊಳಿಸಬೇಕು.")</f>
        <v>ಉಸಿರಾಟ ಅಥವಾ ಹೃದ್ರೋಗ ಹೊಂದಿರುವ ಜನರು, ವೃದ್ಧರು ಮತ್ತು ಮಕ್ಕಳು ದೀರ್ಘಕಾಲದ ಪರಿಶ್ರಮವನ್ನು ತಪ್ಪಿಸಬೇಕು; ಉಳಿದವರೆಲ್ಲರೂ ದೀರ್ಘಕಾಲದ ಪರಿಶ್ರಮವನ್ನು ಮಿತಿಗೊಳಿಸಬೇಕು.</v>
      </c>
      <c r="AJ209" s="7" t="str">
        <f>IFERROR(__xludf.DUMMYFUNCTION("GoogleTranslate(C209, ""en"", ""km"")"),"អ្នកដែលមានជំងឺផ្លូវដង្ហើម ឬបេះដូង មនុស្សចាស់ និងកុមារគួរជៀសវាងការធ្វើលំហាត់ប្រាណយូរ។ អ្នកផ្សេងទៀតគួរតែកំណត់ការប្រឹងប្រែងយូរ។")</f>
        <v>អ្នកដែលមានជំងឺផ្លូវដង្ហើម ឬបេះដូង មនុស្សចាស់ និងកុមារគួរជៀសវាងការធ្វើលំហាត់ប្រាណយូរ។ អ្នកផ្សេងទៀតគួរតែកំណត់ការប្រឹងប្រែងយូរ។</v>
      </c>
      <c r="AK209" s="7" t="str">
        <f>IFERROR(__xludf.DUMMYFUNCTION("GoogleTranslate(C209, ""en"", ""ko"")"),"호흡기 질환이나 심장 질환이 있는 사람, 노인, 어린이는 장시간의 운동을 피해야 합니다. 다른 모든 사람들은 장기간의 활동을 제한해야 합니다.")</f>
        <v>호흡기 질환이나 심장 질환이 있는 사람, 노인, 어린이는 장시간의 운동을 피해야 합니다. 다른 모든 사람들은 장기간의 활동을 제한해야 합니다.</v>
      </c>
      <c r="AL209" s="7" t="str">
        <f>IFERROR(__xludf.DUMMYFUNCTION("GoogleTranslate(C209, ""en"", ""lo"")"),"ຜູ້ທີ່ເປັນພະຍາດລະບົບຫາຍໃຈ ຫຼືຫົວໃຈ, ຜູ້ສູງອາຍຸ ແລະ ເດັກນ້ອຍຄວນຫຼີກລ້ຽງການອອກແຮງງານເປັນເວລາດົນ; ທຸກໆຄົນຄວນຈໍາກັດການອອກແຮງງານທີ່ຍາວນານ.")</f>
        <v>ຜູ້ທີ່ເປັນພະຍາດລະບົບຫາຍໃຈ ຫຼືຫົວໃຈ, ຜູ້ສູງອາຍຸ ແລະ ເດັກນ້ອຍຄວນຫຼີກລ້ຽງການອອກແຮງງານເປັນເວລາດົນ; ທຸກໆຄົນຄວນຈໍາກັດການອອກແຮງງານທີ່ຍາວນານ.</v>
      </c>
      <c r="AM209" s="7" t="str">
        <f>IFERROR(__xludf.DUMMYFUNCTION("GoogleTranslate(C209, ""en"", ""lv"")"),"Cilvēkiem ar elpceļu vai sirds slimībām, vecāka gadagājuma cilvēkiem un bērniem jāizvairās no ilgstošas ​​​​slodzes; visiem pārējiem jāierobežo ilgstoša slodze.")</f>
        <v>Cilvēkiem ar elpceļu vai sirds slimībām, vecāka gadagājuma cilvēkiem un bērniem jāizvairās no ilgstošas ​​​​slodzes; visiem pārējiem jāierobežo ilgstoša slodze.</v>
      </c>
      <c r="AN209" s="7" t="str">
        <f>IFERROR(__xludf.DUMMYFUNCTION("GoogleTranslate(C209, ""en"", ""lt"")"),"Žmonės, sergantys kvėpavimo takų ar širdies ligomis, pagyvenę žmonės ir vaikai, turėtų vengti ilgo fizinio krūvio; visi kiti turėtų apriboti ilgalaikį krūvį.")</f>
        <v>Žmonės, sergantys kvėpavimo takų ar širdies ligomis, pagyvenę žmonės ir vaikai, turėtų vengti ilgo fizinio krūvio; visi kiti turėtų apriboti ilgalaikį krūvį.</v>
      </c>
      <c r="AO209" s="7" t="str">
        <f>IFERROR(__xludf.DUMMYFUNCTION("GoogleTranslate(C209, ""en"", ""mk"")"),"Луѓето со респираторни или срцеви заболувања, постарите лица и децата треба да избегнуваат продолжен напор; сите останати треба да го ограничат продолжениот напор.")</f>
        <v>Луѓето со респираторни или срцеви заболувања, постарите лица и децата треба да избегнуваат продолжен напор; сите останати треба да го ограничат продолжениот напор.</v>
      </c>
      <c r="AP209" s="7" t="str">
        <f>IFERROR(__xludf.DUMMYFUNCTION("GoogleTranslate(C209, ""en"", ""ms"")"),"Orang yang mempunyai penyakit pernafasan atau jantung, orang tua dan kanak-kanak harus mengelak daripada melakukan aktiviti yang berpanjangan; orang lain harus mengehadkan usaha yang berpanjangan.")</f>
        <v>Orang yang mempunyai penyakit pernafasan atau jantung, orang tua dan kanak-kanak harus mengelak daripada melakukan aktiviti yang berpanjangan; orang lain harus mengehadkan usaha yang berpanjangan.</v>
      </c>
      <c r="AQ209" s="7" t="str">
        <f>IFERROR(__xludf.DUMMYFUNCTION("GoogleTranslate(C209, ""en"", ""ml"")"),"ശ്വാസകോശ സംബന്ധമായ അസുഖങ്ങളോ ഹൃദ്രോഗങ്ങളോ ഉള്ളവർ, പ്രായമായവരും കുട്ടികളും ദീർഘനേരം അദ്ധ്വാനിക്കുന്നത് ഒഴിവാക്കണം; മറ്റെല്ലാവരും നീണ്ട അദ്ധ്വാനം പരിമിതപ്പെടുത്തണം.")</f>
        <v>ശ്വാസകോശ സംബന്ധമായ അസുഖങ്ങളോ ഹൃദ്രോഗങ്ങളോ ഉള്ളവർ, പ്രായമായവരും കുട്ടികളും ദീർഘനേരം അദ്ധ്വാനിക്കുന്നത് ഒഴിവാക്കണം; മറ്റെല്ലാവരും നീണ്ട അദ്ധ്വാനം പരിമിതപ്പെടുത്തണം.</v>
      </c>
      <c r="AR209" s="7" t="str">
        <f>IFERROR(__xludf.DUMMYFUNCTION("GoogleTranslate(C209, ""en"", ""mr"")"),"श्वसन किंवा हृदयविकार असलेले लोक, वृद्ध आणि मुलांनी दीर्घकाळापर्यंत श्रम टाळावे; इतर सर्वांनी दीर्घकाळापर्यंत श्रम मर्यादित केले पाहिजेत.")</f>
        <v>श्वसन किंवा हृदयविकार असलेले लोक, वृद्ध आणि मुलांनी दीर्घकाळापर्यंत श्रम टाळावे; इतर सर्वांनी दीर्घकाळापर्यंत श्रम मर्यादित केले पाहिजेत.</v>
      </c>
      <c r="AS209" s="7" t="str">
        <f>IFERROR(__xludf.DUMMYFUNCTION("GoogleTranslate(C209, ""en"", ""mn"")"),"Амьсгалын замын болон зүрхний өвчтэй хүмүүс, өндөр настан, хүүхдүүд удаан хугацаагаар ачаалал өгөхөөс зайлсхийх; бусад бүх хүмүүс удаан хугацааны ачааллыг хязгаарлах ёстой.")</f>
        <v>Амьсгалын замын болон зүрхний өвчтэй хүмүүс, өндөр настан, хүүхдүүд удаан хугацаагаар ачаалал өгөхөөс зайлсхийх; бусад бүх хүмүүс удаан хугацааны ачааллыг хязгаарлах ёстой.</v>
      </c>
      <c r="AT209" s="7" t="str">
        <f>IFERROR(__xludf.DUMMYFUNCTION("GoogleTranslate(C209, ""en"", ""ne"")"),"श्वासप्रश्वास वा हृदय रोग भएका व्यक्तिहरू, वृद्धहरू र बालबालिकाहरूले लामो समयसम्म परिश्रम नगर्नु पर्छ; अरु सबैले लामो परिश्रमलाई सीमित गर्नुपर्छ।")</f>
        <v>श्वासप्रश्वास वा हृदय रोग भएका व्यक्तिहरू, वृद्धहरू र बालबालिकाहरूले लामो समयसम्म परिश्रम नगर्नु पर्छ; अरु सबैले लामो परिश्रमलाई सीमित गर्नुपर्छ।</v>
      </c>
      <c r="AU209" s="7" t="str">
        <f>IFERROR(__xludf.DUMMYFUNCTION("GoogleTranslate(C209, ""en"", ""nb"")"),"Personer med luftveis- eller hjertesykdom, eldre og barn bør unngå langvarig anstrengelse; alle andre bør begrense langvarig anstrengelse.")</f>
        <v>Personer med luftveis- eller hjertesykdom, eldre og barn bør unngå langvarig anstrengelse; alle andre bør begrense langvarig anstrengelse.</v>
      </c>
      <c r="AV209" s="7" t="str">
        <f>IFERROR(__xludf.DUMMYFUNCTION("GoogleTranslate(C209, ""en"", ""fa"")"),"افراد مبتلا به بیماری های تنفسی یا قلبی، افراد مسن و کودکان باید از فعالیت طولانی مدت خودداری کنند. هر کس دیگری باید تلاش طولانی مدت را محدود کند.")</f>
        <v>افراد مبتلا به بیماری های تنفسی یا قلبی، افراد مسن و کودکان باید از فعالیت طولانی مدت خودداری کنند. هر کس دیگری باید تلاش طولانی مدت را محدود کند.</v>
      </c>
      <c r="AW209" s="7" t="str">
        <f>IFERROR(__xludf.DUMMYFUNCTION("GoogleTranslate(C209, ""en"", ""pl"")"),"Osoby z chorobami układu oddechowego lub serca, osoby starsze i dzieci powinny unikać długotrwałego wysiłku; wszyscy inni powinni ograniczyć długotrwały wysiłek.")</f>
        <v>Osoby z chorobami układu oddechowego lub serca, osoby starsze i dzieci powinny unikać długotrwałego wysiłku; wszyscy inni powinni ograniczyć długotrwały wysiłek.</v>
      </c>
      <c r="AX209" s="7" t="str">
        <f>IFERROR(__xludf.DUMMYFUNCTION("GoogleTranslate(C209, ""en"", ""pt"")"),"Pessoas com doenças respiratórias ou cardíacas, idosos e crianças devem evitar esforços prolongados; todos os outros devem limitar o esforço prolongado.")</f>
        <v>Pessoas com doenças respiratórias ou cardíacas, idosos e crianças devem evitar esforços prolongados; todos os outros devem limitar o esforço prolongado.</v>
      </c>
      <c r="AY209" s="7" t="str">
        <f>IFERROR(__xludf.DUMMYFUNCTION("GoogleTranslate(C209, ""en"", ""ro"")"),"Persoanele cu boli respiratorii sau cardiace, vârstnicii și copiii ar trebui să evite efortul prelungit; toți ceilalți ar trebui să limiteze efortul prelungit.")</f>
        <v>Persoanele cu boli respiratorii sau cardiace, vârstnicii și copiii ar trebui să evite efortul prelungit; toți ceilalți ar trebui să limiteze efortul prelungit.</v>
      </c>
      <c r="AZ209" s="7" t="str">
        <f>IFERROR(__xludf.DUMMYFUNCTION("GoogleTranslate(C209, ""en"", ""ru"")"),"Людям с респираторными или сердечными заболеваниями, пожилым людям и детям следует избегать длительных нагрузок; всем остальным следует ограничить длительные нагрузки.")</f>
        <v>Людям с респираторными или сердечными заболеваниями, пожилым людям и детям следует избегать длительных нагрузок; всем остальным следует ограничить длительные нагрузки.</v>
      </c>
      <c r="BA209" s="7" t="str">
        <f>IFERROR(__xludf.DUMMYFUNCTION("GoogleTranslate(C209, ""en"", ""sr"")"),"Особе са респираторним или срчаним обољењима, старије особе и деца треба да избегавају продужени напор; сви остали треба да ограниче продужени напор.")</f>
        <v>Особе са респираторним или срчаним обољењима, старије особе и деца треба да избегавају продужени напор; сви остали треба да ограниче продужени напор.</v>
      </c>
      <c r="BB209" s="7" t="str">
        <f>IFERROR(__xludf.DUMMYFUNCTION("GoogleTranslate(C209, ""en"", ""si"")"),"ශ්වසන හෝ හෘද රෝග ඇති පුද්ගලයින්, වැඩිහිටියන් සහ ළමුන් දිගු වෙහෙසකින් වැළකී සිටිය යුතුය; අනෙක් සියල්ලන්ම දිගු වෙහෙස සීමා කළ යුතුය.")</f>
        <v>ශ්වසන හෝ හෘද රෝග ඇති පුද්ගලයින්, වැඩිහිටියන් සහ ළමුන් දිගු වෙහෙසකින් වැළකී සිටිය යුතුය; අනෙක් සියල්ලන්ම දිගු වෙහෙස සීමා කළ යුතුය.</v>
      </c>
      <c r="BC209" s="7" t="str">
        <f>IFERROR(__xludf.DUMMYFUNCTION("GoogleTranslate(C209, ""en"", ""sk"")"),"Ľudia s respiračným alebo srdcovým ochorením, starší ľudia a deti by sa mali vyhýbať dlhodobej námahe; všetci ostatní by mali obmedziť dlhotrvajúcu námahu.")</f>
        <v>Ľudia s respiračným alebo srdcovým ochorením, starší ľudia a deti by sa mali vyhýbať dlhodobej námahe; všetci ostatní by mali obmedziť dlhotrvajúcu námahu.</v>
      </c>
      <c r="BD209" s="7" t="str">
        <f>IFERROR(__xludf.DUMMYFUNCTION("GoogleTranslate(C209, ""en"", ""sl"")"),"Bolniki dihal ali srca, starejši in otroci naj se izogibajo dolgotrajnim naporom; vsi drugi bi morali omejiti dolgotrajne napore.")</f>
        <v>Bolniki dihal ali srca, starejši in otroci naj se izogibajo dolgotrajnim naporom; vsi drugi bi morali omejiti dolgotrajne napore.</v>
      </c>
      <c r="BE209" s="7" t="str">
        <f>IFERROR(__xludf.DUMMYFUNCTION("GoogleTranslate(C209, ""en"", ""es"")"),"Las personas con enfermedades respiratorias o cardíacas, los ancianos y los niños deben evitar esfuerzos prolongados; todos los demás deberían limitar el esfuerzo prolongado.")</f>
        <v>Las personas con enfermedades respiratorias o cardíacas, los ancianos y los niños deben evitar esfuerzos prolongados; todos los demás deberían limitar el esfuerzo prolongado.</v>
      </c>
      <c r="BF209" s="7" t="str">
        <f>IFERROR(__xludf.DUMMYFUNCTION("GoogleTranslate(C209, ""en"", ""sw"")"),"Watu wenye magonjwa ya kupumua au ya moyo, wazee na watoto wanapaswa kuepuka jitihada za muda mrefu; kila mtu anapaswa kupunguza bidii ya muda mrefu.")</f>
        <v>Watu wenye magonjwa ya kupumua au ya moyo, wazee na watoto wanapaswa kuepuka jitihada za muda mrefu; kila mtu anapaswa kupunguza bidii ya muda mrefu.</v>
      </c>
      <c r="BG209" s="7" t="str">
        <f>IFERROR(__xludf.DUMMYFUNCTION("GoogleTranslate(C209, ""en"", ""sv"")"),"Personer med andnings- eller hjärtsjukdomar, äldre och barn bör undvika långvarig ansträngning; alla andra bör begränsa långvarig ansträngning.")</f>
        <v>Personer med andnings- eller hjärtsjukdomar, äldre och barn bör undvika långvarig ansträngning; alla andra bör begränsa långvarig ansträngning.</v>
      </c>
      <c r="BH209" s="7" t="str">
        <f>IFERROR(__xludf.DUMMYFUNCTION("GoogleTranslate(C209, ""en"", ""te"")"),"శ్వాసకోశ లేదా గుండె జబ్బులు ఉన్న వ్యక్తులు, వృద్ధులు మరియు పిల్లలు సుదీర్ఘ శ్రమకు దూరంగా ఉండాలి; ప్రతి ఒక్కరూ సుదీర్ఘ శ్రమను పరిమితం చేయాలి.")</f>
        <v>శ్వాసకోశ లేదా గుండె జబ్బులు ఉన్న వ్యక్తులు, వృద్ధులు మరియు పిల్లలు సుదీర్ఘ శ్రమకు దూరంగా ఉండాలి; ప్రతి ఒక్కరూ సుదీర్ఘ శ్రమను పరిమితం చేయాలి.</v>
      </c>
      <c r="BI209" s="7" t="str">
        <f>IFERROR(__xludf.DUMMYFUNCTION("GoogleTranslate(C209, ""en"", ""th"")"),"ผู้ที่เป็นโรคระบบทางเดินหายใจหรือโรคหัวใจ ผู้สูงอายุ และเด็ก ควรหลีกเลี่ยงการออกแรงเป็นเวลานาน คนอื่นๆ ควรจำกัดการออกแรงที่ยืดเยื้อ")</f>
        <v>ผู้ที่เป็นโรคระบบทางเดินหายใจหรือโรคหัวใจ ผู้สูงอายุ และเด็ก ควรหลีกเลี่ยงการออกแรงเป็นเวลานาน คนอื่นๆ ควรจำกัดการออกแรงที่ยืดเยื้อ</v>
      </c>
      <c r="BJ209" s="7" t="str">
        <f>IFERROR(__xludf.DUMMYFUNCTION("GoogleTranslate(C209, ""en"", ""tr"")"),"Solunum veya kalp hastalığı olan kişiler, yaşlılar ve çocuklar uzun süreli efordan kaçınmalıdır; herkes uzun süreli eforu sınırlamalıdır.")</f>
        <v>Solunum veya kalp hastalığı olan kişiler, yaşlılar ve çocuklar uzun süreli efordan kaçınmalıdır; herkes uzun süreli eforu sınırlamalıdır.</v>
      </c>
      <c r="BK209" s="7" t="str">
        <f>IFERROR(__xludf.DUMMYFUNCTION("GoogleTranslate(C209, ""en"", ""uk"")"),"Людям із захворюваннями органів дихання чи серця, людям похилого віку та дітям слід уникати тривалих навантажень; всім іншим варто обмежити тривалі навантаження.")</f>
        <v>Людям із захворюваннями органів дихання чи серця, людям похилого віку та дітям слід уникати тривалих навантажень; всім іншим варто обмежити тривалі навантаження.</v>
      </c>
      <c r="BL209" s="7" t="str">
        <f>IFERROR(__xludf.DUMMYFUNCTION("GoogleTranslate(C209, ""en"", ""zu"")"),"Abantu abanesifo sokuphefumula noma senhliziyo, asebekhulile kanye nezingane kufanele bagweme ukuzikhandla isikhathi eside; wonke umuntu kufanele anciphise ukuzikhandla okude.")</f>
        <v>Abantu abanesifo sokuphefumula noma senhliziyo, asebekhulile kanye nezingane kufanele bagweme ukuzikhandla isikhathi eside; wonke umuntu kufanele anciphise ukuzikhandla okude.</v>
      </c>
    </row>
    <row r="210">
      <c r="A210" s="5" t="str">
        <f t="shared" si="1"/>
        <v>People_with_respiratory_or_heart_disease,_the_elderly_and_children_should_avoid_any_outdoor_activity;_everyone_else_should_avoid_prolonged_exertion.</v>
      </c>
      <c r="B210" s="4" t="s">
        <v>258</v>
      </c>
      <c r="C210" s="4" t="s">
        <v>258</v>
      </c>
      <c r="D210" s="7" t="str">
        <f>IFERROR(__xludf.DUMMYFUNCTION("GoogleTranslate(C210, ""en"", ""es"")"),"Las personas con enfermedades respiratorias o cardíacas, los ancianos y los niños deben evitar cualquier actividad al aire libre; todos los demás deben evitar el esfuerzo prolongado.")</f>
        <v>Las personas con enfermedades respiratorias o cardíacas, los ancianos y los niños deben evitar cualquier actividad al aire libre; todos los demás deben evitar el esfuerzo prolongado.</v>
      </c>
      <c r="E210" s="7" t="str">
        <f>IFERROR(__xludf.DUMMYFUNCTION("GoogleTranslate(C210, ""en"", ""ar"")"),"يجب على الأشخاص الذين يعانون من أمراض الجهاز التنفسي أو القلب وكبار السن والأطفال تجنب أي نشاط في الهواء الطلق؛ يجب على الجميع تجنب المجهود لفترات طويلة.")</f>
        <v>يجب على الأشخاص الذين يعانون من أمراض الجهاز التنفسي أو القلب وكبار السن والأطفال تجنب أي نشاط في الهواء الطلق؛ يجب على الجميع تجنب المجهود لفترات طويلة.</v>
      </c>
      <c r="F210" s="7" t="str">
        <f>IFERROR(__xludf.DUMMYFUNCTION("GoogleTranslate(C210, ""en"", ""hy"")"),"Շնչառական կամ սրտի հիվանդություններ ունեցող մարդիկ, տարեցները և երեխաները պետք է խուսափեն ցանկացած բացօթյա գործունեությունից. մնացած բոլորը պետք է խուսափեն երկարատև ջանքերից:")</f>
        <v>Շնչառական կամ սրտի հիվանդություններ ունեցող մարդիկ, տարեցները և երեխաները պետք է խուսափեն ցանկացած բացօթյա գործունեությունից. մնացած բոլորը պետք է խուսափեն երկարատև ջանքերից:</v>
      </c>
      <c r="G210" s="7" t="str">
        <f>IFERROR(__xludf.DUMMYFUNCTION("GoogleTranslate(C210, ""en"", ""vi"")"),"Những người mắc bệnh hô hấp hoặc tim mạch, người già và trẻ em nên tránh mọi hoạt động ngoài trời; mọi người khác nên tránh gắng sức kéo dài.")</f>
        <v>Những người mắc bệnh hô hấp hoặc tim mạch, người già và trẻ em nên tránh mọi hoạt động ngoài trời; mọi người khác nên tránh gắng sức kéo dài.</v>
      </c>
      <c r="H210" s="7" t="str">
        <f>IFERROR(__xludf.DUMMYFUNCTION("GoogleTranslate(C210, ""en"", ""az"")"),"Tənəffüs və ürək xəstəlikləri olan insanlar, yaşlılar və uşaqlar hər hansı açıq fəaliyyətdən çəkinməlidirlər; qalan hər kəs uzunmüddətli gərginlikdən çəkinməlidir.")</f>
        <v>Tənəffüs və ürək xəstəlikləri olan insanlar, yaşlılar və uşaqlar hər hansı açıq fəaliyyətdən çəkinməlidirlər; qalan hər kəs uzunmüddətli gərginlikdən çəkinməlidir.</v>
      </c>
      <c r="I210" s="7" t="str">
        <f>IFERROR(__xludf.DUMMYFUNCTION("GoogleTranslate(C210, ""en"", ""eu"")"),"Arnas edo bihotzeko gaixotasunak dituzten pertsonek, adinekoek eta haurrek kanpoko edozein jarduera saihestu behar dute; beste guztiek saihestu beharko lukete esfortzu luzea egitea.")</f>
        <v>Arnas edo bihotzeko gaixotasunak dituzten pertsonek, adinekoek eta haurrek kanpoko edozein jarduera saihestu behar dute; beste guztiek saihestu beharko lukete esfortzu luzea egitea.</v>
      </c>
      <c r="J210" s="7" t="str">
        <f>IFERROR(__xludf.DUMMYFUNCTION("GoogleTranslate(C210, ""en"", ""be"")"),"Людзям з рэспіраторнымі або сардэчнымі захворваннямі, пажылым людзям і дзецям варта пазбягаць любых заняткаў на свежым паветры; усе астатнія павінны пазбягаць працяглых нагрузак.")</f>
        <v>Людзям з рэспіраторнымі або сардэчнымі захворваннямі, пажылым людзям і дзецям варта пазбягаць любых заняткаў на свежым паветры; усе астатнія павінны пазбягаць працяглых нагрузак.</v>
      </c>
      <c r="K210" s="7" t="str">
        <f>IFERROR(__xludf.DUMMYFUNCTION("GoogleTranslate(C210, ""en"", ""bn"")"),"শ্বাসযন্ত্রের বা হৃদরোগে আক্রান্ত ব্যক্তিদের, বয়স্ক এবং শিশুদের যেকোন বাইরের কার্যকলাপ এড়ানো উচিত; বাকি সকলেরই দীর্ঘ পরিশ্রম এড়ানো উচিত।")</f>
        <v>শ্বাসযন্ত্রের বা হৃদরোগে আক্রান্ত ব্যক্তিদের, বয়স্ক এবং শিশুদের যেকোন বাইরের কার্যকলাপ এড়ানো উচিত; বাকি সকলেরই দীর্ঘ পরিশ্রম এড়ানো উচিত।</v>
      </c>
      <c r="L210" s="7" t="str">
        <f>IFERROR(__xludf.DUMMYFUNCTION("GoogleTranslate(C210, ""en"", ""bg"")"),"Хората с респираторни или сърдечни заболявания, възрастните хора и децата трябва да избягват всякаква дейност на открито; всички останали трябва да избягват продължително натоварване.")</f>
        <v>Хората с респираторни или сърдечни заболявания, възрастните хора и децата трябва да избягват всякаква дейност на открито; всички останали трябва да избягват продължително натоварване.</v>
      </c>
      <c r="M210" s="7" t="str">
        <f>IFERROR(__xludf.DUMMYFUNCTION("GoogleTranslate(C210, ""en"", ""my"")"),"အသက်ရှုလမ်းကြောင်းဆိုင်ရာ သို့မဟုတ် နှလုံးရောဂါရှိသူများ၊ သက်ကြီးရွယ်အိုများနှင့် ကလေးငယ်များသည် ပြင်ပလှုပ်ရှားမှုကို ရှောင်ကြဉ်သင့်သည်။ အခြားလူတိုင်းသည် အချိန်ကြာမြင့်စွာ အားထုတ်ခြင်းကို ရှောင်ကြဉ်သင့်သည်။")</f>
        <v>အသက်ရှုလမ်းကြောင်းဆိုင်ရာ သို့မဟုတ် နှလုံးရောဂါရှိသူများ၊ သက်ကြီးရွယ်အိုများနှင့် ကလေးငယ်များသည် ပြင်ပလှုပ်ရှားမှုကို ရှောင်ကြဉ်သင့်သည်။ အခြားလူတိုင်းသည် အချိန်ကြာမြင့်စွာ အားထုတ်ခြင်းကို ရှောင်ကြဉ်သင့်သည်။</v>
      </c>
      <c r="N210" s="7" t="str">
        <f>IFERROR(__xludf.DUMMYFUNCTION("GoogleTranslate(C210, ""en"", ""ca"")"),"Les persones amb malalties respiratòries o cardíaques, la gent gran i els nens han d'evitar qualsevol activitat a l'aire lliure; tots els altres haurien d'evitar l'esforç prolongat.")</f>
        <v>Les persones amb malalties respiratòries o cardíaques, la gent gran i els nens han d'evitar qualsevol activitat a l'aire lliure; tots els altres haurien d'evitar l'esforç prolongat.</v>
      </c>
      <c r="O210" s="7" t="str">
        <f>IFERROR(__xludf.DUMMYFUNCTION("GoogleTranslate(C210, ""en"", ""zh-cn"")"),"患有呼吸系统疾病或心脏病的人、老人和儿童应避免任何户外活动；其他人都应该避免长时间劳累。")</f>
        <v>患有呼吸系统疾病或心脏病的人、老人和儿童应避免任何户外活动；其他人都应该避免长时间劳累。</v>
      </c>
      <c r="P210" s="7" t="str">
        <f>IFERROR(__xludf.DUMMYFUNCTION("GoogleTranslate(C210, ""en"", ""zh-TW"")"),"患有呼吸系統疾病或心臟病的人、老人和兒童應避免任何戶外活動；其他人都應該避免長時間勞累。")</f>
        <v>患有呼吸系統疾病或心臟病的人、老人和兒童應避免任何戶外活動；其他人都應該避免長時間勞累。</v>
      </c>
      <c r="Q210" s="7" t="str">
        <f>IFERROR(__xludf.DUMMYFUNCTION("GoogleTranslate(C210, ""en"", ""hr"")"),"Osobe s dišnim i srčanim bolestima, starije osobe i djeca trebaju izbjegavati bilo kakvu aktivnost na otvorenom; svi ostali trebali bi izbjegavati dugotrajne napore.")</f>
        <v>Osobe s dišnim i srčanim bolestima, starije osobe i djeca trebaju izbjegavati bilo kakvu aktivnost na otvorenom; svi ostali trebali bi izbjegavati dugotrajne napore.</v>
      </c>
      <c r="R210" s="7" t="str">
        <f>IFERROR(__xludf.DUMMYFUNCTION("GoogleTranslate(C210, ""en"", ""cs"")"),"Lidé s respiračním nebo srdečním onemocněním, starší lidé a děti by se měli vyhýbat jakékoli venkovní aktivitě; všichni ostatní by se měli vyhýbat dlouhodobé námaze.")</f>
        <v>Lidé s respiračním nebo srdečním onemocněním, starší lidé a děti by se měli vyhýbat jakékoli venkovní aktivitě; všichni ostatní by se měli vyhýbat dlouhodobé námaze.</v>
      </c>
      <c r="S210" s="7" t="str">
        <f>IFERROR(__xludf.DUMMYFUNCTION("GoogleTranslate(C210, ""en"", ""da"")"),"Mennesker med luftvejs- eller hjertesygdomme, ældre og børn bør undgå enhver udendørs aktivitet; alle andre bør undgå langvarig anstrengelse.")</f>
        <v>Mennesker med luftvejs- eller hjertesygdomme, ældre og børn bør undgå enhver udendørs aktivitet; alle andre bør undgå langvarig anstrengelse.</v>
      </c>
      <c r="T210" s="7" t="str">
        <f>IFERROR(__xludf.DUMMYFUNCTION("GoogleTranslate(C210, ""en"", ""nl"")"),"Mensen met luchtweg- of hartaandoeningen, ouderen en kinderen moeten elke buitenactiviteit vermijden; alle anderen moeten langdurige inspanning vermijden.")</f>
        <v>Mensen met luchtweg- of hartaandoeningen, ouderen en kinderen moeten elke buitenactiviteit vermijden; alle anderen moeten langdurige inspanning vermijden.</v>
      </c>
      <c r="U210" s="7" t="str">
        <f>IFERROR(__xludf.DUMMYFUNCTION("GoogleTranslate(C210, ""en"", ""et"")"),"Hingamisteede või südamehaigustega inimesed, eakad ja lapsed peaksid vältima igasugust õuestegevust; kõik teised peaksid vältima pikaajalist pingutust.")</f>
        <v>Hingamisteede või südamehaigustega inimesed, eakad ja lapsed peaksid vältima igasugust õuestegevust; kõik teised peaksid vältima pikaajalist pingutust.</v>
      </c>
      <c r="V210" s="5" t="str">
        <f t="shared" si="3"/>
        <v>People with respiratory or heart disease, the elderly and children should avoid any outdoor activity; everyone else should avoid prolonged exertion.</v>
      </c>
      <c r="W210" s="7" t="str">
        <f>IFERROR(__xludf.DUMMYFUNCTION("GoogleTranslate(C210, ""en"", ""fi"")"),"Hengitystie- tai sydänsairauksia sairastavien, vanhusten ja lasten tulee välttää ulkoilua; kaikkien muiden tulee välttää pitkäkestoista rasitusta.")</f>
        <v>Hengitystie- tai sydänsairauksia sairastavien, vanhusten ja lasten tulee välttää ulkoilua; kaikkien muiden tulee välttää pitkäkestoista rasitusta.</v>
      </c>
      <c r="X210" s="7" t="str">
        <f>IFERROR(__xludf.DUMMYFUNCTION("GoogleTranslate(C210, ""en"", ""fr"")"),"Les personnes souffrant de maladies respiratoires ou cardiaques, les personnes âgées et les enfants doivent éviter toute activité extérieure ; tout le monde devrait éviter les efforts prolongés.")</f>
        <v>Les personnes souffrant de maladies respiratoires ou cardiaques, les personnes âgées et les enfants doivent éviter toute activité extérieure ; tout le monde devrait éviter les efforts prolongés.</v>
      </c>
      <c r="Y210" s="7" t="str">
        <f>IFERROR(__xludf.DUMMYFUNCTION("GoogleTranslate(C210, ""en"", ""de"")"),"Menschen mit Atemwegs- oder Herzerkrankungen, ältere Menschen und Kinder sollten jegliche Aktivitäten im Freien meiden; Alle anderen sollten längere Anstrengungen vermeiden.")</f>
        <v>Menschen mit Atemwegs- oder Herzerkrankungen, ältere Menschen und Kinder sollten jegliche Aktivitäten im Freien meiden; Alle anderen sollten längere Anstrengungen vermeiden.</v>
      </c>
      <c r="Z210" s="7" t="str">
        <f>IFERROR(__xludf.DUMMYFUNCTION("GoogleTranslate(C210, ""en"", ""el"")"),"Άτομα με αναπνευστικές ή καρδιακές παθήσεις, ηλικιωμένοι και παιδιά πρέπει να αποφεύγουν οποιαδήποτε υπαίθρια δραστηριότητα. Όλοι οι άλλοι θα πρέπει να αποφεύγουν την παρατεταμένη προσπάθεια.")</f>
        <v>Άτομα με αναπνευστικές ή καρδιακές παθήσεις, ηλικιωμένοι και παιδιά πρέπει να αποφεύγουν οποιαδήποτε υπαίθρια δραστηριότητα. Όλοι οι άλλοι θα πρέπει να αποφεύγουν την παρατεταμένη προσπάθεια.</v>
      </c>
      <c r="AA210" s="7" t="str">
        <f>IFERROR(__xludf.DUMMYFUNCTION("GoogleTranslate(C210, ""en"", ""iw"")"),"אנשים עם מחלות נשימה או לב, קשישים וילדים צריכים להימנע מכל פעילות חיצונית; כל השאר צריכים להימנע ממאמץ ממושך.")</f>
        <v>אנשים עם מחלות נשימה או לב, קשישים וילדים צריכים להימנע מכל פעילות חיצונית; כל השאר צריכים להימנע ממאמץ ממושך.</v>
      </c>
      <c r="AB210" s="7" t="str">
        <f>IFERROR(__xludf.DUMMYFUNCTION("GoogleTranslate(C210, ""en"", ""hi"")"),"श्वसन या हृदय रोग वाले लोगों, बुजुर्गों और बच्चों को किसी भी बाहरी गतिविधि से बचना चाहिए; बाकी सभी को लंबे समय तक परिश्रम करने से बचना चाहिए।")</f>
        <v>श्वसन या हृदय रोग वाले लोगों, बुजुर्गों और बच्चों को किसी भी बाहरी गतिविधि से बचना चाहिए; बाकी सभी को लंबे समय तक परिश्रम करने से बचना चाहिए।</v>
      </c>
      <c r="AC210" s="7" t="str">
        <f>IFERROR(__xludf.DUMMYFUNCTION("GoogleTranslate(C210, ""en"", ""hu"")"),"Légúti vagy szívbetegségben szenvedők, idősek és gyermekek kerüljenek minden szabadtéri tevékenységet; mindenki másnak kerülnie kell a hosszan tartó megerőltetést.")</f>
        <v>Légúti vagy szívbetegségben szenvedők, idősek és gyermekek kerüljenek minden szabadtéri tevékenységet; mindenki másnak kerülnie kell a hosszan tartó megerőltetést.</v>
      </c>
      <c r="AD210" s="7" t="str">
        <f>IFERROR(__xludf.DUMMYFUNCTION("GoogleTranslate(C210, ""en"", ""is"")"),"Fólk með öndunarfæra- eða hjartasjúkdóma, aldraðir og börn ættu að forðast alla útiveru; allir aðrir ættu að forðast langvarandi áreynslu.")</f>
        <v>Fólk með öndunarfæra- eða hjartasjúkdóma, aldraðir og börn ættu að forðast alla útiveru; allir aðrir ættu að forðast langvarandi áreynslu.</v>
      </c>
      <c r="AE210" s="7" t="str">
        <f>IFERROR(__xludf.DUMMYFUNCTION("GoogleTranslate(C210, ""en"", ""id"")"),"Orang dengan penyakit pernafasan atau jantung, orang tua dan anak-anak harus menghindari aktivitas di luar ruangan; semua orang harus menghindari aktivitas yang berkepanjangan.")</f>
        <v>Orang dengan penyakit pernafasan atau jantung, orang tua dan anak-anak harus menghindari aktivitas di luar ruangan; semua orang harus menghindari aktivitas yang berkepanjangan.</v>
      </c>
      <c r="AF210" s="7" t="str">
        <f>IFERROR(__xludf.DUMMYFUNCTION("GoogleTranslate(C210, ""en"", ""in"")"),"Orang dengan penyakit pernafasan atau jantung, orang tua dan anak-anak harus menghindari aktivitas di luar ruangan; semua orang harus menghindari aktivitas yang berkepanjangan.")</f>
        <v>Orang dengan penyakit pernafasan atau jantung, orang tua dan anak-anak harus menghindari aktivitas di luar ruangan; semua orang harus menghindari aktivitas yang berkepanjangan.</v>
      </c>
      <c r="AG210" s="7" t="str">
        <f>IFERROR(__xludf.DUMMYFUNCTION("GoogleTranslate(C210, ""en"", ""it"")"),"Le persone con malattie respiratorie o cardiache, gli anziani e i bambini dovrebbero evitare qualsiasi attività all’aperto; tutti gli altri dovrebbero evitare sforzi prolungati.")</f>
        <v>Le persone con malattie respiratorie o cardiache, gli anziani e i bambini dovrebbero evitare qualsiasi attività all’aperto; tutti gli altri dovrebbero evitare sforzi prolungati.</v>
      </c>
      <c r="AH210" s="7" t="str">
        <f>IFERROR(__xludf.DUMMYFUNCTION("GoogleTranslate(C210, ""en"", ""ja"")"),"呼吸器疾患や心臓疾患のある人、高齢者、子供は屋外での活動を避けるべきです。他の人は長時間の運動を避けるべきです。")</f>
        <v>呼吸器疾患や心臓疾患のある人、高齢者、子供は屋外での活動を避けるべきです。他の人は長時間の運動を避けるべきです。</v>
      </c>
      <c r="AI210" s="7" t="str">
        <f>IFERROR(__xludf.DUMMYFUNCTION("GoogleTranslate(C210, ""en"", ""kn"")"),"ಉಸಿರಾಟ ಅಥವಾ ಹೃದ್ರೋಗ ಹೊಂದಿರುವ ಜನರು, ವೃದ್ಧರು ಮತ್ತು ಮಕ್ಕಳು ಯಾವುದೇ ಹೊರಾಂಗಣ ಚಟುವಟಿಕೆಯನ್ನು ತಪ್ಪಿಸಬೇಕು; ಉಳಿದವರೆಲ್ಲರೂ ದೀರ್ಘಕಾಲದ ಶ್ರಮವನ್ನು ತಪ್ಪಿಸಬೇಕು.")</f>
        <v>ಉಸಿರಾಟ ಅಥವಾ ಹೃದ್ರೋಗ ಹೊಂದಿರುವ ಜನರು, ವೃದ್ಧರು ಮತ್ತು ಮಕ್ಕಳು ಯಾವುದೇ ಹೊರಾಂಗಣ ಚಟುವಟಿಕೆಯನ್ನು ತಪ್ಪಿಸಬೇಕು; ಉಳಿದವರೆಲ್ಲರೂ ದೀರ್ಘಕಾಲದ ಶ್ರಮವನ್ನು ತಪ್ಪಿಸಬೇಕು.</v>
      </c>
      <c r="AJ210" s="7" t="str">
        <f>IFERROR(__xludf.DUMMYFUNCTION("GoogleTranslate(C210, ""en"", ""km"")"),"អ្នកដែលមានជំងឺផ្លូវដង្ហើម ឬបេះដូង មនុស្សចាស់ និងកុមារគួរជៀសវាងសកម្មភាពក្រៅណាមួយ; អ្នកផ្សេងទៀតគួរតែជៀសវាងការប្រឹងប្រែងយូរ។")</f>
        <v>អ្នកដែលមានជំងឺផ្លូវដង្ហើម ឬបេះដូង មនុស្សចាស់ និងកុមារគួរជៀសវាងសកម្មភាពក្រៅណាមួយ; អ្នកផ្សេងទៀតគួរតែជៀសវាងការប្រឹងប្រែងយូរ។</v>
      </c>
      <c r="AK210" s="7" t="str">
        <f>IFERROR(__xludf.DUMMYFUNCTION("GoogleTranslate(C210, ""en"", ""ko"")"),"호흡기 질환이나 심장 질환이 있는 사람, 노인, 어린이는 야외 활동을 피해야 합니다. 다른 모든 사람들은 장기간의 활동을 피해야 합니다.")</f>
        <v>호흡기 질환이나 심장 질환이 있는 사람, 노인, 어린이는 야외 활동을 피해야 합니다. 다른 모든 사람들은 장기간의 활동을 피해야 합니다.</v>
      </c>
      <c r="AL210" s="7" t="str">
        <f>IFERROR(__xludf.DUMMYFUNCTION("GoogleTranslate(C210, ""en"", ""lo"")"),"ຜູ້ທີ່ເປັນພະຍາດລະບົບຫາຍໃຈ ຫຼືຫົວໃຈ, ຜູ້ສູງອາຍຸ ແລະ ເດັກນ້ອຍຄວນຫຼີກລ່ຽງກິດຈະກໍາກາງແຈ້ງ; ທຸກຄົນຄວນຫຼີກລ່ຽງການອອກແຮງງານເປັນເວລາດົນ.")</f>
        <v>ຜູ້ທີ່ເປັນພະຍາດລະບົບຫາຍໃຈ ຫຼືຫົວໃຈ, ຜູ້ສູງອາຍຸ ແລະ ເດັກນ້ອຍຄວນຫຼີກລ່ຽງກິດຈະກໍາກາງແຈ້ງ; ທຸກຄົນຄວນຫຼີກລ່ຽງການອອກແຮງງານເປັນເວລາດົນ.</v>
      </c>
      <c r="AM210" s="7" t="str">
        <f>IFERROR(__xludf.DUMMYFUNCTION("GoogleTranslate(C210, ""en"", ""lv"")"),"Cilvēkiem ar elpceļu vai sirds slimībām, veciem cilvēkiem un bērniem jāizvairās no jebkādām aktivitātēm brīvā dabā; visiem pārējiem vajadzētu izvairīties no ilgstošas ​​slodzes.")</f>
        <v>Cilvēkiem ar elpceļu vai sirds slimībām, veciem cilvēkiem un bērniem jāizvairās no jebkādām aktivitātēm brīvā dabā; visiem pārējiem vajadzētu izvairīties no ilgstošas ​​slodzes.</v>
      </c>
      <c r="AN210" s="7" t="str">
        <f>IFERROR(__xludf.DUMMYFUNCTION("GoogleTranslate(C210, ""en"", ""lt"")"),"Žmonės, sergantys kvėpavimo takų ar širdies ligomis, pagyvenę žmonės ir vaikai, turėtų vengti bet kokios veiklos lauke; visi kiti turėtų vengti ilgalaikio krūvio.")</f>
        <v>Žmonės, sergantys kvėpavimo takų ar širdies ligomis, pagyvenę žmonės ir vaikai, turėtų vengti bet kokios veiklos lauke; visi kiti turėtų vengti ilgalaikio krūvio.</v>
      </c>
      <c r="AO210" s="7" t="str">
        <f>IFERROR(__xludf.DUMMYFUNCTION("GoogleTranslate(C210, ""en"", ""mk"")"),"Луѓето со респираторни или срцеви заболувања, постарите лица и децата треба да избегнуваат какви било активности на отворено; сите останати треба да избегнуваат продолжен напор.")</f>
        <v>Луѓето со респираторни или срцеви заболувања, постарите лица и децата треба да избегнуваат какви било активности на отворено; сите останати треба да избегнуваат продолжен напор.</v>
      </c>
      <c r="AP210" s="7" t="str">
        <f>IFERROR(__xludf.DUMMYFUNCTION("GoogleTranslate(C210, ""en"", ""ms"")"),"Orang yang mempunyai penyakit pernafasan atau jantung, orang tua dan kanak-kanak harus mengelakkan sebarang aktiviti luar; orang lain harus mengelak daripada melakukan usaha yang berpanjangan.")</f>
        <v>Orang yang mempunyai penyakit pernafasan atau jantung, orang tua dan kanak-kanak harus mengelakkan sebarang aktiviti luar; orang lain harus mengelak daripada melakukan usaha yang berpanjangan.</v>
      </c>
      <c r="AQ210" s="7" t="str">
        <f>IFERROR(__xludf.DUMMYFUNCTION("GoogleTranslate(C210, ""en"", ""ml"")"),"ശ്വാസകോശ സംബന്ധമായ അസുഖങ്ങളോ ഹൃദ്രോഗമോ ഉള്ളവർ, പ്രായമായവർ, കുട്ടികൾ എന്നിവർ ബാഹ്യ പ്രവർത്തനങ്ങൾ ഒഴിവാക്കണം; മറ്റെല്ലാവരും നീണ്ട അദ്ധ്വാനം ഒഴിവാക്കണം.")</f>
        <v>ശ്വാസകോശ സംബന്ധമായ അസുഖങ്ങളോ ഹൃദ്രോഗമോ ഉള്ളവർ, പ്രായമായവർ, കുട്ടികൾ എന്നിവർ ബാഹ്യ പ്രവർത്തനങ്ങൾ ഒഴിവാക്കണം; മറ്റെല്ലാവരും നീണ്ട അദ്ധ്വാനം ഒഴിവാക്കണം.</v>
      </c>
      <c r="AR210" s="7" t="str">
        <f>IFERROR(__xludf.DUMMYFUNCTION("GoogleTranslate(C210, ""en"", ""mr"")"),"श्वसन किंवा हृदयविकार असलेले लोक, वृद्ध आणि मुलांनी कोणतीही बाह्य क्रियाकलाप टाळली पाहिजेत; इतर सर्वांनी प्रदीर्घ श्रम टाळावेत.")</f>
        <v>श्वसन किंवा हृदयविकार असलेले लोक, वृद्ध आणि मुलांनी कोणतीही बाह्य क्रियाकलाप टाळली पाहिजेत; इतर सर्वांनी प्रदीर्घ श्रम टाळावेत.</v>
      </c>
      <c r="AS210" s="7" t="str">
        <f>IFERROR(__xludf.DUMMYFUNCTION("GoogleTranslate(C210, ""en"", ""mn"")"),"Амьсгалын замын болон зүрхний өвчтэй хүмүүс, өндөр настан, хүүхдүүд гадаа үйл ажиллагаа явуулахаас зайлсхийх; бусад бүх хүмүүс удаан хугацаагаар ачаалал өгөхөөс зайлсхийх хэрэгтэй.")</f>
        <v>Амьсгалын замын болон зүрхний өвчтэй хүмүүс, өндөр настан, хүүхдүүд гадаа үйл ажиллагаа явуулахаас зайлсхийх; бусад бүх хүмүүс удаан хугацаагаар ачаалал өгөхөөс зайлсхийх хэрэгтэй.</v>
      </c>
      <c r="AT210" s="7" t="str">
        <f>IFERROR(__xludf.DUMMYFUNCTION("GoogleTranslate(C210, ""en"", ""ne"")"),"श्वासप्रश्वास वा हृदय रोग भएका व्यक्तिहरू, वृद्धहरू र बालबालिकाहरूले कुनै पनि बाहिरी गतिविधिबाट टाढा रहनुपर्छ; अरु सबैले लामो परिश्रमबाट बच्नुपर्छ।")</f>
        <v>श्वासप्रश्वास वा हृदय रोग भएका व्यक्तिहरू, वृद्धहरू र बालबालिकाहरूले कुनै पनि बाहिरी गतिविधिबाट टाढा रहनुपर्छ; अरु सबैले लामो परिश्रमबाट बच्नुपर्छ।</v>
      </c>
      <c r="AU210" s="7" t="str">
        <f>IFERROR(__xludf.DUMMYFUNCTION("GoogleTranslate(C210, ""en"", ""nb"")"),"Personer med luftveis- eller hjertesykdom, eldre og barn bør unngå utendørsaktiviteter; alle andre bør unngå langvarig anstrengelse.")</f>
        <v>Personer med luftveis- eller hjertesykdom, eldre og barn bør unngå utendørsaktiviteter; alle andre bør unngå langvarig anstrengelse.</v>
      </c>
      <c r="AV210" s="7" t="str">
        <f>IFERROR(__xludf.DUMMYFUNCTION("GoogleTranslate(C210, ""en"", ""fa"")"),"افراد مبتلا به بیماری های تنفسی یا قلبی، افراد مسن و کودکان باید از هرگونه فعالیت در فضای باز خودداری کنند. بقیه باید از فعالیت طولانی مدت اجتناب کنند.")</f>
        <v>افراد مبتلا به بیماری های تنفسی یا قلبی، افراد مسن و کودکان باید از هرگونه فعالیت در فضای باز خودداری کنند. بقیه باید از فعالیت طولانی مدت اجتناب کنند.</v>
      </c>
      <c r="AW210" s="7" t="str">
        <f>IFERROR(__xludf.DUMMYFUNCTION("GoogleTranslate(C210, ""en"", ""pl"")"),"Osoby cierpiące na choroby układu oddechowego lub serca, osoby starsze i dzieci powinny unikać wszelkiej aktywności na świeżym powietrzu; wszyscy inni powinni unikać długotrwałego wysiłku.")</f>
        <v>Osoby cierpiące na choroby układu oddechowego lub serca, osoby starsze i dzieci powinny unikać wszelkiej aktywności na świeżym powietrzu; wszyscy inni powinni unikać długotrwałego wysiłku.</v>
      </c>
      <c r="AX210" s="7" t="str">
        <f>IFERROR(__xludf.DUMMYFUNCTION("GoogleTranslate(C210, ""en"", ""pt"")"),"Pessoas com doenças respiratórias ou cardíacas, idosos e crianças devem evitar qualquer atividade ao ar livre; todos os outros devem evitar esforços prolongados.")</f>
        <v>Pessoas com doenças respiratórias ou cardíacas, idosos e crianças devem evitar qualquer atividade ao ar livre; todos os outros devem evitar esforços prolongados.</v>
      </c>
      <c r="AY210" s="7" t="str">
        <f>IFERROR(__xludf.DUMMYFUNCTION("GoogleTranslate(C210, ""en"", ""ro"")"),"Persoanele cu boli respiratorii sau cardiace, vârstnicii și copiii ar trebui să evite orice activitate în aer liber; toți ceilalți ar trebui să evite efortul prelungit.")</f>
        <v>Persoanele cu boli respiratorii sau cardiace, vârstnicii și copiii ar trebui să evite orice activitate în aer liber; toți ceilalți ar trebui să evite efortul prelungit.</v>
      </c>
      <c r="AZ210" s="7" t="str">
        <f>IFERROR(__xludf.DUMMYFUNCTION("GoogleTranslate(C210, ""en"", ""ru"")"),"Людям с респираторными или сердечными заболеваниями, пожилым людям и детям следует избегать любой деятельности на свежем воздухе; всем остальным следует избегать длительных нагрузок.")</f>
        <v>Людям с респираторными или сердечными заболеваниями, пожилым людям и детям следует избегать любой деятельности на свежем воздухе; всем остальным следует избегать длительных нагрузок.</v>
      </c>
      <c r="BA210" s="7" t="str">
        <f>IFERROR(__xludf.DUMMYFUNCTION("GoogleTranslate(C210, ""en"", ""sr"")"),"Особе са респираторним или срчаним обољењима, старије особе и деца треба да избегавају било какве активности на отвореном; сви остали треба да избегавају продужени напор.")</f>
        <v>Особе са респираторним или срчаним обољењима, старије особе и деца треба да избегавају било какве активности на отвореном; сви остали треба да избегавају продужени напор.</v>
      </c>
      <c r="BB210" s="7" t="str">
        <f>IFERROR(__xludf.DUMMYFUNCTION("GoogleTranslate(C210, ""en"", ""si"")"),"ශ්වසන හෝ හෘද රෝග ඇති පුද්ගලයින්, වැඩිහිටියන් සහ ළමුන් එළිමහන් ක්‍රියාකාරකම් වලින් වැළකී සිටිය යුතුය; අනෙක් සියල්ලන්ම දිගු වෙහෙසකින් වැළකී සිටිය යුතුය.")</f>
        <v>ශ්වසන හෝ හෘද රෝග ඇති පුද්ගලයින්, වැඩිහිටියන් සහ ළමුන් එළිමහන් ක්‍රියාකාරකම් වලින් වැළකී සිටිය යුතුය; අනෙක් සියල්ලන්ම දිගු වෙහෙසකින් වැළකී සිටිය යුතුය.</v>
      </c>
      <c r="BC210" s="7" t="str">
        <f>IFERROR(__xludf.DUMMYFUNCTION("GoogleTranslate(C210, ""en"", ""sk"")"),"Ľudia s respiračným alebo srdcovým ochorením, starší ľudia a deti by sa mali vyhýbať akejkoľvek vonkajšej aktivite; všetci ostatní by sa mali vyhýbať dlhodobej námahe.")</f>
        <v>Ľudia s respiračným alebo srdcovým ochorením, starší ľudia a deti by sa mali vyhýbať akejkoľvek vonkajšej aktivite; všetci ostatní by sa mali vyhýbať dlhodobej námahe.</v>
      </c>
      <c r="BD210" s="7" t="str">
        <f>IFERROR(__xludf.DUMMYFUNCTION("GoogleTranslate(C210, ""en"", ""sl"")"),"Osebe z boleznimi dihal ali srca, starejši in otroci naj se izogibajo vsaki dejavnosti na prostem; vsi ostali naj se izogibajo dolgotrajnemu naporu.")</f>
        <v>Osebe z boleznimi dihal ali srca, starejši in otroci naj se izogibajo vsaki dejavnosti na prostem; vsi ostali naj se izogibajo dolgotrajnemu naporu.</v>
      </c>
      <c r="BE210" s="7" t="str">
        <f>IFERROR(__xludf.DUMMYFUNCTION("GoogleTranslate(C210, ""en"", ""es"")"),"Las personas con enfermedades respiratorias o cardíacas, los ancianos y los niños deben evitar cualquier actividad al aire libre; todos los demás deben evitar el esfuerzo prolongado.")</f>
        <v>Las personas con enfermedades respiratorias o cardíacas, los ancianos y los niños deben evitar cualquier actividad al aire libre; todos los demás deben evitar el esfuerzo prolongado.</v>
      </c>
      <c r="BF210" s="7" t="str">
        <f>IFERROR(__xludf.DUMMYFUNCTION("GoogleTranslate(C210, ""en"", ""sw"")"),"Watu wenye magonjwa ya kupumua au ya moyo, wazee na watoto wanapaswa kuepuka shughuli yoyote ya nje; kila mtu anapaswa kuepuka bidii ya muda mrefu.")</f>
        <v>Watu wenye magonjwa ya kupumua au ya moyo, wazee na watoto wanapaswa kuepuka shughuli yoyote ya nje; kila mtu anapaswa kuepuka bidii ya muda mrefu.</v>
      </c>
      <c r="BG210" s="7" t="str">
        <f>IFERROR(__xludf.DUMMYFUNCTION("GoogleTranslate(C210, ""en"", ""sv"")"),"Personer med andnings- eller hjärtsjukdomar, äldre och barn bör undvika all utomhusaktivitet; alla andra bör undvika långvarig ansträngning.")</f>
        <v>Personer med andnings- eller hjärtsjukdomar, äldre och barn bör undvika all utomhusaktivitet; alla andra bör undvika långvarig ansträngning.</v>
      </c>
      <c r="BH210" s="7" t="str">
        <f>IFERROR(__xludf.DUMMYFUNCTION("GoogleTranslate(C210, ""en"", ""te"")"),"శ్వాసకోశ లేదా గుండె జబ్బులు ఉన్న వ్యక్తులు, వృద్ధులు మరియు పిల్లలు బహిరంగ కార్యకలాపాలకు దూరంగా ఉండాలి; ప్రతి ఒక్కరూ సుదీర్ఘ శ్రమకు దూరంగా ఉండాలి.")</f>
        <v>శ్వాసకోశ లేదా గుండె జబ్బులు ఉన్న వ్యక్తులు, వృద్ధులు మరియు పిల్లలు బహిరంగ కార్యకలాపాలకు దూరంగా ఉండాలి; ప్రతి ఒక్కరూ సుదీర్ఘ శ్రమకు దూరంగా ఉండాలి.</v>
      </c>
      <c r="BI210" s="7" t="str">
        <f>IFERROR(__xludf.DUMMYFUNCTION("GoogleTranslate(C210, ""en"", ""th"")"),"ผู้ที่เป็นโรคระบบทางเดินหายใจหรือโรคหัวใจ ผู้สูงอายุ และเด็ก ควรหลีกเลี่ยงกิจกรรมกลางแจ้ง คนอื่นๆ ควรหลีกเลี่ยงการออกแรงเป็นเวลานาน")</f>
        <v>ผู้ที่เป็นโรคระบบทางเดินหายใจหรือโรคหัวใจ ผู้สูงอายุ และเด็ก ควรหลีกเลี่ยงกิจกรรมกลางแจ้ง คนอื่นๆ ควรหลีกเลี่ยงการออกแรงเป็นเวลานาน</v>
      </c>
      <c r="BJ210" s="7" t="str">
        <f>IFERROR(__xludf.DUMMYFUNCTION("GoogleTranslate(C210, ""en"", ""tr"")"),"Solunum veya kalp hastalığı olan kişiler, yaşlılar ve çocuklar her türlü açık hava aktivitesinden kaçınmalıdır; herkes uzun süreli efordan kaçınmalıdır.")</f>
        <v>Solunum veya kalp hastalığı olan kişiler, yaşlılar ve çocuklar her türlü açık hava aktivitesinden kaçınmalıdır; herkes uzun süreli efordan kaçınmalıdır.</v>
      </c>
      <c r="BK210" s="7" t="str">
        <f>IFERROR(__xludf.DUMMYFUNCTION("GoogleTranslate(C210, ""en"", ""uk"")"),"Людям із захворюваннями органів дихання чи серця, людям похилого віку та дітям слід уникати будь-яких прогулянок на свіжому повітрі; всім іншим слід уникати тривалих навантажень.")</f>
        <v>Людям із захворюваннями органів дихання чи серця, людям похилого віку та дітям слід уникати будь-яких прогулянок на свіжому повітрі; всім іншим слід уникати тривалих навантажень.</v>
      </c>
      <c r="BL210" s="7" t="str">
        <f>IFERROR(__xludf.DUMMYFUNCTION("GoogleTranslate(C210, ""en"", ""zu"")"),"Abantu abanesifo sokuphefumula noma senhliziyo, asebekhulile kanye nezingane kufanele bagweme noma yimuphi umsebenzi wangaphandle; wonke umuntu kufanele agweme ukuzikhandla isikhathi eside.")</f>
        <v>Abantu abanesifo sokuphefumula noma senhliziyo, asebekhulile kanye nezingane kufanele bagweme noma yimuphi umsebenzi wangaphandle; wonke umuntu kufanele agweme ukuzikhandla isikhathi eside.</v>
      </c>
    </row>
    <row r="211">
      <c r="A211" s="5" t="str">
        <f t="shared" si="1"/>
        <v>Everyone_should_avoid_any_outdoor_exertion;_people_with_respiratory_or_heart_disease,_the_elderly_and_children_should_remain_indoors.</v>
      </c>
      <c r="B211" s="4" t="s">
        <v>259</v>
      </c>
      <c r="C211" s="4" t="s">
        <v>259</v>
      </c>
      <c r="D211" s="7" t="str">
        <f>IFERROR(__xludf.DUMMYFUNCTION("GoogleTranslate(C211, ""en"", ""es"")"),"Todo el mundo debería evitar cualquier esfuerzo al aire libre; las personas con enfermedades respiratorias o cardíacas, los ancianos y los niños deben permanecer en el interior.")</f>
        <v>Todo el mundo debería evitar cualquier esfuerzo al aire libre; las personas con enfermedades respiratorias o cardíacas, los ancianos y los niños deben permanecer en el interior.</v>
      </c>
      <c r="E211" s="7" t="str">
        <f>IFERROR(__xludf.DUMMYFUNCTION("GoogleTranslate(C211, ""en"", ""ar"")"),"يجب على الجميع تجنب أي مجهود في الهواء الطلق؛ يجب على الأشخاص الذين يعانون من أمراض الجهاز التنفسي أو القلب وكبار السن والأطفال البقاء في منازلهم.")</f>
        <v>يجب على الجميع تجنب أي مجهود في الهواء الطلق؛ يجب على الأشخاص الذين يعانون من أمراض الجهاز التنفسي أو القلب وكبار السن والأطفال البقاء في منازلهم.</v>
      </c>
      <c r="F211" s="7" t="str">
        <f>IFERROR(__xludf.DUMMYFUNCTION("GoogleTranslate(C211, ""en"", ""hy"")"),"Բոլորը պետք է խուսափեն բացօթյա ցանկացած աշխատանքից. շնչառական կամ սրտի հիվանդություն ունեցող մարդիկ, տարեցներն ու երեխաները պետք է մնան տանը։")</f>
        <v>Բոլորը պետք է խուսափեն բացօթյա ցանկացած աշխատանքից. շնչառական կամ սրտի հիվանդություն ունեցող մարդիկ, տարեցներն ու երեխաները պետք է մնան տանը։</v>
      </c>
      <c r="G211" s="7" t="str">
        <f>IFERROR(__xludf.DUMMYFUNCTION("GoogleTranslate(C211, ""en"", ""vi"")"),"Mọi người nên tránh mọi hoạt động gắng sức ngoài trời; những người mắc bệnh hô hấp hoặc tim mạch, người già và trẻ em nên ở trong nhà.")</f>
        <v>Mọi người nên tránh mọi hoạt động gắng sức ngoài trời; những người mắc bệnh hô hấp hoặc tim mạch, người già và trẻ em nên ở trong nhà.</v>
      </c>
      <c r="H211" s="7" t="str">
        <f>IFERROR(__xludf.DUMMYFUNCTION("GoogleTranslate(C211, ""en"", ""az"")"),"Hər kəs hər hansı açıq gücdən çəkinməlidir; tənəffüs və ya ürək xəstəlikləri olan insanlar, yaşlılar və uşaqlar evdə qalmalıdırlar.")</f>
        <v>Hər kəs hər hansı açıq gücdən çəkinməlidir; tənəffüs və ya ürək xəstəlikləri olan insanlar, yaşlılar və uşaqlar evdə qalmalıdırlar.</v>
      </c>
      <c r="I211" s="7" t="str">
        <f>IFERROR(__xludf.DUMMYFUNCTION("GoogleTranslate(C211, ""en"", ""eu"")"),"Denek saihestu beharko lukete kanpoko edozein esfortzu; arnas edo bihotzeko gaixotasunak dituzten pertsonek, adinekoek eta haurrek etxe barruan egon behar dute.")</f>
        <v>Denek saihestu beharko lukete kanpoko edozein esfortzu; arnas edo bihotzeko gaixotasunak dituzten pertsonek, adinekoek eta haurrek etxe barruan egon behar dute.</v>
      </c>
      <c r="J211" s="7" t="str">
        <f>IFERROR(__xludf.DUMMYFUNCTION("GoogleTranslate(C211, ""en"", ""be"")"),"Кожны павінен пазбягаць любых нагрузак на адкрытым паветры; людзям з захворваннямі органаў дыхання і сэрца, пажылым людзям і дзецям варта заставацца ў памяшканні.")</f>
        <v>Кожны павінен пазбягаць любых нагрузак на адкрытым паветры; людзям з захворваннямі органаў дыхання і сэрца, пажылым людзям і дзецям варта заставацца ў памяшканні.</v>
      </c>
      <c r="K211" s="7" t="str">
        <f>IFERROR(__xludf.DUMMYFUNCTION("GoogleTranslate(C211, ""en"", ""bn"")"),"প্রত্যেকেরই বাইরের পরিশ্রম এড়ানো উচিত; শ্বাসকষ্ট বা হৃদরোগে আক্রান্ত ব্যক্তিদের, বয়স্ক এবং শিশুদের বাড়ির ভিতরে থাকা উচিত।")</f>
        <v>প্রত্যেকেরই বাইরের পরিশ্রম এড়ানো উচিত; শ্বাসকষ্ট বা হৃদরোগে আক্রান্ত ব্যক্তিদের, বয়স্ক এবং শিশুদের বাড়ির ভিতরে থাকা উচিত।</v>
      </c>
      <c r="L211" s="7" t="str">
        <f>IFERROR(__xludf.DUMMYFUNCTION("GoogleTranslate(C211, ""en"", ""bg"")"),"Всеки трябва да избягва всякакво натоварване на открито; хората с респираторни или сърдечни заболявания, възрастните хора и децата трябва да останат на закрито.")</f>
        <v>Всеки трябва да избягва всякакво натоварване на открито; хората с респираторни или сърдечни заболявания, възрастните хора и децата трябва да останат на закрито.</v>
      </c>
      <c r="M211" s="7" t="str">
        <f>IFERROR(__xludf.DUMMYFUNCTION("GoogleTranslate(C211, ""en"", ""my"")"),"လူတိုင်းသည် အပြင်ဘက်၌ အားထုတ်ခြင်းကို ရှောင်ကြဉ်သင့်သည်။ အသက်ရှုလမ်းကြောင်းဆိုင်ရာ သို့မဟုတ် နှလုံးရောဂါရှိသူများ၊ သက်ကြီးရွယ်အိုများနှင့် ကလေးငယ်များသည် အိမ်ထဲတွင်သာ နေသင့်သည်။")</f>
        <v>လူတိုင်းသည် အပြင်ဘက်၌ အားထုတ်ခြင်းကို ရှောင်ကြဉ်သင့်သည်။ အသက်ရှုလမ်းကြောင်းဆိုင်ရာ သို့မဟုတ် နှလုံးရောဂါရှိသူများ၊ သက်ကြီးရွယ်အိုများနှင့် ကလေးငယ်များသည် အိမ်ထဲတွင်သာ နေသင့်သည်။</v>
      </c>
      <c r="N211" s="7" t="str">
        <f>IFERROR(__xludf.DUMMYFUNCTION("GoogleTranslate(C211, ""en"", ""ca"")"),"Tothom hauria d'evitar qualsevol esforç a l'aire lliure; les persones amb malalties respiratòries o cardíaques, la gent gran i els nens haurien de romandre a l'interior.")</f>
        <v>Tothom hauria d'evitar qualsevol esforç a l'aire lliure; les persones amb malalties respiratòries o cardíaques, la gent gran i els nens haurien de romandre a l'interior.</v>
      </c>
      <c r="O211" s="7" t="str">
        <f>IFERROR(__xludf.DUMMYFUNCTION("GoogleTranslate(C211, ""en"", ""zh-cn"")"),"每个人都应该避免任何户外活动；患有呼吸道疾病或心脏病的人、老人和儿童应留在室内。")</f>
        <v>每个人都应该避免任何户外活动；患有呼吸道疾病或心脏病的人、老人和儿童应留在室内。</v>
      </c>
      <c r="P211" s="7" t="str">
        <f>IFERROR(__xludf.DUMMYFUNCTION("GoogleTranslate(C211, ""en"", ""zh-TW"")"),"每個人都應該避免任何戶外活動；患有呼吸道疾病或心臟病的人、老人和兒童應留在室內。")</f>
        <v>每個人都應該避免任何戶外活動；患有呼吸道疾病或心臟病的人、老人和兒童應留在室內。</v>
      </c>
      <c r="Q211" s="7" t="str">
        <f>IFERROR(__xludf.DUMMYFUNCTION("GoogleTranslate(C211, ""en"", ""hr"")"),"Svatko bi trebao izbjegavati bilo kakav napor na otvorenom; osobe s dišnim i srčanim oboljenjima, starije osobe i djeca trebaju ostati u zatvorenom prostoru.")</f>
        <v>Svatko bi trebao izbjegavati bilo kakav napor na otvorenom; osobe s dišnim i srčanim oboljenjima, starije osobe i djeca trebaju ostati u zatvorenom prostoru.</v>
      </c>
      <c r="R211" s="7" t="str">
        <f>IFERROR(__xludf.DUMMYFUNCTION("GoogleTranslate(C211, ""en"", ""cs"")"),"Každý by se měl vyhýbat jakékoli venkovní námaze; lidé s respiračním nebo srdečním onemocněním, starší lidé a děti by měli zůstat uvnitř.")</f>
        <v>Každý by se měl vyhýbat jakékoli venkovní námaze; lidé s respiračním nebo srdečním onemocněním, starší lidé a děti by měli zůstat uvnitř.</v>
      </c>
      <c r="S211" s="7" t="str">
        <f>IFERROR(__xludf.DUMMYFUNCTION("GoogleTranslate(C211, ""en"", ""da"")"),"Alle bør undgå enhver udendørs anstrengelse; personer med luftvejs- eller hjertesygdomme, ældre og børn bør forblive indendørs.")</f>
        <v>Alle bør undgå enhver udendørs anstrengelse; personer med luftvejs- eller hjertesygdomme, ældre og børn bør forblive indendørs.</v>
      </c>
      <c r="T211" s="7" t="str">
        <f>IFERROR(__xludf.DUMMYFUNCTION("GoogleTranslate(C211, ""en"", ""nl"")"),"Iedereen moet elke inspanning in de buitenlucht vermijden; mensen met luchtweg- of hartaandoeningen, ouderen en kinderen moeten binnen blijven.")</f>
        <v>Iedereen moet elke inspanning in de buitenlucht vermijden; mensen met luchtweg- of hartaandoeningen, ouderen en kinderen moeten binnen blijven.</v>
      </c>
      <c r="U211" s="7" t="str">
        <f>IFERROR(__xludf.DUMMYFUNCTION("GoogleTranslate(C211, ""en"", ""et"")"),"Igaüks peaks vältima igasugust väljas pingutamist; hingamisteede või südamehaigustega inimesed, vanurid ja lapsed peaksid jääma siseruumidesse.")</f>
        <v>Igaüks peaks vältima igasugust väljas pingutamist; hingamisteede või südamehaigustega inimesed, vanurid ja lapsed peaksid jääma siseruumidesse.</v>
      </c>
      <c r="V211" s="5" t="str">
        <f t="shared" si="3"/>
        <v>Everyone should avoid any outdoor exertion; people with respiratory or heart disease, the elderly and children should remain indoors.</v>
      </c>
      <c r="W211" s="7" t="str">
        <f>IFERROR(__xludf.DUMMYFUNCTION("GoogleTranslate(C211, ""en"", ""fi"")"),"Kaikkien tulee välttää ulkona harjoittelua; hengitystie- tai sydänsairauksia sairastavien, vanhusten ja lasten tulee pysyä sisätiloissa.")</f>
        <v>Kaikkien tulee välttää ulkona harjoittelua; hengitystie- tai sydänsairauksia sairastavien, vanhusten ja lasten tulee pysyä sisätiloissa.</v>
      </c>
      <c r="X211" s="7" t="str">
        <f>IFERROR(__xludf.DUMMYFUNCTION("GoogleTranslate(C211, ""en"", ""fr"")"),"Tout le monde devrait éviter tout effort en plein air ; les personnes souffrant de maladies respiratoires ou cardiaques, les personnes âgées et les enfants doivent rester à l’intérieur.")</f>
        <v>Tout le monde devrait éviter tout effort en plein air ; les personnes souffrant de maladies respiratoires ou cardiaques, les personnes âgées et les enfants doivent rester à l’intérieur.</v>
      </c>
      <c r="Y211" s="7" t="str">
        <f>IFERROR(__xludf.DUMMYFUNCTION("GoogleTranslate(C211, ""en"", ""de"")"),"Jeder sollte jegliche Anstrengung im Freien vermeiden; Menschen mit Atemwegs- oder Herzerkrankungen, ältere Menschen und Kinder sollten drinnen bleiben.")</f>
        <v>Jeder sollte jegliche Anstrengung im Freien vermeiden; Menschen mit Atemwegs- oder Herzerkrankungen, ältere Menschen und Kinder sollten drinnen bleiben.</v>
      </c>
      <c r="Z211" s="7" t="str">
        <f>IFERROR(__xludf.DUMMYFUNCTION("GoogleTranslate(C211, ""en"", ""el"")"),"Όλοι πρέπει να αποφεύγουν οποιαδήποτε άσκηση σε εξωτερικούς χώρους. άτομα με αναπνευστικές ή καρδιακές παθήσεις, οι ηλικιωμένοι και τα παιδιά θα πρέπει να παραμείνουν σε κλειστούς χώρους.")</f>
        <v>Όλοι πρέπει να αποφεύγουν οποιαδήποτε άσκηση σε εξωτερικούς χώρους. άτομα με αναπνευστικές ή καρδιακές παθήσεις, οι ηλικιωμένοι και τα παιδιά θα πρέπει να παραμείνουν σε κλειστούς χώρους.</v>
      </c>
      <c r="AA211" s="7" t="str">
        <f>IFERROR(__xludf.DUMMYFUNCTION("GoogleTranslate(C211, ""en"", ""iw"")"),"כולם צריכים להימנע מכל מאמץ חיצוני; אנשים עם מחלות נשימה או לב, קשישים וילדים צריכים להישאר בבית.")</f>
        <v>כולם צריכים להימנע מכל מאמץ חיצוני; אנשים עם מחלות נשימה או לב, קשישים וילדים צריכים להישאר בבית.</v>
      </c>
      <c r="AB211" s="7" t="str">
        <f>IFERROR(__xludf.DUMMYFUNCTION("GoogleTranslate(C211, ""en"", ""hi"")"),"प्रत्येक व्यक्ति को किसी भी बाहरी परिश्रम से बचना चाहिए; श्वसन या हृदय रोग से पीड़ित लोगों, बुजुर्गों और बच्चों को घर के अंदर ही रहना चाहिए।")</f>
        <v>प्रत्येक व्यक्ति को किसी भी बाहरी परिश्रम से बचना चाहिए; श्वसन या हृदय रोग से पीड़ित लोगों, बुजुर्गों और बच्चों को घर के अंदर ही रहना चाहिए।</v>
      </c>
      <c r="AC211" s="7" t="str">
        <f>IFERROR(__xludf.DUMMYFUNCTION("GoogleTranslate(C211, ""en"", ""hu"")"),"Mindenkinek kerülnie kell a szabadtéri erőfeszítéseket; légúti vagy szívbetegségben szenvedők, idősek és gyermekek maradjanak bent.")</f>
        <v>Mindenkinek kerülnie kell a szabadtéri erőfeszítéseket; légúti vagy szívbetegségben szenvedők, idősek és gyermekek maradjanak bent.</v>
      </c>
      <c r="AD211" s="7" t="str">
        <f>IFERROR(__xludf.DUMMYFUNCTION("GoogleTranslate(C211, ""en"", ""is"")"),"Allir ættu að forðast áreynslu utandyra; fólk með öndunarfæra- eða hjartasjúkdóma, aldraðir og börn ættu að halda sig innandyra.")</f>
        <v>Allir ættu að forðast áreynslu utandyra; fólk með öndunarfæra- eða hjartasjúkdóma, aldraðir og börn ættu að halda sig innandyra.</v>
      </c>
      <c r="AE211" s="7" t="str">
        <f>IFERROR(__xludf.DUMMYFUNCTION("GoogleTranslate(C211, ""en"", ""id"")"),"Setiap orang harus menghindari aktivitas di luar ruangan; orang dengan penyakit pernapasan atau jantung, orang tua dan anak-anak harus tetap berada di dalam rumah.")</f>
        <v>Setiap orang harus menghindari aktivitas di luar ruangan; orang dengan penyakit pernapasan atau jantung, orang tua dan anak-anak harus tetap berada di dalam rumah.</v>
      </c>
      <c r="AF211" s="7" t="str">
        <f>IFERROR(__xludf.DUMMYFUNCTION("GoogleTranslate(C211, ""en"", ""in"")"),"Setiap orang harus menghindari aktivitas di luar ruangan; orang dengan penyakit pernapasan atau jantung, orang tua dan anak-anak harus tetap berada di dalam rumah.")</f>
        <v>Setiap orang harus menghindari aktivitas di luar ruangan; orang dengan penyakit pernapasan atau jantung, orang tua dan anak-anak harus tetap berada di dalam rumah.</v>
      </c>
      <c r="AG211" s="7" t="str">
        <f>IFERROR(__xludf.DUMMYFUNCTION("GoogleTranslate(C211, ""en"", ""it"")"),"Tutti dovrebbero evitare qualsiasi attività fisica all'aria aperta; le persone con malattie respiratorie o cardiache, gli anziani e i bambini dovrebbero rimanere in casa.")</f>
        <v>Tutti dovrebbero evitare qualsiasi attività fisica all'aria aperta; le persone con malattie respiratorie o cardiache, gli anziani e i bambini dovrebbero rimanere in casa.</v>
      </c>
      <c r="AH211" s="7" t="str">
        <f>IFERROR(__xludf.DUMMYFUNCTION("GoogleTranslate(C211, ""en"", ""ja"")"),"誰もが屋外での運動を避けるべきです。呼吸器疾患や心臓疾患のある人、高齢者、子供は屋内に留まるべきです。")</f>
        <v>誰もが屋外での運動を避けるべきです。呼吸器疾患や心臓疾患のある人、高齢者、子供は屋内に留まるべきです。</v>
      </c>
      <c r="AI211" s="7" t="str">
        <f>IFERROR(__xludf.DUMMYFUNCTION("GoogleTranslate(C211, ""en"", ""kn"")"),"ಪ್ರತಿಯೊಬ್ಬರೂ ಯಾವುದೇ ಹೊರಾಂಗಣ ಶ್ರಮವನ್ನು ತಪ್ಪಿಸಬೇಕು; ಉಸಿರಾಟ ಅಥವಾ ಹೃದ್ರೋಗ ಹೊಂದಿರುವ ಜನರು, ವೃದ್ಧರು ಮತ್ತು ಮಕ್ಕಳು ಮನೆಯೊಳಗೆ ಇರಬೇಕು.")</f>
        <v>ಪ್ರತಿಯೊಬ್ಬರೂ ಯಾವುದೇ ಹೊರಾಂಗಣ ಶ್ರಮವನ್ನು ತಪ್ಪಿಸಬೇಕು; ಉಸಿರಾಟ ಅಥವಾ ಹೃದ್ರೋಗ ಹೊಂದಿರುವ ಜನರು, ವೃದ್ಧರು ಮತ್ತು ಮಕ್ಕಳು ಮನೆಯೊಳಗೆ ಇರಬೇಕು.</v>
      </c>
      <c r="AJ211" s="7" t="str">
        <f>IFERROR(__xludf.DUMMYFUNCTION("GoogleTranslate(C211, ""en"", ""km"")"),"មនុស្សគ្រប់រូបគួរតែជៀសវាងការចេញក្រៅណាមួយ; អ្នកដែលមានជំងឺផ្លូវដង្ហើម ឬបេះដូង មនុស្សចាស់ និងកុមារគួរតែនៅក្នុងផ្ទះ។")</f>
        <v>មនុស្សគ្រប់រូបគួរតែជៀសវាងការចេញក្រៅណាមួយ; អ្នកដែលមានជំងឺផ្លូវដង្ហើម ឬបេះដូង មនុស្សចាស់ និងកុមារគួរតែនៅក្នុងផ្ទះ។</v>
      </c>
      <c r="AK211" s="7" t="str">
        <f>IFERROR(__xludf.DUMMYFUNCTION("GoogleTranslate(C211, ""en"", ""ko"")"),"모든 사람은 야외 활동을 피해야 합니다. 호흡기 질환이나 심장 질환이 있는 사람, 노인, 어린이는 실내에 머물러야 합니다.")</f>
        <v>모든 사람은 야외 활동을 피해야 합니다. 호흡기 질환이나 심장 질환이 있는 사람, 노인, 어린이는 실내에 머물러야 합니다.</v>
      </c>
      <c r="AL211" s="7" t="str">
        <f>IFERROR(__xludf.DUMMYFUNCTION("GoogleTranslate(C211, ""en"", ""lo"")"),"ທຸກຄົນຄວນຫຼີກລ່ຽງການອອກແຮງນອກ; ຜູ້ທີ່ເປັນພະຍາດລະບົບຫາຍໃຈ ຫຼືຫົວໃຈ, ຜູ້ສູງອາຍຸ ແລະເດັກນ້ອຍຄວນຢູ່ໃນເຮືອນ.")</f>
        <v>ທຸກຄົນຄວນຫຼີກລ່ຽງການອອກແຮງນອກ; ຜູ້ທີ່ເປັນພະຍາດລະບົບຫາຍໃຈ ຫຼືຫົວໃຈ, ຜູ້ສູງອາຍຸ ແລະເດັກນ້ອຍຄວນຢູ່ໃນເຮືອນ.</v>
      </c>
      <c r="AM211" s="7" t="str">
        <f>IFERROR(__xludf.DUMMYFUNCTION("GoogleTranslate(C211, ""en"", ""lv"")"),"Ikvienam vajadzētu izvairīties no jebkādas slodzes ārpus telpām; cilvēkiem ar elpceļu vai sirds slimībām, veciem cilvēkiem un bērniem jāpaliek telpās.")</f>
        <v>Ikvienam vajadzētu izvairīties no jebkādas slodzes ārpus telpām; cilvēkiem ar elpceļu vai sirds slimībām, veciem cilvēkiem un bērniem jāpaliek telpās.</v>
      </c>
      <c r="AN211" s="7" t="str">
        <f>IFERROR(__xludf.DUMMYFUNCTION("GoogleTranslate(C211, ""en"", ""lt"")"),"Kiekvienas turėtų vengti bet kokio fizinio krūvio lauke; žmonės, sergantys kvėpavimo takų ar širdies ligomis, pagyvenę žmonės ir vaikai turėtų likti patalpose.")</f>
        <v>Kiekvienas turėtų vengti bet kokio fizinio krūvio lauke; žmonės, sergantys kvėpavimo takų ar širdies ligomis, pagyvenę žmonės ir vaikai turėtų likti patalpose.</v>
      </c>
      <c r="AO211" s="7" t="str">
        <f>IFERROR(__xludf.DUMMYFUNCTION("GoogleTranslate(C211, ""en"", ""mk"")"),"Секој треба да избегнува каков било напор на отворено; лицата со респираторни или срцеви заболувања, постарите лица и децата треба да останат во затворени простории.")</f>
        <v>Секој треба да избегнува каков било напор на отворено; лицата со респираторни или срцеви заболувања, постарите лица и децата треба да останат во затворени простории.</v>
      </c>
      <c r="AP211" s="7" t="str">
        <f>IFERROR(__xludf.DUMMYFUNCTION("GoogleTranslate(C211, ""en"", ""ms"")"),"Setiap orang harus mengelakkan sebarang usaha luar; orang yang mempunyai penyakit pernafasan atau jantung, orang tua dan kanak-kanak harus berada di dalam rumah.")</f>
        <v>Setiap orang harus mengelakkan sebarang usaha luar; orang yang mempunyai penyakit pernafasan atau jantung, orang tua dan kanak-kanak harus berada di dalam rumah.</v>
      </c>
      <c r="AQ211" s="7" t="str">
        <f>IFERROR(__xludf.DUMMYFUNCTION("GoogleTranslate(C211, ""en"", ""ml"")"),"എല്ലാവരും പുറത്തെ അദ്ധ്വാനം ഒഴിവാക്കണം; ശ്വാസകോശ സംബന്ധമായ അസുഖമോ ഹൃദ്രോഗമോ ഉള്ളവർ, പ്രായമായവർ, കുട്ടികൾ എന്നിവർ വീടിനുള്ളിൽ തന്നെ കഴിയണം.")</f>
        <v>എല്ലാവരും പുറത്തെ അദ്ധ്വാനം ഒഴിവാക്കണം; ശ്വാസകോശ സംബന്ധമായ അസുഖമോ ഹൃദ്രോഗമോ ഉള്ളവർ, പ്രായമായവർ, കുട്ടികൾ എന്നിവർ വീടിനുള്ളിൽ തന്നെ കഴിയണം.</v>
      </c>
      <c r="AR211" s="7" t="str">
        <f>IFERROR(__xludf.DUMMYFUNCTION("GoogleTranslate(C211, ""en"", ""mr"")"),"प्रत्येकाने कोणतेही बाह्य श्रम टाळावे; श्वसन किंवा हृदयविकार असलेले लोक, वृद्ध आणि लहान मुलांनी घरातच राहावे.")</f>
        <v>प्रत्येकाने कोणतेही बाह्य श्रम टाळावे; श्वसन किंवा हृदयविकार असलेले लोक, वृद्ध आणि लहान मुलांनी घरातच राहावे.</v>
      </c>
      <c r="AS211" s="7" t="str">
        <f>IFERROR(__xludf.DUMMYFUNCTION("GoogleTranslate(C211, ""en"", ""mn"")"),"Хүн бүр гадаа дасгал хийхээс зайлсхийх ёстой; амьсгалын замын болон зүрхний өвчтэй хүмүүс, өндөр настан, хүүхдүүд гэртээ байх ёстой.")</f>
        <v>Хүн бүр гадаа дасгал хийхээс зайлсхийх ёстой; амьсгалын замын болон зүрхний өвчтэй хүмүүс, өндөр настан, хүүхдүүд гэртээ байх ёстой.</v>
      </c>
      <c r="AT211" s="7" t="str">
        <f>IFERROR(__xludf.DUMMYFUNCTION("GoogleTranslate(C211, ""en"", ""ne"")"),"सबैजना कुनै पनि बाहिरी परिश्रमबाट बच्नुपर्छ; श्वासप्रश्वास वा हृदय रोग भएका व्यक्तिहरू, वृद्धवृद्धा र बालबालिकाहरू घरभित्रै बस्नुपर्छ।")</f>
        <v>सबैजना कुनै पनि बाहिरी परिश्रमबाट बच्नुपर्छ; श्वासप्रश्वास वा हृदय रोग भएका व्यक्तिहरू, वृद्धवृद्धा र बालबालिकाहरू घरभित्रै बस्नुपर्छ।</v>
      </c>
      <c r="AU211" s="7" t="str">
        <f>IFERROR(__xludf.DUMMYFUNCTION("GoogleTranslate(C211, ""en"", ""nb"")"),"Alle bør unngå enhver utendørs anstrengelse; personer med luftveis- eller hjertesykdom, eldre og barn bør holde seg innendørs.")</f>
        <v>Alle bør unngå enhver utendørs anstrengelse; personer med luftveis- eller hjertesykdom, eldre og barn bør holde seg innendørs.</v>
      </c>
      <c r="AV211" s="7" t="str">
        <f>IFERROR(__xludf.DUMMYFUNCTION("GoogleTranslate(C211, ""en"", ""fa"")"),"همه باید از هرگونه فعالیت در فضای باز اجتناب کنند. افراد مبتلا به بیماری های تنفسی یا قلبی، سالمندان و کودکان باید در خانه بمانند.")</f>
        <v>همه باید از هرگونه فعالیت در فضای باز اجتناب کنند. افراد مبتلا به بیماری های تنفسی یا قلبی، سالمندان و کودکان باید در خانه بمانند.</v>
      </c>
      <c r="AW211" s="7" t="str">
        <f>IFERROR(__xludf.DUMMYFUNCTION("GoogleTranslate(C211, ""en"", ""pl"")"),"Każdy powinien unikać wysiłku na świeżym powietrzu; osoby z chorobami układu oddechowego lub serca, osoby starsze i dzieci powinny pozostać w pomieszczeniach zamkniętych.")</f>
        <v>Każdy powinien unikać wysiłku na świeżym powietrzu; osoby z chorobami układu oddechowego lub serca, osoby starsze i dzieci powinny pozostać w pomieszczeniach zamkniętych.</v>
      </c>
      <c r="AX211" s="7" t="str">
        <f>IFERROR(__xludf.DUMMYFUNCTION("GoogleTranslate(C211, ""en"", ""pt"")"),"Todos devem evitar qualquer esforço ao ar livre; pessoas com doenças respiratórias ou cardíacas, idosos e crianças devem permanecer em ambientes fechados.")</f>
        <v>Todos devem evitar qualquer esforço ao ar livre; pessoas com doenças respiratórias ou cardíacas, idosos e crianças devem permanecer em ambientes fechados.</v>
      </c>
      <c r="AY211" s="7" t="str">
        <f>IFERROR(__xludf.DUMMYFUNCTION("GoogleTranslate(C211, ""en"", ""ro"")"),"Toată lumea ar trebui să evite orice efort în aer liber; persoanele cu boli respiratorii sau cardiace, bătrânii și copiii ar trebui să rămână în casă.")</f>
        <v>Toată lumea ar trebui să evite orice efort în aer liber; persoanele cu boli respiratorii sau cardiace, bătrânii și copiii ar trebui să rămână în casă.</v>
      </c>
      <c r="AZ211" s="7" t="str">
        <f>IFERROR(__xludf.DUMMYFUNCTION("GoogleTranslate(C211, ""en"", ""ru"")"),"Каждый должен избегать любых физических нагрузок на свежем воздухе; люди с респираторными или сердечными заболеваниями, пожилые люди и дети должны оставаться в помещении.")</f>
        <v>Каждый должен избегать любых физических нагрузок на свежем воздухе; люди с респираторными или сердечными заболеваниями, пожилые люди и дети должны оставаться в помещении.</v>
      </c>
      <c r="BA211" s="7" t="str">
        <f>IFERROR(__xludf.DUMMYFUNCTION("GoogleTranslate(C211, ""en"", ""sr"")"),"Свако треба да избегава било какав напор на отвореном; особе са респираторним или срчаним обољењима, старије особе и деца треба да остану у затвореном простору.")</f>
        <v>Свако треба да избегава било какав напор на отвореном; особе са респираторним или срчаним обољењима, старије особе и деца треба да остану у затвореном простору.</v>
      </c>
      <c r="BB211" s="7" t="str">
        <f>IFERROR(__xludf.DUMMYFUNCTION("GoogleTranslate(C211, ""en"", ""si"")"),"සෑම කෙනෙකුම එළිමහන් වෙහෙසකින් වැළකී සිටිය යුතුය; ශ්වසන හෝ හෘද රෝග ඇති පුද්ගලයින්, වැඩිහිටියන් සහ ළමුන් ගෘහස්ථව සිටිය යුතුය.")</f>
        <v>සෑම කෙනෙකුම එළිමහන් වෙහෙසකින් වැළකී සිටිය යුතුය; ශ්වසන හෝ හෘද රෝග ඇති පුද්ගලයින්, වැඩිහිටියන් සහ ළමුන් ගෘහස්ථව සිටිය යුතුය.</v>
      </c>
      <c r="BC211" s="7" t="str">
        <f>IFERROR(__xludf.DUMMYFUNCTION("GoogleTranslate(C211, ""en"", ""sk"")"),"Každý by sa mal vyhýbať akejkoľvek vonkajšej námahe; ľudia s respiračným alebo srdcovým ochorením, starší ľudia a deti by mali zostať vo vnútri.")</f>
        <v>Každý by sa mal vyhýbať akejkoľvek vonkajšej námahe; ľudia s respiračným alebo srdcovým ochorením, starší ľudia a deti by mali zostať vo vnútri.</v>
      </c>
      <c r="BD211" s="7" t="str">
        <f>IFERROR(__xludf.DUMMYFUNCTION("GoogleTranslate(C211, ""en"", ""sl"")"),"Vsi naj se izogibajo kakršnim koli naporom na prostem; ljudje z boleznimi dihal ali srca, starejši in otroci naj ostanejo v zaprtih prostorih.")</f>
        <v>Vsi naj se izogibajo kakršnim koli naporom na prostem; ljudje z boleznimi dihal ali srca, starejši in otroci naj ostanejo v zaprtih prostorih.</v>
      </c>
      <c r="BE211" s="7" t="str">
        <f>IFERROR(__xludf.DUMMYFUNCTION("GoogleTranslate(C211, ""en"", ""es"")"),"Todo el mundo debería evitar cualquier esfuerzo al aire libre; las personas con enfermedades respiratorias o cardíacas, los ancianos y los niños deben permanecer en el interior.")</f>
        <v>Todo el mundo debería evitar cualquier esfuerzo al aire libre; las personas con enfermedades respiratorias o cardíacas, los ancianos y los niños deben permanecer en el interior.</v>
      </c>
      <c r="BF211" s="7" t="str">
        <f>IFERROR(__xludf.DUMMYFUNCTION("GoogleTranslate(C211, ""en"", ""sw"")"),"Kila mtu anapaswa kuepuka jitihada yoyote ya nje; watu wenye magonjwa ya kupumua au ya moyo, wazee na watoto wanapaswa kubaki ndani ya nyumba.")</f>
        <v>Kila mtu anapaswa kuepuka jitihada yoyote ya nje; watu wenye magonjwa ya kupumua au ya moyo, wazee na watoto wanapaswa kubaki ndani ya nyumba.</v>
      </c>
      <c r="BG211" s="7" t="str">
        <f>IFERROR(__xludf.DUMMYFUNCTION("GoogleTranslate(C211, ""en"", ""sv"")"),"Alla bör undvika all utomhusansträngning; personer med luftvägs- eller hjärtsjukdomar, äldre och barn ska stanna inomhus.")</f>
        <v>Alla bör undvika all utomhusansträngning; personer med luftvägs- eller hjärtsjukdomar, äldre och barn ska stanna inomhus.</v>
      </c>
      <c r="BH211" s="7" t="str">
        <f>IFERROR(__xludf.DUMMYFUNCTION("GoogleTranslate(C211, ""en"", ""te"")"),"ప్రతి ఒక్కరూ బహిరంగ శ్రమకు దూరంగా ఉండాలి; శ్వాసకోశ లేదా గుండె జబ్బులు ఉన్న వ్యక్తులు, వృద్ధులు మరియు పిల్లలు ఇంట్లోనే ఉండాలి.")</f>
        <v>ప్రతి ఒక్కరూ బహిరంగ శ్రమకు దూరంగా ఉండాలి; శ్వాసకోశ లేదా గుండె జబ్బులు ఉన్న వ్యక్తులు, వృద్ధులు మరియు పిల్లలు ఇంట్లోనే ఉండాలి.</v>
      </c>
      <c r="BI211" s="7" t="str">
        <f>IFERROR(__xludf.DUMMYFUNCTION("GoogleTranslate(C211, ""en"", ""th"")"),"ทุกคนควรหลีกเลี่ยงการออกแรงกลางแจ้ง ผู้ที่เป็นโรคระบบทางเดินหายใจหรือโรคหัวใจ ผู้สูงอายุ และเด็ก ควรอยู่ในบ้าน")</f>
        <v>ทุกคนควรหลีกเลี่ยงการออกแรงกลางแจ้ง ผู้ที่เป็นโรคระบบทางเดินหายใจหรือโรคหัวใจ ผู้สูงอายุ และเด็ก ควรอยู่ในบ้าน</v>
      </c>
      <c r="BJ211" s="7" t="str">
        <f>IFERROR(__xludf.DUMMYFUNCTION("GoogleTranslate(C211, ""en"", ""tr"")"),"Herkes açık havada herhangi bir efordan kaçınmalıdır; Solunum veya kalp hastalığı olan kişiler, yaşlılar ve çocuklar kapalı mekanlarda kalmalıdır.")</f>
        <v>Herkes açık havada herhangi bir efordan kaçınmalıdır; Solunum veya kalp hastalığı olan kişiler, yaşlılar ve çocuklar kapalı mekanlarda kalmalıdır.</v>
      </c>
      <c r="BK211" s="7" t="str">
        <f>IFERROR(__xludf.DUMMYFUNCTION("GoogleTranslate(C211, ""en"", ""uk"")"),"Кожен повинен уникати будь-яких навантажень на відкритому повітрі; людям із захворюваннями органів дихання та серця, людям похилого віку та дітям залишатися вдома.")</f>
        <v>Кожен повинен уникати будь-яких навантажень на відкритому повітрі; людям із захворюваннями органів дихання та серця, людям похилого віку та дітям залишатися вдома.</v>
      </c>
      <c r="BL211" s="7" t="str">
        <f>IFERROR(__xludf.DUMMYFUNCTION("GoogleTranslate(C211, ""en"", ""zu"")"),"Wonke umuntu kufanele agweme noma yikuphi ukuzikhandla kwangaphandle; abantu abanesifo sokuphefumula noma senhliziyo, abantu abadala kanye nezingane kufanele bahlale ezindlini.")</f>
        <v>Wonke umuntu kufanele agweme noma yikuphi ukuzikhandla kwangaphandle; abantu abanesifo sokuphefumula noma senhliziyo, abantu abadala kanye nezingane kufanele bahlale ezindlini.</v>
      </c>
    </row>
    <row r="212">
      <c r="A212" s="5" t="str">
        <f t="shared" si="1"/>
        <v>Air_quality_is_satisfactory</v>
      </c>
      <c r="B212" s="4" t="s">
        <v>260</v>
      </c>
      <c r="C212" s="4" t="s">
        <v>260</v>
      </c>
      <c r="D212" s="7" t="str">
        <f>IFERROR(__xludf.DUMMYFUNCTION("GoogleTranslate(C212, ""en"", ""es"")"),"La calidad del aire es satisfactoria.")</f>
        <v>La calidad del aire es satisfactoria.</v>
      </c>
      <c r="E212" s="7" t="str">
        <f>IFERROR(__xludf.DUMMYFUNCTION("GoogleTranslate(C212, ""en"", ""ar"")"),"نوعية الهواء مرضية")</f>
        <v>نوعية الهواء مرضية</v>
      </c>
      <c r="F212" s="7" t="str">
        <f>IFERROR(__xludf.DUMMYFUNCTION("GoogleTranslate(C212, ""en"", ""hy"")"),"Օդի որակը բավարար է")</f>
        <v>Օդի որակը բավարար է</v>
      </c>
      <c r="G212" s="7" t="str">
        <f>IFERROR(__xludf.DUMMYFUNCTION("GoogleTranslate(C212, ""en"", ""vi"")"),"Chất lượng không khí đạt yêu cầu")</f>
        <v>Chất lượng không khí đạt yêu cầu</v>
      </c>
      <c r="H212" s="7" t="str">
        <f>IFERROR(__xludf.DUMMYFUNCTION("GoogleTranslate(C212, ""en"", ""az"")"),"Havanın keyfiyyəti qənaətbəxşdir")</f>
        <v>Havanın keyfiyyəti qənaətbəxşdir</v>
      </c>
      <c r="I212" s="7" t="str">
        <f>IFERROR(__xludf.DUMMYFUNCTION("GoogleTranslate(C212, ""en"", ""eu"")"),"Airearen kalitatea pozgarria da")</f>
        <v>Airearen kalitatea pozgarria da</v>
      </c>
      <c r="J212" s="7" t="str">
        <f>IFERROR(__xludf.DUMMYFUNCTION("GoogleTranslate(C212, ""en"", ""be"")"),"Якасць паветра здавальняючая")</f>
        <v>Якасць паветра здавальняючая</v>
      </c>
      <c r="K212" s="7" t="str">
        <f>IFERROR(__xludf.DUMMYFUNCTION("GoogleTranslate(C212, ""en"", ""bn"")"),"বাতাসের মান সন্তোষজনক")</f>
        <v>বাতাসের মান সন্তোষজনক</v>
      </c>
      <c r="L212" s="7" t="str">
        <f>IFERROR(__xludf.DUMMYFUNCTION("GoogleTranslate(C212, ""en"", ""bg"")"),"Качеството на въздуха е задоволително")</f>
        <v>Качеството на въздуха е задоволително</v>
      </c>
      <c r="M212" s="7" t="str">
        <f>IFERROR(__xludf.DUMMYFUNCTION("GoogleTranslate(C212, ""en"", ""my"")"),"လေအရည်အသွေးက ကျေနပ်စရာပါ။")</f>
        <v>လေအရည်အသွေးက ကျေနပ်စရာပါ။</v>
      </c>
      <c r="N212" s="7" t="str">
        <f>IFERROR(__xludf.DUMMYFUNCTION("GoogleTranslate(C212, ""en"", ""ca"")"),"La qualitat de l'aire és satisfactòria")</f>
        <v>La qualitat de l'aire és satisfactòria</v>
      </c>
      <c r="O212" s="7" t="str">
        <f>IFERROR(__xludf.DUMMYFUNCTION("GoogleTranslate(C212, ""en"", ""zh-cn"")"),"空气质量令人满意")</f>
        <v>空气质量令人满意</v>
      </c>
      <c r="P212" s="7" t="str">
        <f>IFERROR(__xludf.DUMMYFUNCTION("GoogleTranslate(C212, ""en"", ""zh-TW"")"),"空氣品質令人滿意")</f>
        <v>空氣品質令人滿意</v>
      </c>
      <c r="Q212" s="7" t="str">
        <f>IFERROR(__xludf.DUMMYFUNCTION("GoogleTranslate(C212, ""en"", ""hr"")"),"Kvaliteta zraka je zadovoljavajuća")</f>
        <v>Kvaliteta zraka je zadovoljavajuća</v>
      </c>
      <c r="R212" s="7" t="str">
        <f>IFERROR(__xludf.DUMMYFUNCTION("GoogleTranslate(C212, ""en"", ""cs"")"),"Kvalita vzduchu je uspokojivá")</f>
        <v>Kvalita vzduchu je uspokojivá</v>
      </c>
      <c r="S212" s="7" t="str">
        <f>IFERROR(__xludf.DUMMYFUNCTION("GoogleTranslate(C212, ""en"", ""da"")"),"Luftkvaliteten er tilfredsstillende")</f>
        <v>Luftkvaliteten er tilfredsstillende</v>
      </c>
      <c r="T212" s="7" t="str">
        <f>IFERROR(__xludf.DUMMYFUNCTION("GoogleTranslate(C212, ""en"", ""nl"")"),"De luchtkwaliteit is bevredigend")</f>
        <v>De luchtkwaliteit is bevredigend</v>
      </c>
      <c r="U212" s="7" t="str">
        <f>IFERROR(__xludf.DUMMYFUNCTION("GoogleTranslate(C212, ""en"", ""et"")"),"Õhu kvaliteet on rahuldav")</f>
        <v>Õhu kvaliteet on rahuldav</v>
      </c>
      <c r="V212" s="5" t="str">
        <f t="shared" si="3"/>
        <v>Air quality is satisfactory</v>
      </c>
      <c r="W212" s="7" t="str">
        <f>IFERROR(__xludf.DUMMYFUNCTION("GoogleTranslate(C212, ""en"", ""fi"")"),"Ilmanlaatu on tyydyttävä")</f>
        <v>Ilmanlaatu on tyydyttävä</v>
      </c>
      <c r="X212" s="7" t="str">
        <f>IFERROR(__xludf.DUMMYFUNCTION("GoogleTranslate(C212, ""en"", ""fr"")"),"La qualité de l'air est satisfaisante")</f>
        <v>La qualité de l'air est satisfaisante</v>
      </c>
      <c r="Y212" s="7" t="str">
        <f>IFERROR(__xludf.DUMMYFUNCTION("GoogleTranslate(C212, ""en"", ""de"")"),"Die Luftqualität ist zufriedenstellend")</f>
        <v>Die Luftqualität ist zufriedenstellend</v>
      </c>
      <c r="Z212" s="7" t="str">
        <f>IFERROR(__xludf.DUMMYFUNCTION("GoogleTranslate(C212, ""en"", ""el"")"),"Η ποιότητα του αέρα είναι ικανοποιητική")</f>
        <v>Η ποιότητα του αέρα είναι ικανοποιητική</v>
      </c>
      <c r="AA212" s="7" t="str">
        <f>IFERROR(__xludf.DUMMYFUNCTION("GoogleTranslate(C212, ""en"", ""iw"")"),"איכות האוויר משביעת רצון")</f>
        <v>איכות האוויר משביעת רצון</v>
      </c>
      <c r="AB212" s="7" t="str">
        <f>IFERROR(__xludf.DUMMYFUNCTION("GoogleTranslate(C212, ""en"", ""hi"")"),"हवा की गुणवत्ता संतोषजनक है")</f>
        <v>हवा की गुणवत्ता संतोषजनक है</v>
      </c>
      <c r="AC212" s="7" t="str">
        <f>IFERROR(__xludf.DUMMYFUNCTION("GoogleTranslate(C212, ""en"", ""hu"")"),"A levegő minősége kielégítő")</f>
        <v>A levegő minősége kielégítő</v>
      </c>
      <c r="AD212" s="7" t="str">
        <f>IFERROR(__xludf.DUMMYFUNCTION("GoogleTranslate(C212, ""en"", ""is"")"),"Loftgæði eru viðunandi")</f>
        <v>Loftgæði eru viðunandi</v>
      </c>
      <c r="AE212" s="7" t="str">
        <f>IFERROR(__xludf.DUMMYFUNCTION("GoogleTranslate(C212, ""en"", ""id"")"),"Kualitas udara memuaskan")</f>
        <v>Kualitas udara memuaskan</v>
      </c>
      <c r="AF212" s="7" t="str">
        <f>IFERROR(__xludf.DUMMYFUNCTION("GoogleTranslate(C212, ""en"", ""in"")"),"Kualitas udara memuaskan")</f>
        <v>Kualitas udara memuaskan</v>
      </c>
      <c r="AG212" s="7" t="str">
        <f>IFERROR(__xludf.DUMMYFUNCTION("GoogleTranslate(C212, ""en"", ""it"")"),"La qualità dell'aria è soddisfacente")</f>
        <v>La qualità dell'aria è soddisfacente</v>
      </c>
      <c r="AH212" s="7" t="str">
        <f>IFERROR(__xludf.DUMMYFUNCTION("GoogleTranslate(C212, ""en"", ""ja"")"),"空気の質は満足です")</f>
        <v>空気の質は満足です</v>
      </c>
      <c r="AI212" s="7" t="str">
        <f>IFERROR(__xludf.DUMMYFUNCTION("GoogleTranslate(C212, ""en"", ""kn"")"),"ಗಾಳಿಯ ಗುಣಮಟ್ಟ ತೃಪ್ತಿಕರವಾಗಿದೆ")</f>
        <v>ಗಾಳಿಯ ಗುಣಮಟ್ಟ ತೃಪ್ತಿಕರವಾಗಿದೆ</v>
      </c>
      <c r="AJ212" s="7" t="str">
        <f>IFERROR(__xludf.DUMMYFUNCTION("GoogleTranslate(C212, ""en"", ""km"")"),"គុណភាពខ្យល់គឺពេញចិត្ត")</f>
        <v>គុណភាពខ្យល់គឺពេញចិត្ត</v>
      </c>
      <c r="AK212" s="7" t="str">
        <f>IFERROR(__xludf.DUMMYFUNCTION("GoogleTranslate(C212, ""en"", ""ko"")"),"공기질은 만족스럽습니다")</f>
        <v>공기질은 만족스럽습니다</v>
      </c>
      <c r="AL212" s="7" t="str">
        <f>IFERROR(__xludf.DUMMYFUNCTION("GoogleTranslate(C212, ""en"", ""lo"")"),"ຄຸນນະພາບອາກາດເປັນທີ່ພໍໃຈ")</f>
        <v>ຄຸນນະພາບອາກາດເປັນທີ່ພໍໃຈ</v>
      </c>
      <c r="AM212" s="7" t="str">
        <f>IFERROR(__xludf.DUMMYFUNCTION("GoogleTranslate(C212, ""en"", ""lv"")"),"Gaisa kvalitāte ir apmierinoša")</f>
        <v>Gaisa kvalitāte ir apmierinoša</v>
      </c>
      <c r="AN212" s="7" t="str">
        <f>IFERROR(__xludf.DUMMYFUNCTION("GoogleTranslate(C212, ""en"", ""lt"")"),"Oro kokybė patenkinama")</f>
        <v>Oro kokybė patenkinama</v>
      </c>
      <c r="AO212" s="7" t="str">
        <f>IFERROR(__xludf.DUMMYFUNCTION("GoogleTranslate(C212, ""en"", ""mk"")"),"Квалитетот на воздухот е задоволителен")</f>
        <v>Квалитетот на воздухот е задоволителен</v>
      </c>
      <c r="AP212" s="7" t="str">
        <f>IFERROR(__xludf.DUMMYFUNCTION("GoogleTranslate(C212, ""en"", ""ms"")"),"Kualiti udara memuaskan")</f>
        <v>Kualiti udara memuaskan</v>
      </c>
      <c r="AQ212" s="7" t="str">
        <f>IFERROR(__xludf.DUMMYFUNCTION("GoogleTranslate(C212, ""en"", ""ml"")"),"വായുവിൻ്റെ ഗുണനിലവാരം തൃപ്തികരമാണ്")</f>
        <v>വായുവിൻ്റെ ഗുണനിലവാരം തൃപ്തികരമാണ്</v>
      </c>
      <c r="AR212" s="7" t="str">
        <f>IFERROR(__xludf.DUMMYFUNCTION("GoogleTranslate(C212, ""en"", ""mr"")"),"हवेची गुणवत्ता समाधानकारक आहे")</f>
        <v>हवेची गुणवत्ता समाधानकारक आहे</v>
      </c>
      <c r="AS212" s="7" t="str">
        <f>IFERROR(__xludf.DUMMYFUNCTION("GoogleTranslate(C212, ""en"", ""mn"")"),"Агаарын чанар хангалттай")</f>
        <v>Агаарын чанар хангалттай</v>
      </c>
      <c r="AT212" s="7" t="str">
        <f>IFERROR(__xludf.DUMMYFUNCTION("GoogleTranslate(C212, ""en"", ""ne"")"),"हावाको गुणस्तर सन्तोषजनक छ")</f>
        <v>हावाको गुणस्तर सन्तोषजनक छ</v>
      </c>
      <c r="AU212" s="7" t="str">
        <f>IFERROR(__xludf.DUMMYFUNCTION("GoogleTranslate(C212, ""en"", ""nb"")"),"Luftkvaliteten er tilfredsstillende")</f>
        <v>Luftkvaliteten er tilfredsstillende</v>
      </c>
      <c r="AV212" s="7" t="str">
        <f>IFERROR(__xludf.DUMMYFUNCTION("GoogleTranslate(C212, ""en"", ""fa"")"),"کیفیت هوا رضایت بخش است")</f>
        <v>کیفیت هوا رضایت بخش است</v>
      </c>
      <c r="AW212" s="7" t="str">
        <f>IFERROR(__xludf.DUMMYFUNCTION("GoogleTranslate(C212, ""en"", ""pl"")"),"Jakość powietrza jest zadowalająca")</f>
        <v>Jakość powietrza jest zadowalająca</v>
      </c>
      <c r="AX212" s="7" t="str">
        <f>IFERROR(__xludf.DUMMYFUNCTION("GoogleTranslate(C212, ""en"", ""pt"")"),"A qualidade do ar é satisfatória")</f>
        <v>A qualidade do ar é satisfatória</v>
      </c>
      <c r="AY212" s="7" t="str">
        <f>IFERROR(__xludf.DUMMYFUNCTION("GoogleTranslate(C212, ""en"", ""ro"")"),"Calitatea aerului este satisfăcătoare")</f>
        <v>Calitatea aerului este satisfăcătoare</v>
      </c>
      <c r="AZ212" s="7" t="str">
        <f>IFERROR(__xludf.DUMMYFUNCTION("GoogleTranslate(C212, ""en"", ""ru"")"),"Качество воздуха удовлетворительное")</f>
        <v>Качество воздуха удовлетворительное</v>
      </c>
      <c r="BA212" s="7" t="str">
        <f>IFERROR(__xludf.DUMMYFUNCTION("GoogleTranslate(C212, ""en"", ""sr"")"),"Квалитет ваздуха је задовољавајући")</f>
        <v>Квалитет ваздуха је задовољавајући</v>
      </c>
      <c r="BB212" s="7" t="str">
        <f>IFERROR(__xludf.DUMMYFUNCTION("GoogleTranslate(C212, ""en"", ""si"")"),"වාතයේ ගුණාත්මකභාවය සතුටුදායකයි")</f>
        <v>වාතයේ ගුණාත්මකභාවය සතුටුදායකයි</v>
      </c>
      <c r="BC212" s="7" t="str">
        <f>IFERROR(__xludf.DUMMYFUNCTION("GoogleTranslate(C212, ""en"", ""sk"")"),"Kvalita vzduchu je uspokojivá")</f>
        <v>Kvalita vzduchu je uspokojivá</v>
      </c>
      <c r="BD212" s="7" t="str">
        <f>IFERROR(__xludf.DUMMYFUNCTION("GoogleTranslate(C212, ""en"", ""sl"")"),"Kakovost zraka je zadovoljiva")</f>
        <v>Kakovost zraka je zadovoljiva</v>
      </c>
      <c r="BE212" s="7" t="str">
        <f>IFERROR(__xludf.DUMMYFUNCTION("GoogleTranslate(C212, ""en"", ""es"")"),"La calidad del aire es satisfactoria.")</f>
        <v>La calidad del aire es satisfactoria.</v>
      </c>
      <c r="BF212" s="7" t="str">
        <f>IFERROR(__xludf.DUMMYFUNCTION("GoogleTranslate(C212, ""en"", ""sw"")"),"Ubora wa hewa ni wa kuridhisha")</f>
        <v>Ubora wa hewa ni wa kuridhisha</v>
      </c>
      <c r="BG212" s="7" t="str">
        <f>IFERROR(__xludf.DUMMYFUNCTION("GoogleTranslate(C212, ""en"", ""sv"")"),"Luftkvaliteten är tillfredsställande")</f>
        <v>Luftkvaliteten är tillfredsställande</v>
      </c>
      <c r="BH212" s="7" t="str">
        <f>IFERROR(__xludf.DUMMYFUNCTION("GoogleTranslate(C212, ""en"", ""te"")"),"గాలి నాణ్యత సంతృప్తికరంగా ఉంది")</f>
        <v>గాలి నాణ్యత సంతృప్తికరంగా ఉంది</v>
      </c>
      <c r="BI212" s="7" t="str">
        <f>IFERROR(__xludf.DUMMYFUNCTION("GoogleTranslate(C212, ""en"", ""th"")"),"คุณภาพอากาศอยู่ในเกณฑ์น่าพอใจ")</f>
        <v>คุณภาพอากาศอยู่ในเกณฑ์น่าพอใจ</v>
      </c>
      <c r="BJ212" s="7" t="str">
        <f>IFERROR(__xludf.DUMMYFUNCTION("GoogleTranslate(C212, ""en"", ""tr"")"),"Hava kalitesi tatmin edici")</f>
        <v>Hava kalitesi tatmin edici</v>
      </c>
      <c r="BK212" s="7" t="str">
        <f>IFERROR(__xludf.DUMMYFUNCTION("GoogleTranslate(C212, ""en"", ""uk"")"),"Якість повітря задовільна")</f>
        <v>Якість повітря задовільна</v>
      </c>
      <c r="BL212" s="7" t="str">
        <f>IFERROR(__xludf.DUMMYFUNCTION("GoogleTranslate(C212, ""en"", ""zu"")"),"Izinga lomoya liyagculisa")</f>
        <v>Izinga lomoya liyagculisa</v>
      </c>
    </row>
    <row r="213">
      <c r="A213" s="5" t="str">
        <f t="shared" si="1"/>
        <v>Air_quality_is_acceptable</v>
      </c>
      <c r="B213" s="4" t="s">
        <v>261</v>
      </c>
      <c r="C213" s="4" t="s">
        <v>261</v>
      </c>
      <c r="D213" s="7" t="str">
        <f>IFERROR(__xludf.DUMMYFUNCTION("GoogleTranslate(C213, ""en"", ""es"")"),"La calidad del aire es aceptable.")</f>
        <v>La calidad del aire es aceptable.</v>
      </c>
      <c r="E213" s="7" t="str">
        <f>IFERROR(__xludf.DUMMYFUNCTION("GoogleTranslate(C213, ""en"", ""ar"")"),"جودة الهواء مقبولة")</f>
        <v>جودة الهواء مقبولة</v>
      </c>
      <c r="F213" s="7" t="str">
        <f>IFERROR(__xludf.DUMMYFUNCTION("GoogleTranslate(C213, ""en"", ""hy"")"),"Օդի որակը ընդունելի է")</f>
        <v>Օդի որակը ընդունելի է</v>
      </c>
      <c r="G213" s="7" t="str">
        <f>IFERROR(__xludf.DUMMYFUNCTION("GoogleTranslate(C213, ""en"", ""vi"")"),"Chất lượng không khí ở mức chấp nhận được")</f>
        <v>Chất lượng không khí ở mức chấp nhận được</v>
      </c>
      <c r="H213" s="7" t="str">
        <f>IFERROR(__xludf.DUMMYFUNCTION("GoogleTranslate(C213, ""en"", ""az"")"),"Hava keyfiyyəti məqbuldur")</f>
        <v>Hava keyfiyyəti məqbuldur</v>
      </c>
      <c r="I213" s="7" t="str">
        <f>IFERROR(__xludf.DUMMYFUNCTION("GoogleTranslate(C213, ""en"", ""eu"")"),"Airearen kalitatea onargarria da")</f>
        <v>Airearen kalitatea onargarria da</v>
      </c>
      <c r="J213" s="7" t="str">
        <f>IFERROR(__xludf.DUMMYFUNCTION("GoogleTranslate(C213, ""en"", ""be"")"),"Якасць паветра прымальная")</f>
        <v>Якасць паветра прымальная</v>
      </c>
      <c r="K213" s="7" t="str">
        <f>IFERROR(__xludf.DUMMYFUNCTION("GoogleTranslate(C213, ""en"", ""bn"")"),"বায়ুর মান গ্রহণযোগ্য")</f>
        <v>বায়ুর মান গ্রহণযোগ্য</v>
      </c>
      <c r="L213" s="7" t="str">
        <f>IFERROR(__xludf.DUMMYFUNCTION("GoogleTranslate(C213, ""en"", ""bg"")"),"Качеството на въздуха е приемливо")</f>
        <v>Качеството на въздуха е приемливо</v>
      </c>
      <c r="M213" s="7" t="str">
        <f>IFERROR(__xludf.DUMMYFUNCTION("GoogleTranslate(C213, ""en"", ""my"")"),"လေထုအရည်အသွေးသည် လက်ခံနိုင်ဖွယ်ရှိသည်။")</f>
        <v>လေထုအရည်အသွေးသည် လက်ခံနိုင်ဖွယ်ရှိသည်။</v>
      </c>
      <c r="N213" s="7" t="str">
        <f>IFERROR(__xludf.DUMMYFUNCTION("GoogleTranslate(C213, ""en"", ""ca"")"),"La qualitat de l'aire és acceptable")</f>
        <v>La qualitat de l'aire és acceptable</v>
      </c>
      <c r="O213" s="7" t="str">
        <f>IFERROR(__xludf.DUMMYFUNCTION("GoogleTranslate(C213, ""en"", ""zh-cn"")"),"空气质量尚可")</f>
        <v>空气质量尚可</v>
      </c>
      <c r="P213" s="7" t="str">
        <f>IFERROR(__xludf.DUMMYFUNCTION("GoogleTranslate(C213, ""en"", ""zh-TW"")"),"空氣品質尚可")</f>
        <v>空氣品質尚可</v>
      </c>
      <c r="Q213" s="7" t="str">
        <f>IFERROR(__xludf.DUMMYFUNCTION("GoogleTranslate(C213, ""en"", ""hr"")"),"Kvaliteta zraka je prihvatljiva")</f>
        <v>Kvaliteta zraka je prihvatljiva</v>
      </c>
      <c r="R213" s="7" t="str">
        <f>IFERROR(__xludf.DUMMYFUNCTION("GoogleTranslate(C213, ""en"", ""cs"")"),"Kvalita vzduchu je přijatelná")</f>
        <v>Kvalita vzduchu je přijatelná</v>
      </c>
      <c r="S213" s="7" t="str">
        <f>IFERROR(__xludf.DUMMYFUNCTION("GoogleTranslate(C213, ""en"", ""da"")"),"Luftkvaliteten er acceptabel")</f>
        <v>Luftkvaliteten er acceptabel</v>
      </c>
      <c r="T213" s="7" t="str">
        <f>IFERROR(__xludf.DUMMYFUNCTION("GoogleTranslate(C213, ""en"", ""nl"")"),"De luchtkwaliteit is acceptabel")</f>
        <v>De luchtkwaliteit is acceptabel</v>
      </c>
      <c r="U213" s="7" t="str">
        <f>IFERROR(__xludf.DUMMYFUNCTION("GoogleTranslate(C213, ""en"", ""et"")"),"Õhu kvaliteet on vastuvõetav")</f>
        <v>Õhu kvaliteet on vastuvõetav</v>
      </c>
      <c r="V213" s="5" t="str">
        <f t="shared" si="3"/>
        <v>Air quality is acceptable</v>
      </c>
      <c r="W213" s="7" t="str">
        <f>IFERROR(__xludf.DUMMYFUNCTION("GoogleTranslate(C213, ""en"", ""fi"")"),"Ilmanlaatu on hyväksyttävä")</f>
        <v>Ilmanlaatu on hyväksyttävä</v>
      </c>
      <c r="X213" s="7" t="str">
        <f>IFERROR(__xludf.DUMMYFUNCTION("GoogleTranslate(C213, ""en"", ""fr"")"),"La qualité de l'air est acceptable")</f>
        <v>La qualité de l'air est acceptable</v>
      </c>
      <c r="Y213" s="7" t="str">
        <f>IFERROR(__xludf.DUMMYFUNCTION("GoogleTranslate(C213, ""en"", ""de"")"),"Die Luftqualität ist akzeptabel")</f>
        <v>Die Luftqualität ist akzeptabel</v>
      </c>
      <c r="Z213" s="7" t="str">
        <f>IFERROR(__xludf.DUMMYFUNCTION("GoogleTranslate(C213, ""en"", ""el"")"),"Η ποιότητα του αέρα είναι αποδεκτή")</f>
        <v>Η ποιότητα του αέρα είναι αποδεκτή</v>
      </c>
      <c r="AA213" s="7" t="str">
        <f>IFERROR(__xludf.DUMMYFUNCTION("GoogleTranslate(C213, ""en"", ""iw"")"),"איכות האוויר מקובלת")</f>
        <v>איכות האוויר מקובלת</v>
      </c>
      <c r="AB213" s="7" t="str">
        <f>IFERROR(__xludf.DUMMYFUNCTION("GoogleTranslate(C213, ""en"", ""hi"")"),"वायु गुणवत्ता स्वीकार्य है")</f>
        <v>वायु गुणवत्ता स्वीकार्य है</v>
      </c>
      <c r="AC213" s="7" t="str">
        <f>IFERROR(__xludf.DUMMYFUNCTION("GoogleTranslate(C213, ""en"", ""hu"")"),"A levegő minősége elfogadható")</f>
        <v>A levegő minősége elfogadható</v>
      </c>
      <c r="AD213" s="7" t="str">
        <f>IFERROR(__xludf.DUMMYFUNCTION("GoogleTranslate(C213, ""en"", ""is"")"),"Loftgæði eru ásættanleg")</f>
        <v>Loftgæði eru ásættanleg</v>
      </c>
      <c r="AE213" s="7" t="str">
        <f>IFERROR(__xludf.DUMMYFUNCTION("GoogleTranslate(C213, ""en"", ""id"")"),"Kualitas udara dapat diterima")</f>
        <v>Kualitas udara dapat diterima</v>
      </c>
      <c r="AF213" s="7" t="str">
        <f>IFERROR(__xludf.DUMMYFUNCTION("GoogleTranslate(C213, ""en"", ""in"")"),"Kualitas udara dapat diterima")</f>
        <v>Kualitas udara dapat diterima</v>
      </c>
      <c r="AG213" s="7" t="str">
        <f>IFERROR(__xludf.DUMMYFUNCTION("GoogleTranslate(C213, ""en"", ""it"")"),"La qualità dell'aria è accettabile")</f>
        <v>La qualità dell'aria è accettabile</v>
      </c>
      <c r="AH213" s="7" t="str">
        <f>IFERROR(__xludf.DUMMYFUNCTION("GoogleTranslate(C213, ""en"", ""ja"")"),"空気の質は許容範囲内です")</f>
        <v>空気の質は許容範囲内です</v>
      </c>
      <c r="AI213" s="7" t="str">
        <f>IFERROR(__xludf.DUMMYFUNCTION("GoogleTranslate(C213, ""en"", ""kn"")"),"ಗಾಳಿಯ ಗುಣಮಟ್ಟ ಸ್ವೀಕಾರಾರ್ಹವಾಗಿದೆ")</f>
        <v>ಗಾಳಿಯ ಗುಣಮಟ್ಟ ಸ್ವೀಕಾರಾರ್ಹವಾಗಿದೆ</v>
      </c>
      <c r="AJ213" s="7" t="str">
        <f>IFERROR(__xludf.DUMMYFUNCTION("GoogleTranslate(C213, ""en"", ""km"")"),"គុណភាពខ្យល់អាចទទួលយកបាន។")</f>
        <v>គុណភាពខ្យល់អាចទទួលយកបាន។</v>
      </c>
      <c r="AK213" s="7" t="str">
        <f>IFERROR(__xludf.DUMMYFUNCTION("GoogleTranslate(C213, ""en"", ""ko"")"),"공기질은 괜찮습니다")</f>
        <v>공기질은 괜찮습니다</v>
      </c>
      <c r="AL213" s="7" t="str">
        <f>IFERROR(__xludf.DUMMYFUNCTION("GoogleTranslate(C213, ""en"", ""lo"")"),"ຄຸນນະພາບອາກາດເປັນທີ່ຍອມຮັບ")</f>
        <v>ຄຸນນະພາບອາກາດເປັນທີ່ຍອມຮັບ</v>
      </c>
      <c r="AM213" s="7" t="str">
        <f>IFERROR(__xludf.DUMMYFUNCTION("GoogleTranslate(C213, ""en"", ""lv"")"),"Gaisa kvalitāte ir pieņemama")</f>
        <v>Gaisa kvalitāte ir pieņemama</v>
      </c>
      <c r="AN213" s="7" t="str">
        <f>IFERROR(__xludf.DUMMYFUNCTION("GoogleTranslate(C213, ""en"", ""lt"")"),"Oro kokybė yra priimtina")</f>
        <v>Oro kokybė yra priimtina</v>
      </c>
      <c r="AO213" s="7" t="str">
        <f>IFERROR(__xludf.DUMMYFUNCTION("GoogleTranslate(C213, ""en"", ""mk"")"),"Квалитетот на воздухот е прифатлив")</f>
        <v>Квалитетот на воздухот е прифатлив</v>
      </c>
      <c r="AP213" s="7" t="str">
        <f>IFERROR(__xludf.DUMMYFUNCTION("GoogleTranslate(C213, ""en"", ""ms"")"),"Kualiti udara boleh diterima")</f>
        <v>Kualiti udara boleh diterima</v>
      </c>
      <c r="AQ213" s="7" t="str">
        <f>IFERROR(__xludf.DUMMYFUNCTION("GoogleTranslate(C213, ""en"", ""ml"")"),"വായുവിൻ്റെ ഗുണനിലവാരം സ്വീകാര്യമാണ്")</f>
        <v>വായുവിൻ്റെ ഗുണനിലവാരം സ്വീകാര്യമാണ്</v>
      </c>
      <c r="AR213" s="7" t="str">
        <f>IFERROR(__xludf.DUMMYFUNCTION("GoogleTranslate(C213, ""en"", ""mr"")"),"हवेची गुणवत्ता स्वीकार्य आहे")</f>
        <v>हवेची गुणवत्ता स्वीकार्य आहे</v>
      </c>
      <c r="AS213" s="7" t="str">
        <f>IFERROR(__xludf.DUMMYFUNCTION("GoogleTranslate(C213, ""en"", ""mn"")"),"Агаарын чанарыг хүлээн зөвшөөрөх боломжтой")</f>
        <v>Агаарын чанарыг хүлээн зөвшөөрөх боломжтой</v>
      </c>
      <c r="AT213" s="7" t="str">
        <f>IFERROR(__xludf.DUMMYFUNCTION("GoogleTranslate(C213, ""en"", ""ne"")"),"हावा गुणस्तर स्वीकार्य छ")</f>
        <v>हावा गुणस्तर स्वीकार्य छ</v>
      </c>
      <c r="AU213" s="7" t="str">
        <f>IFERROR(__xludf.DUMMYFUNCTION("GoogleTranslate(C213, ""en"", ""nb"")"),"Luftkvaliteten er akseptabel")</f>
        <v>Luftkvaliteten er akseptabel</v>
      </c>
      <c r="AV213" s="7" t="str">
        <f>IFERROR(__xludf.DUMMYFUNCTION("GoogleTranslate(C213, ""en"", ""fa"")"),"کیفیت هوا قابل قبول است")</f>
        <v>کیفیت هوا قابل قبول است</v>
      </c>
      <c r="AW213" s="7" t="str">
        <f>IFERROR(__xludf.DUMMYFUNCTION("GoogleTranslate(C213, ""en"", ""pl"")"),"Jakość powietrza jest akceptowalna")</f>
        <v>Jakość powietrza jest akceptowalna</v>
      </c>
      <c r="AX213" s="7" t="str">
        <f>IFERROR(__xludf.DUMMYFUNCTION("GoogleTranslate(C213, ""en"", ""pt"")"),"A qualidade do ar é aceitável")</f>
        <v>A qualidade do ar é aceitável</v>
      </c>
      <c r="AY213" s="7" t="str">
        <f>IFERROR(__xludf.DUMMYFUNCTION("GoogleTranslate(C213, ""en"", ""ro"")"),"Calitatea aerului este acceptabilă")</f>
        <v>Calitatea aerului este acceptabilă</v>
      </c>
      <c r="AZ213" s="7" t="str">
        <f>IFERROR(__xludf.DUMMYFUNCTION("GoogleTranslate(C213, ""en"", ""ru"")"),"Качество воздуха приемлемое")</f>
        <v>Качество воздуха приемлемое</v>
      </c>
      <c r="BA213" s="7" t="str">
        <f>IFERROR(__xludf.DUMMYFUNCTION("GoogleTranslate(C213, ""en"", ""sr"")"),"Квалитет ваздуха је прихватљив")</f>
        <v>Квалитет ваздуха је прихватљив</v>
      </c>
      <c r="BB213" s="7" t="str">
        <f>IFERROR(__xludf.DUMMYFUNCTION("GoogleTranslate(C213, ""en"", ""si"")"),"වාතයේ ගුණාත්මකභාවය පිළිගත හැකි ය")</f>
        <v>වාතයේ ගුණාත්මකභාවය පිළිගත හැකි ය</v>
      </c>
      <c r="BC213" s="7" t="str">
        <f>IFERROR(__xludf.DUMMYFUNCTION("GoogleTranslate(C213, ""en"", ""sk"")"),"Kvalita vzduchu je prijateľná")</f>
        <v>Kvalita vzduchu je prijateľná</v>
      </c>
      <c r="BD213" s="7" t="str">
        <f>IFERROR(__xludf.DUMMYFUNCTION("GoogleTranslate(C213, ""en"", ""sl"")"),"Kakovost zraka je sprejemljiva")</f>
        <v>Kakovost zraka je sprejemljiva</v>
      </c>
      <c r="BE213" s="7" t="str">
        <f>IFERROR(__xludf.DUMMYFUNCTION("GoogleTranslate(C213, ""en"", ""es"")"),"La calidad del aire es aceptable.")</f>
        <v>La calidad del aire es aceptable.</v>
      </c>
      <c r="BF213" s="7" t="str">
        <f>IFERROR(__xludf.DUMMYFUNCTION("GoogleTranslate(C213, ""en"", ""sw"")"),"Ubora wa hewa unakubalika")</f>
        <v>Ubora wa hewa unakubalika</v>
      </c>
      <c r="BG213" s="7" t="str">
        <f>IFERROR(__xludf.DUMMYFUNCTION("GoogleTranslate(C213, ""en"", ""sv"")"),"Luftkvaliteten är acceptabel")</f>
        <v>Luftkvaliteten är acceptabel</v>
      </c>
      <c r="BH213" s="7" t="str">
        <f>IFERROR(__xludf.DUMMYFUNCTION("GoogleTranslate(C213, ""en"", ""te"")"),"గాలి నాణ్యత ఆమోదయోగ్యమైనది")</f>
        <v>గాలి నాణ్యత ఆమోదయోగ్యమైనది</v>
      </c>
      <c r="BI213" s="7" t="str">
        <f>IFERROR(__xludf.DUMMYFUNCTION("GoogleTranslate(C213, ""en"", ""th"")"),"คุณภาพอากาศเป็นที่ยอมรับ")</f>
        <v>คุณภาพอากาศเป็นที่ยอมรับ</v>
      </c>
      <c r="BJ213" s="7" t="str">
        <f>IFERROR(__xludf.DUMMYFUNCTION("GoogleTranslate(C213, ""en"", ""tr"")"),"Hava kalitesi kabul edilebilir")</f>
        <v>Hava kalitesi kabul edilebilir</v>
      </c>
      <c r="BK213" s="7" t="str">
        <f>IFERROR(__xludf.DUMMYFUNCTION("GoogleTranslate(C213, ""en"", ""uk"")"),"Якість повітря прийнятна")</f>
        <v>Якість повітря прийнятна</v>
      </c>
      <c r="BL213" s="7" t="str">
        <f>IFERROR(__xludf.DUMMYFUNCTION("GoogleTranslate(C213, ""en"", ""zu"")"),"Ikhwalithi yomoya yamukelekile")</f>
        <v>Ikhwalithi yomoya yamukelekile</v>
      </c>
    </row>
    <row r="214">
      <c r="A214" s="5" t="str">
        <f t="shared" si="1"/>
        <v>Members_of_sensitive_groups_may_experience_health_effects._The_general_public_is_less_likely_to_be_affected.</v>
      </c>
      <c r="B214" s="4" t="s">
        <v>252</v>
      </c>
      <c r="C214" s="4" t="s">
        <v>252</v>
      </c>
      <c r="D214" s="7" t="str">
        <f>IFERROR(__xludf.DUMMYFUNCTION("GoogleTranslate(C214,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E214" s="7" t="str">
        <f>IFERROR(__xludf.DUMMYFUNCTION("GoogleTranslate(C214, ""en"", ""ar"")"),"قد يتعرض أعضاء المجموعات الحساسة لآثار صحية. عامة الناس أقل عرضة للتأثر.")</f>
        <v>قد يتعرض أعضاء المجموعات الحساسة لآثار صحية. عامة الناس أقل عرضة للتأثر.</v>
      </c>
      <c r="F214" s="7" t="str">
        <f>IFERROR(__xludf.DUMMYFUNCTION("GoogleTranslate(C214, ""en"", ""hy"")"),"Զգայուն խմբերի անդամները կարող են ունենալ առողջական ազդեցություն: Լայն հանրությունը ավելի քիչ հավանական է, որ ազդի:")</f>
        <v>Զգայուն խմբերի անդամները կարող են ունենալ առողջական ազդեցություն: Լայն հանրությունը ավելի քիչ հավանական է, որ ազդի:</v>
      </c>
      <c r="G214" s="7" t="str">
        <f>IFERROR(__xludf.DUMMYFUNCTION("GoogleTranslate(C214, ""en"", ""vi"")"),"Thành viên của các nhóm nhạy cảm có thể bị ảnh hưởng sức khỏe. Công chúng ít có khả năng bị ảnh hưởng.")</f>
        <v>Thành viên của các nhóm nhạy cảm có thể bị ảnh hưởng sức khỏe. Công chúng ít có khả năng bị ảnh hưởng.</v>
      </c>
      <c r="H214" s="7" t="str">
        <f>IFERROR(__xludf.DUMMYFUNCTION("GoogleTranslate(C214, ""en"", ""az"")"),"Həssas qrupların üzvləri sağlamlığa təsir göstərə bilər. Ümumi ictimaiyyətin təsirlənmə ehtimalı azdır.")</f>
        <v>Həssas qrupların üzvləri sağlamlığa təsir göstərə bilər. Ümumi ictimaiyyətin təsirlənmə ehtimalı azdır.</v>
      </c>
      <c r="I214" s="7" t="str">
        <f>IFERROR(__xludf.DUMMYFUNCTION("GoogleTranslate(C214, ""en"", ""eu"")"),"Talde sentikorretako kideek osasun-ondorioak izan ditzakete. Publiko orokorrak eragin txikiagoa izango du.")</f>
        <v>Talde sentikorretako kideek osasun-ondorioak izan ditzakete. Publiko orokorrak eragin txikiagoa izango du.</v>
      </c>
      <c r="J214" s="7" t="str">
        <f>IFERROR(__xludf.DUMMYFUNCTION("GoogleTranslate(C214, ""en"", ""be"")"),"Члены адчувальных груп могуць адчуваць наступствы для здароўя. Шырокая грамадскасць будзе менш закранута.")</f>
        <v>Члены адчувальных груп могуць адчуваць наступствы для здароўя. Шырокая грамадскасць будзе менш закранута.</v>
      </c>
      <c r="K214" s="7" t="str">
        <f>IFERROR(__xludf.DUMMYFUNCTION("GoogleTranslate(C214, ""en"", ""bn"")"),"সংবেদনশীল গোষ্ঠীর সদস্যরা স্বাস্থ্যের প্রভাব অনুভব করতে পারে। এতে সাধারণ মানুষ ক্ষতিগ্রস্ত হওয়ার সম্ভাবনা কম।")</f>
        <v>সংবেদনশীল গোষ্ঠীর সদস্যরা স্বাস্থ্যের প্রভাব অনুভব করতে পারে। এতে সাধারণ মানুষ ক্ষতিগ্রস্ত হওয়ার সম্ভাবনা কম।</v>
      </c>
      <c r="L214" s="7" t="str">
        <f>IFERROR(__xludf.DUMMYFUNCTION("GoogleTranslate(C214, ""en"", ""bg"")"),"Членовете на чувствителни групи могат да изпитат последици за здравето. По-малко вероятно е широката общественост да бъде засегната.")</f>
        <v>Членовете на чувствителни групи могат да изпитат последици за здравето. По-малко вероятно е широката общественост да бъде засегната.</v>
      </c>
      <c r="M214" s="7" t="str">
        <f>IFERROR(__xludf.DUMMYFUNCTION("GoogleTranslate(C214, ""en"", ""my"")"),"ထိလွယ်ရှလွယ်သောအဖွဲ့များ၏ အဖွဲ့ဝင်များသည် ကျန်းမာရေးဆိုင်ရာ သက်ရောက်မှုများကို ခံစားရနိုင်သည်။ သာမန်ပြည်သူတွေ ထိခိုက်နိုင်ခြေ နည်းတယ်။")</f>
        <v>ထိလွယ်ရှလွယ်သောအဖွဲ့များ၏ အဖွဲ့ဝင်များသည် ကျန်းမာရေးဆိုင်ရာ သက်ရောက်မှုများကို ခံစားရနိုင်သည်။ သာမန်ပြည်သူတွေ ထိခိုက်နိုင်ခြေ နည်းတယ်။</v>
      </c>
      <c r="N214" s="7" t="str">
        <f>IFERROR(__xludf.DUMMYFUNCTION("GoogleTranslate(C214, ""en"", ""ca"")"),"Els membres de grups sensibles poden experimentar efectes sobre la salut. És menys probable que el públic en general es vegi afectat.")</f>
        <v>Els membres de grups sensibles poden experimentar efectes sobre la salut. És menys probable que el públic en general es vegi afectat.</v>
      </c>
      <c r="O214" s="7" t="str">
        <f>IFERROR(__xludf.DUMMYFUNCTION("GoogleTranslate(C214, ""en"", ""zh-cn"")"),"敏感群体的成员可能会受到健康影响。普通公众受到影响的可能性较小。")</f>
        <v>敏感群体的成员可能会受到健康影响。普通公众受到影响的可能性较小。</v>
      </c>
      <c r="P214" s="7" t="str">
        <f>IFERROR(__xludf.DUMMYFUNCTION("GoogleTranslate(C214, ""en"", ""zh-TW"")"),"敏感群體的成員可能會受到健康影響。一般公眾受到影響的可能性較小。")</f>
        <v>敏感群體的成員可能會受到健康影響。一般公眾受到影響的可能性較小。</v>
      </c>
      <c r="Q214" s="7" t="str">
        <f>IFERROR(__xludf.DUMMYFUNCTION("GoogleTranslate(C214, ""en"", ""hr"")"),"Pripadnici osjetljivih skupina mogu imati zdravstvene posljedice. Manje je vjerojatno da će biti pogođena šira javnost.")</f>
        <v>Pripadnici osjetljivih skupina mogu imati zdravstvene posljedice. Manje je vjerojatno da će biti pogođena šira javnost.</v>
      </c>
      <c r="R214" s="7" t="str">
        <f>IFERROR(__xludf.DUMMYFUNCTION("GoogleTranslate(C214, ""en"", ""cs"")"),"Členové citlivých skupin mohou pociťovat zdravotní účinky. Širší veřejnost je méně pravděpodobně zasažena.")</f>
        <v>Členové citlivých skupin mohou pociťovat zdravotní účinky. Širší veřejnost je méně pravděpodobně zasažena.</v>
      </c>
      <c r="S214" s="7" t="str">
        <f>IFERROR(__xludf.DUMMYFUNCTION("GoogleTranslate(C214, ""en"", ""da"")"),"Medlemmer af følsomme grupper kan opleve sundhedseffekter. Den brede offentlighed er mindre tilbøjelig til at blive berørt.")</f>
        <v>Medlemmer af følsomme grupper kan opleve sundhedseffekter. Den brede offentlighed er mindre tilbøjelig til at blive berørt.</v>
      </c>
      <c r="T214" s="7" t="str">
        <f>IFERROR(__xludf.DUMMYFUNCTION("GoogleTranslate(C214, ""en"", ""nl"")"),"Leden van gevoelige groepen kunnen gezondheidseffecten ervaren. Het grote publiek zal er minder snel last van hebben.")</f>
        <v>Leden van gevoelige groepen kunnen gezondheidseffecten ervaren. Het grote publiek zal er minder snel last van hebben.</v>
      </c>
      <c r="U214" s="7" t="str">
        <f>IFERROR(__xludf.DUMMYFUNCTION("GoogleTranslate(C214, ""en"", ""et"")"),"Tundlike rühmade liikmed võivad kogeda tervisemõjusid. Üldsust mõjutab see vähem tõenäoliselt.")</f>
        <v>Tundlike rühmade liikmed võivad kogeda tervisemõjusid. Üldsust mõjutab see vähem tõenäoliselt.</v>
      </c>
      <c r="V214" s="5" t="str">
        <f t="shared" si="3"/>
        <v>Members of sensitive groups may experience health effects. The general public is less likely to be affected.</v>
      </c>
      <c r="W214" s="7" t="str">
        <f>IFERROR(__xludf.DUMMYFUNCTION("GoogleTranslate(C214, ""en"", ""fi"")"),"Herkkien ryhmien jäsenet voivat kokea terveysvaikutuksia. Suuren yleisön vaikutus on vähemmän todennäköistä.")</f>
        <v>Herkkien ryhmien jäsenet voivat kokea terveysvaikutuksia. Suuren yleisön vaikutus on vähemmän todennäköistä.</v>
      </c>
      <c r="X214" s="7" t="str">
        <f>IFERROR(__xludf.DUMMYFUNCTION("GoogleTranslate(C214, ""en"", ""fr"")"),"Les membres des groupes sensibles peuvent subir des effets sur leur santé. Le grand public est moins susceptible d’être concerné.")</f>
        <v>Les membres des groupes sensibles peuvent subir des effets sur leur santé. Le grand public est moins susceptible d’être concerné.</v>
      </c>
      <c r="Y214" s="7" t="str">
        <f>IFERROR(__xludf.DUMMYFUNCTION("GoogleTranslate(C214, ""en"", ""de"")"),"Bei Angehörigen sensibler Gruppen kann es zu gesundheitlichen Auswirkungen kommen. Die breite Öffentlichkeit dürfte weniger betroffen sein.")</f>
        <v>Bei Angehörigen sensibler Gruppen kann es zu gesundheitlichen Auswirkungen kommen. Die breite Öffentlichkeit dürfte weniger betroffen sein.</v>
      </c>
      <c r="Z214" s="7" t="str">
        <f>IFERROR(__xludf.DUMMYFUNCTION("GoogleTranslate(C214, ""en"", ""el"")"),"Μέλη ευαίσθητων ομάδων μπορεί να παρουσιάσουν επιπτώσεις στην υγεία. Το ευρύ κοινό είναι λιγότερο πιθανό να επηρεαστεί.")</f>
        <v>Μέλη ευαίσθητων ομάδων μπορεί να παρουσιάσουν επιπτώσεις στην υγεία. Το ευρύ κοινό είναι λιγότερο πιθανό να επηρεαστεί.</v>
      </c>
      <c r="AA214" s="7" t="str">
        <f>IFERROR(__xludf.DUMMYFUNCTION("GoogleTranslate(C214, ""en"", ""iw"")"),"חברים בקבוצות רגישות עלולים לחוות השפעות בריאותיות. הציבור הרחב נוטה פחות להיפגע.")</f>
        <v>חברים בקבוצות רגישות עלולים לחוות השפעות בריאותיות. הציבור הרחב נוטה פחות להיפגע.</v>
      </c>
      <c r="AB214" s="7" t="str">
        <f>IFERROR(__xludf.DUMMYFUNCTION("GoogleTranslate(C214, ""en"", ""hi"")"),"संवेदनशील समूहों के सदस्यों को स्वास्थ्य प्रभावों का अनुभव हो सकता है। आम जनता के प्रभावित होने की संभावना कम है.")</f>
        <v>संवेदनशील समूहों के सदस्यों को स्वास्थ्य प्रभावों का अनुभव हो सकता है। आम जनता के प्रभावित होने की संभावना कम है.</v>
      </c>
      <c r="AC214" s="7" t="str">
        <f>IFERROR(__xludf.DUMMYFUNCTION("GoogleTranslate(C214, ""en"", ""hu"")"),"Az érzékeny csoportok tagjai egészségügyi hatásokat tapasztalhatnak. A nagyközönséget kevésbé valószínű, hogy ez érinti.")</f>
        <v>Az érzékeny csoportok tagjai egészségügyi hatásokat tapasztalhatnak. A nagyközönséget kevésbé valószínű, hogy ez érinti.</v>
      </c>
      <c r="AD214" s="7" t="str">
        <f>IFERROR(__xludf.DUMMYFUNCTION("GoogleTranslate(C214, ""en"", ""is"")"),"Meðlimir viðkvæmra hópa geta fundið fyrir heilsufarsáhrifum. Það er ólíklegra að almenningur verði fyrir áhrifum.")</f>
        <v>Meðlimir viðkvæmra hópa geta fundið fyrir heilsufarsáhrifum. Það er ólíklegra að almenningur verði fyrir áhrifum.</v>
      </c>
      <c r="AE214" s="7" t="str">
        <f>IFERROR(__xludf.DUMMYFUNCTION("GoogleTranslate(C214, ""en"", ""id"")"),"Anggota kelompok sensitif mungkin mengalami dampak kesehatan. Masyarakat umum cenderung tidak terkena dampaknya.")</f>
        <v>Anggota kelompok sensitif mungkin mengalami dampak kesehatan. Masyarakat umum cenderung tidak terkena dampaknya.</v>
      </c>
      <c r="AF214" s="7" t="str">
        <f>IFERROR(__xludf.DUMMYFUNCTION("GoogleTranslate(C214, ""en"", ""in"")"),"Anggota kelompok sensitif mungkin mengalami dampak kesehatan. Masyarakat umum cenderung tidak terkena dampaknya.")</f>
        <v>Anggota kelompok sensitif mungkin mengalami dampak kesehatan. Masyarakat umum cenderung tidak terkena dampaknya.</v>
      </c>
      <c r="AG214" s="7" t="str">
        <f>IFERROR(__xludf.DUMMYFUNCTION("GoogleTranslate(C214, ""en"", ""it"")"),"I membri di gruppi sensibili possono sperimentare effetti sulla salute. Il pubblico in generale ha meno probabilità di essere colpito.")</f>
        <v>I membri di gruppi sensibili possono sperimentare effetti sulla salute. Il pubblico in generale ha meno probabilità di essere colpito.</v>
      </c>
      <c r="AH214" s="7" t="str">
        <f>IFERROR(__xludf.DUMMYFUNCTION("GoogleTranslate(C214, ""en"", ""ja"")"),"敏感なグループのメンバーは健康への影響を経験する可能性があります。一般の人は影響を受ける可能性が低いです。")</f>
        <v>敏感なグループのメンバーは健康への影響を経験する可能性があります。一般の人は影響を受ける可能性が低いです。</v>
      </c>
      <c r="AI214" s="7" t="str">
        <f>IFERROR(__xludf.DUMMYFUNCTION("GoogleTranslate(C214, ""en"", ""kn"")"),"ಸೂಕ್ಷ್ಮ ಗುಂಪುಗಳ ಸದಸ್ಯರು ಆರೋಗ್ಯದ ಪರಿಣಾಮಗಳನ್ನು ಅನುಭವಿಸಬಹುದು. ಜನಸಾಮಾನ್ಯರಿಗೆ ತೊಂದರೆಯಾಗುವ ಸಾಧ್ಯತೆ ಕಡಿಮೆ.")</f>
        <v>ಸೂಕ್ಷ್ಮ ಗುಂಪುಗಳ ಸದಸ್ಯರು ಆರೋಗ್ಯದ ಪರಿಣಾಮಗಳನ್ನು ಅನುಭವಿಸಬಹುದು. ಜನಸಾಮಾನ್ಯರಿಗೆ ತೊಂದರೆಯಾಗುವ ಸಾಧ್ಯತೆ ಕಡಿಮೆ.</v>
      </c>
      <c r="AJ214" s="7" t="str">
        <f>IFERROR(__xludf.DUMMYFUNCTION("GoogleTranslate(C214, ""en"", ""km"")"),"សមាជិកនៃក្រុមរសើបអាចជួបប្រទះផលប៉ះពាល់សុខភាព។ សាធារណជន​ទូទៅ​មិន​សូវ​ទទួល​រង​ផល​ប៉ះពាល់​ទេ។")</f>
        <v>សមាជិកនៃក្រុមរសើបអាចជួបប្រទះផលប៉ះពាល់សុខភាព។ សាធារណជន​ទូទៅ​មិន​សូវ​ទទួល​រង​ផល​ប៉ះពាល់​ទេ។</v>
      </c>
      <c r="AK214" s="7" t="str">
        <f>IFERROR(__xludf.DUMMYFUNCTION("GoogleTranslate(C214, ""en"", ""ko"")"),"민감한 그룹의 구성원은 건강에 영향을 미칠 수 있습니다. 일반 대중은 영향을 받을 가능성이 적습니다.")</f>
        <v>민감한 그룹의 구성원은 건강에 영향을 미칠 수 있습니다. 일반 대중은 영향을 받을 가능성이 적습니다.</v>
      </c>
      <c r="AL214" s="7" t="str">
        <f>IFERROR(__xludf.DUMMYFUNCTION("GoogleTranslate(C214, ""en"", ""lo"")"),"ສະມາຊິກຂອງກຸ່ມທີ່ລະອຽດອ່ອນອາດຈະປະສົບຜົນກະທົບດ້ານສຸຂະພາບ. ປະຊາຊົນທົ່ວໄປແມ່ນຫນ້ອຍທີ່ຈະໄດ້ຮັບຜົນກະທົບ.")</f>
        <v>ສະມາຊິກຂອງກຸ່ມທີ່ລະອຽດອ່ອນອາດຈະປະສົບຜົນກະທົບດ້ານສຸຂະພາບ. ປະຊາຊົນທົ່ວໄປແມ່ນຫນ້ອຍທີ່ຈະໄດ້ຮັບຜົນກະທົບ.</v>
      </c>
      <c r="AM214" s="7" t="str">
        <f>IFERROR(__xludf.DUMMYFUNCTION("GoogleTranslate(C214, ""en"", ""lv"")"),"Sensitīvu grupu locekļi var saskarties ar ietekmi uz veselību. Visticamāk, ka sabiedrība tiks ietekmēta mazāk.")</f>
        <v>Sensitīvu grupu locekļi var saskarties ar ietekmi uz veselību. Visticamāk, ka sabiedrība tiks ietekmēta mazāk.</v>
      </c>
      <c r="AN214" s="7" t="str">
        <f>IFERROR(__xludf.DUMMYFUNCTION("GoogleTranslate(C214, ""en"", ""lt"")"),"Jautrių grupių nariai gali patirti poveikį sveikatai. Mažiau tikėtina, kad bus paveikta plačioji visuomenė.")</f>
        <v>Jautrių grupių nariai gali patirti poveikį sveikatai. Mažiau tikėtina, kad bus paveikta plačioji visuomenė.</v>
      </c>
      <c r="AO214" s="7" t="str">
        <f>IFERROR(__xludf.DUMMYFUNCTION("GoogleTranslate(C214, ""en"", ""mk"")"),"Членовите на чувствителните групи може да доживеат здравствени ефекти. Помалку е веројатно општата јавност да биде засегната.")</f>
        <v>Членовите на чувствителните групи може да доживеат здравствени ефекти. Помалку е веројатно општата јавност да биде засегната.</v>
      </c>
      <c r="AP214" s="7" t="str">
        <f>IFERROR(__xludf.DUMMYFUNCTION("GoogleTranslate(C214, ""en"", ""ms"")"),"Ahli kumpulan sensitif mungkin mengalami kesan kesihatan. Orang awam kurang berkemungkinan terjejas.")</f>
        <v>Ahli kumpulan sensitif mungkin mengalami kesan kesihatan. Orang awam kurang berkemungkinan terjejas.</v>
      </c>
      <c r="AQ214" s="7" t="str">
        <f>IFERROR(__xludf.DUMMYFUNCTION("GoogleTranslate(C214, ""en"", ""ml"")"),"സെൻസിറ്റീവ് ഗ്രൂപ്പുകളിലെ അംഗങ്ങൾക്ക് ആരോഗ്യപരമായ പ്രത്യാഘാതങ്ങൾ അനുഭവപ്പെട്ടേക്കാം. സാധാരണക്കാരെ ബാധിക്കാനുള്ള സാധ്യത കുറവാണ്.")</f>
        <v>സെൻസിറ്റീവ് ഗ്രൂപ്പുകളിലെ അംഗങ്ങൾക്ക് ആരോഗ്യപരമായ പ്രത്യാഘാതങ്ങൾ അനുഭവപ്പെട്ടേക്കാം. സാധാരണക്കാരെ ബാധിക്കാനുള്ള സാധ്യത കുറവാണ്.</v>
      </c>
      <c r="AR214" s="7" t="str">
        <f>IFERROR(__xludf.DUMMYFUNCTION("GoogleTranslate(C214, ""en"", ""mr"")"),"संवेदनशील गटातील सदस्यांना आरोग्यावर परिणाम होऊ शकतात. सर्वसामान्यांना याचा फटका बसण्याची शक्यता कमी आहे.")</f>
        <v>संवेदनशील गटातील सदस्यांना आरोग्यावर परिणाम होऊ शकतात. सर्वसामान्यांना याचा फटका बसण्याची शक्यता कमी आहे.</v>
      </c>
      <c r="AS214" s="7" t="str">
        <f>IFERROR(__xludf.DUMMYFUNCTION("GoogleTranslate(C214, ""en"", ""mn"")"),"Эмзэг бүлгийн гишүүд эрүүл мэндэд сөрөг нөлөө үзүүлж болзошгүй. Нийт ард иргэд өртөх магадлал бага байдаг.")</f>
        <v>Эмзэг бүлгийн гишүүд эрүүл мэндэд сөрөг нөлөө үзүүлж болзошгүй. Нийт ард иргэд өртөх магадлал бага байдаг.</v>
      </c>
      <c r="AT214" s="7" t="str">
        <f>IFERROR(__xludf.DUMMYFUNCTION("GoogleTranslate(C214, ""en"", ""ne"")"),"संवेदनशील समूहका सदस्यहरूले स्वास्थ्य प्रभावहरू अनुभव गर्न सक्छन्। सर्वसाधारणलाई भने कम असर परेको छ ।")</f>
        <v>संवेदनशील समूहका सदस्यहरूले स्वास्थ्य प्रभावहरू अनुभव गर्न सक्छन्। सर्वसाधारणलाई भने कम असर परेको छ ।</v>
      </c>
      <c r="AU214" s="7" t="str">
        <f>IFERROR(__xludf.DUMMYFUNCTION("GoogleTranslate(C214, ""en"", ""nb"")"),"Medlemmer av sensitive grupper kan oppleve helseeffekter. Allmennheten er mindre sannsynlig å bli berørt.")</f>
        <v>Medlemmer av sensitive grupper kan oppleve helseeffekter. Allmennheten er mindre sannsynlig å bli berørt.</v>
      </c>
      <c r="AV214" s="7" t="str">
        <f>IFERROR(__xludf.DUMMYFUNCTION("GoogleTranslate(C214, ""en"", ""fa"")"),"اعضای گروه های حساس ممکن است اثرات سلامتی را تجربه کنند. عموم مردم کمتر تحت تأثیر قرار می گیرند.")</f>
        <v>اعضای گروه های حساس ممکن است اثرات سلامتی را تجربه کنند. عموم مردم کمتر تحت تأثیر قرار می گیرند.</v>
      </c>
      <c r="AW214" s="7" t="str">
        <f>IFERROR(__xludf.DUMMYFUNCTION("GoogleTranslate(C214, ""en"", ""pl"")"),"Członkowie grup wrażliwych mogą doświadczyć skutków zdrowotnych. Jest mniejsze prawdopodobieństwo, że wpływ ten będzie dotyczył ogółu społeczeństwa.")</f>
        <v>Członkowie grup wrażliwych mogą doświadczyć skutków zdrowotnych. Jest mniejsze prawdopodobieństwo, że wpływ ten będzie dotyczył ogółu społeczeństwa.</v>
      </c>
      <c r="AX214" s="7" t="str">
        <f>IFERROR(__xludf.DUMMYFUNCTION("GoogleTranslate(C214, ""en"", ""pt"")"),"Membros de grupos sensíveis podem sofrer efeitos na saúde. O público em geral tem menos probabilidade de ser afetado.")</f>
        <v>Membros de grupos sensíveis podem sofrer efeitos na saúde. O público em geral tem menos probabilidade de ser afetado.</v>
      </c>
      <c r="AY214" s="7" t="str">
        <f>IFERROR(__xludf.DUMMYFUNCTION("GoogleTranslate(C214, ""en"", ""ro"")"),"Membrii grupurilor sensibile pot avea efecte asupra sănătății. Publicul larg este mai puțin probabil să fie afectat.")</f>
        <v>Membrii grupurilor sensibile pot avea efecte asupra sănătății. Publicul larg este mai puțin probabil să fie afectat.</v>
      </c>
      <c r="AZ214" s="7" t="str">
        <f>IFERROR(__xludf.DUMMYFUNCTION("GoogleTranslate(C214, ""en"", ""ru"")"),"Члены чувствительных групп могут испытывать последствия для здоровья. Широкая общественность пострадает в меньшей степени.")</f>
        <v>Члены чувствительных групп могут испытывать последствия для здоровья. Широкая общественность пострадает в меньшей степени.</v>
      </c>
      <c r="BA214" s="7" t="str">
        <f>IFERROR(__xludf.DUMMYFUNCTION("GoogleTranslate(C214, ""en"", ""sr"")"),"Припадници осетљивих група могу имати здравствене последице. Мање је вероватно да ће шира јавност бити погођена.")</f>
        <v>Припадници осетљивих група могу имати здравствене последице. Мање је вероватно да ће шира јавност бити погођена.</v>
      </c>
      <c r="BB214" s="7" t="str">
        <f>IFERROR(__xludf.DUMMYFUNCTION("GoogleTranslate(C214, ""en"", ""si"")"),"සංවේදී කණ්ඩායම්වල සාමාජිකයින්ට සෞඛ්ය බලපෑම් ඇති විය හැක. සාමාන්‍ය ජනතාව පීඩාවට පත්වීම අඩුයි.")</f>
        <v>සංවේදී කණ්ඩායම්වල සාමාජිකයින්ට සෞඛ්ය බලපෑම් ඇති විය හැක. සාමාන්‍ය ජනතාව පීඩාවට පත්වීම අඩුයි.</v>
      </c>
      <c r="BC214" s="7" t="str">
        <f>IFERROR(__xludf.DUMMYFUNCTION("GoogleTranslate(C214, ""en"", ""sk"")"),"Členovia citlivých skupín môžu pociťovať zdravotné účinky. Široká verejnosť je menej pravdepodobne ovplyvnená.")</f>
        <v>Členovia citlivých skupín môžu pociťovať zdravotné účinky. Široká verejnosť je menej pravdepodobne ovplyvnená.</v>
      </c>
      <c r="BD214" s="7" t="str">
        <f>IFERROR(__xludf.DUMMYFUNCTION("GoogleTranslate(C214, ""en"", ""sl"")"),"Člani občutljivih skupin lahko občutijo posledice za zdravje. Manj verjetno je, da bo prizadeta splošna javnost.")</f>
        <v>Člani občutljivih skupin lahko občutijo posledice za zdravje. Manj verjetno je, da bo prizadeta splošna javnost.</v>
      </c>
      <c r="BE214" s="7" t="str">
        <f>IFERROR(__xludf.DUMMYFUNCTION("GoogleTranslate(C214,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BF214" s="7" t="str">
        <f>IFERROR(__xludf.DUMMYFUNCTION("GoogleTranslate(C214, ""en"", ""sw"")"),"Washiriki wa vikundi nyeti wanaweza kupata athari za kiafya. Umma kwa ujumla una uwezekano mdogo wa kuathirika.")</f>
        <v>Washiriki wa vikundi nyeti wanaweza kupata athari za kiafya. Umma kwa ujumla una uwezekano mdogo wa kuathirika.</v>
      </c>
      <c r="BG214" s="7" t="str">
        <f>IFERROR(__xludf.DUMMYFUNCTION("GoogleTranslate(C214, ""en"", ""sv"")"),"Medlemmar i känsliga grupper kan uppleva hälsoeffekter. Allmänheten är mindre sannolikt att drabbas.")</f>
        <v>Medlemmar i känsliga grupper kan uppleva hälsoeffekter. Allmänheten är mindre sannolikt att drabbas.</v>
      </c>
      <c r="BH214" s="7" t="str">
        <f>IFERROR(__xludf.DUMMYFUNCTION("GoogleTranslate(C214, ""en"", ""te"")"),"సున్నితమైన సమూహాల సభ్యులు ఆరోగ్య ప్రభావాలను అనుభవించవచ్చు. సామాన్య ప్రజానీకం దీని బారిన పడే అవకాశం తక్కువ.")</f>
        <v>సున్నితమైన సమూహాల సభ్యులు ఆరోగ్య ప్రభావాలను అనుభవించవచ్చు. సామాన్య ప్రజానీకం దీని బారిన పడే అవకాశం తక్కువ.</v>
      </c>
      <c r="BI214" s="7" t="str">
        <f>IFERROR(__xludf.DUMMYFUNCTION("GoogleTranslate(C214, ""en"", ""th"")"),"สมาชิกของกลุ่มที่มีความอ่อนไหวอาจได้รับผลกระทบต่อสุขภาพ ประชาชนทั่วไปมีโอกาสได้รับผลกระทบน้อย")</f>
        <v>สมาชิกของกลุ่มที่มีความอ่อนไหวอาจได้รับผลกระทบต่อสุขภาพ ประชาชนทั่วไปมีโอกาสได้รับผลกระทบน้อย</v>
      </c>
      <c r="BJ214" s="7" t="str">
        <f>IFERROR(__xludf.DUMMYFUNCTION("GoogleTranslate(C214, ""en"", ""tr"")"),"Hassas grupların üyeleri sağlık açısından etkilerle karşılaşabilir. Genel halkın etkilenme olasılığı daha düşüktür.")</f>
        <v>Hassas grupların üyeleri sağlık açısından etkilerle karşılaşabilir. Genel halkın etkilenme olasılığı daha düşüktür.</v>
      </c>
      <c r="BK214" s="7" t="str">
        <f>IFERROR(__xludf.DUMMYFUNCTION("GoogleTranslate(C214, ""en"", ""uk"")"),"Члени чутливих груп можуть мати наслідки для здоров'я. Менш імовірно, що це вплине на населення.")</f>
        <v>Члени чутливих груп можуть мати наслідки для здоров'я. Менш імовірно, що це вплине на населення.</v>
      </c>
      <c r="BL214" s="7" t="str">
        <f>IFERROR(__xludf.DUMMYFUNCTION("GoogleTranslate(C214, ""en"", ""zu"")"),"Amalungu amaqembu azwelayo angase abe nemiphumela yezempilo. Umphakathi jikelele mancane amathuba okuthi uthinteke.")</f>
        <v>Amalungu amaqembu azwelayo angase abe nemiphumela yezempilo. Umphakathi jikelele mancane amathuba okuthi uthinteke.</v>
      </c>
    </row>
    <row r="215">
      <c r="A215" s="5" t="str">
        <f t="shared" si="1"/>
        <v>Some_members_of_the_general_public_may_experience_health_effects;_members_of_sensitive_groups_may_experience_more_serious_health_effects.</v>
      </c>
      <c r="B215" s="4" t="s">
        <v>253</v>
      </c>
      <c r="C215" s="4" t="s">
        <v>253</v>
      </c>
      <c r="D215" s="7" t="str">
        <f>IFERROR(__xludf.DUMMYFUNCTION("GoogleTranslate(C215,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E215" s="7" t="str">
        <f>IFERROR(__xludf.DUMMYFUNCTION("GoogleTranslate(C215, ""en"", ""ar"")"),"قد يتعرض بعض أفراد عامة الناس لآثار صحية؛ قد يتعرض أعضاء المجموعات الحساسة لآثار صحية أكثر خطورة.")</f>
        <v>قد يتعرض بعض أفراد عامة الناس لآثار صحية؛ قد يتعرض أعضاء المجموعات الحساسة لآثار صحية أكثر خطورة.</v>
      </c>
      <c r="F215" s="7" t="str">
        <f>IFERROR(__xludf.DUMMYFUNCTION("GoogleTranslate(C215, ""en"", ""hy"")"),"Հասարակության որոշ անդամներ կարող են զգալ առողջական ազդեցություն. զգայուն խմբերի անդամները կարող են ավելի լուրջ առողջական հետևանքներ ունենալ:")</f>
        <v>Հասարակության որոշ անդամներ կարող են զգալ առողջական ազդեցություն. զգայուն խմբերի անդամները կարող են ավելի լուրջ առողջական հետևանքներ ունենալ:</v>
      </c>
      <c r="G215" s="7" t="str">
        <f>IFERROR(__xludf.DUMMYFUNCTION("GoogleTranslate(C215, ""en"", ""vi"")"),"Một số thành viên của cộng đồng nói chung có thể bị ảnh hưởng về sức khoẻ; thành viên của các nhóm nhạy cảm có thể bị ảnh hưởng sức khỏe nghiêm trọng hơn.")</f>
        <v>Một số thành viên của cộng đồng nói chung có thể bị ảnh hưởng về sức khoẻ; thành viên của các nhóm nhạy cảm có thể bị ảnh hưởng sức khỏe nghiêm trọng hơn.</v>
      </c>
      <c r="H215" s="7" t="str">
        <f>IFERROR(__xludf.DUMMYFUNCTION("GoogleTranslate(C215, ""en"", ""az"")"),"Cəmiyyətin bəzi üzvləri sağlamlığa təsir göstərə bilər; həssas qrupların üzvləri daha ciddi sağlamlıq təsirləri ilə üzləşə bilər.")</f>
        <v>Cəmiyyətin bəzi üzvləri sağlamlığa təsir göstərə bilər; həssas qrupların üzvləri daha ciddi sağlamlıq təsirləri ilə üzləşə bilər.</v>
      </c>
      <c r="I215" s="7" t="str">
        <f>IFERROR(__xludf.DUMMYFUNCTION("GoogleTranslate(C215, ""en"", ""eu"")"),"Publiko orokorreko kide batzuek osasun-ondorioak izan ditzakete; talde sentikorretako kideek osasun-ondorio larriagoak izan ditzakete.")</f>
        <v>Publiko orokorreko kide batzuek osasun-ondorioak izan ditzakete; talde sentikorretako kideek osasun-ondorio larriagoak izan ditzakete.</v>
      </c>
      <c r="J215" s="7" t="str">
        <f>IFERROR(__xludf.DUMMYFUNCTION("GoogleTranslate(C215, ""en"", ""be"")"),"Некаторыя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f>
        <v>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v>
      </c>
      <c r="K215" s="7" t="str">
        <f>IFERROR(__xludf.DUMMYFUNCTION("GoogleTranslate(C215, ""en"", ""bn"")"),"সাধারণ জনগণের কিছু সদস্য স্বাস্থ্যের প্রভাব অনুভব করতে পারে; সংবেদনশীল গোষ্ঠীর সদস্যরা আরও গুরুতর স্বাস্থ্য প্রভাব অনুভব করতে পারে।")</f>
        <v>সাধারণ জনগণের কিছু সদস্য স্বাস্থ্যের প্রভাব অনুভব করতে পারে; সংবেদনশীল গোষ্ঠীর সদস্যরা আরও গুরুতর স্বাস্থ্য প্রভাব অনুভব করতে পারে।</v>
      </c>
      <c r="L215" s="7" t="str">
        <f>IFERROR(__xludf.DUMMYFUNCTION("GoogleTranslate(C215, ""en"", ""bg"")"),"Някои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f>
        <v>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v>
      </c>
      <c r="M215" s="7" t="str">
        <f>IFERROR(__xludf.DUMMYFUNCTION("GoogleTranslate(C215, ""en"", ""my"")"),"သာမန်ပြည်သူအချို့၏ ကျန်းမာရေးဆိုင်ရာ သက်ရောက်မှုများကို ခံစားရနိုင်သည်၊ ထိလွယ်ရှလွယ်သော အဖွဲ့များ၏ အဖွဲ့ဝင်များသည် ပိုမိုပြင်းထန်သော ကျန်းမာရေးဆိုင်ရာ သက်ရောက်မှုများကို ခံစားရနိုင်သည်။")</f>
        <v>သာမန်ပြည်သူအချို့၏ ကျန်းမာရေးဆိုင်ရာ သက်ရောက်မှုများကို ခံစားရနိုင်သည်၊ ထိလွယ်ရှလွယ်သော အဖွဲ့များ၏ အဖွဲ့ဝင်များသည် ပိုမိုပြင်းထန်သော ကျန်းမာရေးဆိုင်ရာ သက်ရောက်မှုများကို ခံစားရနိုင်သည်။</v>
      </c>
      <c r="N215" s="7" t="str">
        <f>IFERROR(__xludf.DUMMYFUNCTION("GoogleTranslate(C215, ""en"", ""ca"")"),"Alguns membres del públic en general poden experimentar efectes sobre la salut; els membres de grups sensibles poden experimentar efectes més greus per a la salut.")</f>
        <v>Alguns membres del públic en general poden experimentar efectes sobre la salut; els membres de grups sensibles poden experimentar efectes més greus per a la salut.</v>
      </c>
      <c r="O215" s="7" t="str">
        <f>IFERROR(__xludf.DUMMYFUNCTION("GoogleTranslate(C215, ""en"", ""zh-cn"")"),"一些公众可能会受到健康影响；敏感群体的成员可能会遭受更严重的健康影响。")</f>
        <v>一些公众可能会受到健康影响；敏感群体的成员可能会遭受更严重的健康影响。</v>
      </c>
      <c r="P215" s="7" t="str">
        <f>IFERROR(__xludf.DUMMYFUNCTION("GoogleTranslate(C215, ""en"", ""zh-TW"")"),"有些公眾可能會受到健康影響；敏感群體的成員可能會遭受更嚴重的健康影響。")</f>
        <v>有些公眾可能會受到健康影響；敏感群體的成員可能會遭受更嚴重的健康影響。</v>
      </c>
      <c r="Q215" s="7" t="str">
        <f>IFERROR(__xludf.DUMMYFUNCTION("GoogleTranslate(C215, ""en"", ""hr"")"),"Neki članovi opće javnosti mogu osjetiti zdravstvene učinke; pripadnici osjetljivih skupina mogu imati ozbiljnije zdravstvene posljedice.")</f>
        <v>Neki članovi opće javnosti mogu osjetiti zdravstvene učinke; pripadnici osjetljivih skupina mogu imati ozbiljnije zdravstvene posljedice.</v>
      </c>
      <c r="R215" s="7" t="str">
        <f>IFERROR(__xludf.DUMMYFUNCTION("GoogleTranslate(C215, ""en"", ""cs"")"),"Někteří členové široké veřejnosti mohou pociťovat zdravotní účinky; členové citlivých skupin mohou pociťovat vážnější zdravotní účinky.")</f>
        <v>Někteří členové široké veřejnosti mohou pociťovat zdravotní účinky; členové citlivých skupin mohou pociťovat vážnější zdravotní účinky.</v>
      </c>
      <c r="S215" s="7" t="str">
        <f>IFERROR(__xludf.DUMMYFUNCTION("GoogleTranslate(C215, ""en"", ""da"")"),"Nogle medlemmer af offentligheden kan opleve sundhedseffekter; medlemmer af følsomme grupper kan opleve mere alvorlige helbredseffekter.")</f>
        <v>Nogle medlemmer af offentligheden kan opleve sundhedseffekter; medlemmer af følsomme grupper kan opleve mere alvorlige helbredseffekter.</v>
      </c>
      <c r="T215" s="7" t="str">
        <f>IFERROR(__xludf.DUMMYFUNCTION("GoogleTranslate(C215, ""en"", ""nl"")"),"Sommige leden van het grote publiek kunnen gezondheidseffecten ervaren; leden van gevoelige groepen kunnen ernstigere gevolgen voor de gezondheid ervaren.")</f>
        <v>Sommige leden van het grote publiek kunnen gezondheidseffecten ervaren; leden van gevoelige groepen kunnen ernstigere gevolgen voor de gezondheid ervaren.</v>
      </c>
      <c r="U215" s="7" t="str">
        <f>IFERROR(__xludf.DUMMYFUNCTION("GoogleTranslate(C215, ""en"", ""et"")"),"Mõned üldsuse liikmed võivad kogeda tervisemõjusid; tundlike rühmade liikmed võivad kogeda tõsisemaid tervisemõjusid.")</f>
        <v>Mõned üldsuse liikmed võivad kogeda tervisemõjusid; tundlike rühmade liikmed võivad kogeda tõsisemaid tervisemõjusid.</v>
      </c>
      <c r="V215" s="5" t="str">
        <f t="shared" si="3"/>
        <v>Some members of the general public may experience health effects; members of sensitive groups may experience more serious health effects.</v>
      </c>
      <c r="W215" s="7" t="str">
        <f>IFERROR(__xludf.DUMMYFUNCTION("GoogleTranslate(C215, ""en"", ""fi"")"),"Jotkut suuren yleisön jäsenet voivat kokea terveysvaikutuksia; herkkien ryhmien jäsenillä voi olla vakavampia terveysvaikutuksia.")</f>
        <v>Jotkut suuren yleisön jäsenet voivat kokea terveysvaikutuksia; herkkien ryhmien jäsenillä voi olla vakavampia terveysvaikutuksia.</v>
      </c>
      <c r="X215" s="7" t="str">
        <f>IFERROR(__xludf.DUMMYFUNCTION("GoogleTranslate(C215, ""en"", ""fr"")"),"Certains membres du grand public peuvent subir des effets sur la santé ; les membres des groupes sensibles peuvent subir des effets plus graves sur leur santé.")</f>
        <v>Certains membres du grand public peuvent subir des effets sur la santé ; les membres des groupes sensibles peuvent subir des effets plus graves sur leur santé.</v>
      </c>
      <c r="Y215" s="7" t="str">
        <f>IFERROR(__xludf.DUMMYFUNCTION("GoogleTranslate(C215, ""en"", ""de"")"),"Bei einigen Mitgliedern der Öffentlichkeit können gesundheitliche Auswirkungen auftreten; Bei Mitgliedern sensibler Gruppen kann es zu schwerwiegenderen gesundheitlichen Auswirkungen kommen.")</f>
        <v>Bei einigen Mitgliedern der Öffentlichkeit können gesundheitliche Auswirkungen auftreten; Bei Mitgliedern sensibler Gruppen kann es zu schwerwiegenderen gesundheitlichen Auswirkungen kommen.</v>
      </c>
      <c r="Z215" s="7" t="str">
        <f>IFERROR(__xludf.DUMMYFUNCTION("GoogleTranslate(C215, ""en"", ""el"")"),"Ορισμένα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f>
        <v>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v>
      </c>
      <c r="AA215" s="7" t="str">
        <f>IFERROR(__xludf.DUMMYFUNCTION("GoogleTranslate(C215, ""en"", ""iw"")"),"חלק מהציבור הרחב עלולים לחוות השפעות בריאותיות; חברי קבוצות רגישות עלולים לחוות השפעות בריאותיות חמורות יותר.")</f>
        <v>חלק מהציבור הרחב עלולים לחוות השפעות בריאותיות; חברי קבוצות רגישות עלולים לחוות השפעות בריאותיות חמורות יותר.</v>
      </c>
      <c r="AB215" s="7" t="str">
        <f>IFERROR(__xludf.DUMMYFUNCTION("GoogleTranslate(C215, ""en"", ""hi"")"),"आम जनता के कुछ सदस्यों को स्वास्थ्य प्रभावों का अनुभव हो सकता है; संवेदनशील समूहों के सदस्यों को अधिक गंभीर स्वास्थ्य प्रभावों का अनुभव हो सकता है।")</f>
        <v>आम जनता के कुछ सदस्यों को स्वास्थ्य प्रभावों का अनुभव हो सकता है; संवेदनशील समूहों के सदस्यों को अधिक गंभीर स्वास्थ्य प्रभावों का अनुभव हो सकता है।</v>
      </c>
      <c r="AC215" s="7" t="str">
        <f>IFERROR(__xludf.DUMMYFUNCTION("GoogleTranslate(C215, ""en"", ""hu"")"),"A lakosság egy része egészségügyi hatásokat tapasztalhat; az érzékeny csoportok tagjai súlyosabb egészségügyi hatásokat tapasztalhatnak.")</f>
        <v>A lakosság egy része egészségügyi hatásokat tapasztalhat; az érzékeny csoportok tagjai súlyosabb egészségügyi hatásokat tapasztalhatnak.</v>
      </c>
      <c r="AD215" s="7" t="str">
        <f>IFERROR(__xludf.DUMMYFUNCTION("GoogleTranslate(C215, ""en"", ""is"")"),"Sumir meðlimir almennings geta fundið fyrir heilsufarsáhrifum; meðlimir viðkvæmra hópa geta fundið fyrir alvarlegri heilsufarsáhrifum.")</f>
        <v>Sumir meðlimir almennings geta fundið fyrir heilsufarsáhrifum; meðlimir viðkvæmra hópa geta fundið fyrir alvarlegri heilsufarsáhrifum.</v>
      </c>
      <c r="AE215" s="7" t="str">
        <f>IFERROR(__xludf.DUMMYFUNCTION("GoogleTranslate(C215, ""en"", ""id"")"),"Beberapa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F215" s="7" t="str">
        <f>IFERROR(__xludf.DUMMYFUNCTION("GoogleTranslate(C215, ""en"", ""in"")"),"Beberapa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G215" s="7" t="str">
        <f>IFERROR(__xludf.DUMMYFUNCTION("GoogleTranslate(C215, ""en"", ""it"")"),"Alcuni membri del pubblico in generale potrebbero sperimentare effetti sulla salute; i membri di gruppi sensibili possono sperimentare effetti sulla salute più gravi.")</f>
        <v>Alcuni membri del pubblico in generale potrebbero sperimentare effetti sulla salute; i membri di gruppi sensibili possono sperimentare effetti sulla salute più gravi.</v>
      </c>
      <c r="AH215" s="7" t="str">
        <f>IFERROR(__xludf.DUMMYFUNCTION("GoogleTranslate(C215, ""en"", ""ja"")"),"一般人の中には健康被害を経験する人もいるかもしれません。敏感なグループのメンバーは、より深刻な健康影響を経験する可能性があります。")</f>
        <v>一般人の中には健康被害を経験する人もいるかもしれません。敏感なグループのメンバーは、より深刻な健康影響を経験する可能性があります。</v>
      </c>
      <c r="AI215" s="7" t="str">
        <f>IFERROR(__xludf.DUMMYFUNCTION("GoogleTranslate(C215, ""en"", ""kn"")"),"ಸಾಮಾನ್ಯ ಜನರ ಕೆಲವು ಸದಸ್ಯರು ಆರೋಗ್ಯದ ಪರಿಣಾಮಗಳನ್ನು ಅನುಭವಿಸಬಹುದು; ಸೂಕ್ಷ್ಮ ಗುಂಪುಗಳ ಸದಸ್ಯರು ಹೆಚ್ಚು ಗಂಭೀರವಾದ ಆರೋಗ್ಯ ಪರಿಣಾಮಗಳನ್ನು ಅನುಭವಿಸಬಹುದು.")</f>
        <v>ಸಾಮಾನ್ಯ ಜನರ ಕೆಲವು ಸದಸ್ಯರು ಆರೋಗ್ಯದ ಪರಿಣಾಮಗಳನ್ನು ಅನುಭವಿಸಬಹುದು; ಸೂಕ್ಷ್ಮ ಗುಂಪುಗಳ ಸದಸ್ಯರು ಹೆಚ್ಚು ಗಂಭೀರವಾದ ಆರೋಗ್ಯ ಪರಿಣಾಮಗಳನ್ನು ಅನುಭವಿಸಬಹುದು.</v>
      </c>
      <c r="AJ215" s="7" t="str">
        <f>IFERROR(__xludf.DUMMYFUNCTION("GoogleTranslate(C215, ""en"", ""km"")"),"សមាជិកមួយចំនួននៃសាធារណជនទូទៅអាចជួបប្រទះផលប៉ះពាល់សុខភាព។ សមាជិកនៃក្រុមរសើបអាចជួបប្រទះផលប៉ះពាល់សុខភាពធ្ងន់ធ្ងរជាងនេះ។")</f>
        <v>សមាជិកមួយចំនួននៃសាធារណជនទូទៅអាចជួបប្រទះផលប៉ះពាល់សុខភាព។ សមាជិកនៃក្រុមរសើបអាចជួបប្រទះផលប៉ះពាល់សុខភាពធ្ងន់ធ្ងរជាងនេះ។</v>
      </c>
      <c r="AK215" s="7" t="str">
        <f>IFERROR(__xludf.DUMMYFUNCTION("GoogleTranslate(C215, ""en"", ""ko"")"),"일반 대중 중 일부는 건강에 영향을 미칠 수 있습니다. 민감한 그룹의 구성원은 건강에 더 심각한 영향을 미칠 수 있습니다.")</f>
        <v>일반 대중 중 일부는 건강에 영향을 미칠 수 있습니다. 민감한 그룹의 구성원은 건강에 더 심각한 영향을 미칠 수 있습니다.</v>
      </c>
      <c r="AL215" s="7" t="str">
        <f>IFERROR(__xludf.DUMMYFUNCTION("GoogleTranslate(C215, ""en"", ""lo"")"),"ສະມາຊິກບາງຄົນຂອງປະຊາຊົນທົ່ວໄປອາດຈະປະສົບຜົນກະທົບດ້ານສຸຂະພາບ;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f>
        <v>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v>
      </c>
      <c r="AM215" s="7" t="str">
        <f>IFERROR(__xludf.DUMMYFUNCTION("GoogleTranslate(C215, ""en"", ""lv"")"),"Dažiem plašas sabiedrības locekļiem var rasties ietekme uz veselību; jutīgu grupu locekļi var izjust nopietnāku ietekmi uz veselību.")</f>
        <v>Dažiem plašas sabiedrības locekļiem var rasties ietekme uz veselību; jutīgu grupu locekļi var izjust nopietnāku ietekmi uz veselību.</v>
      </c>
      <c r="AN215" s="7" t="str">
        <f>IFERROR(__xludf.DUMMYFUNCTION("GoogleTranslate(C215, ""en"", ""lt"")"),"Kai kurie plačiosios visuomenės nariai gali patirti poveikį sveikatai; jautrių grupių nariai gali patirti rimtesnį poveikį sveikatai.")</f>
        <v>Kai kurie plačiosios visuomenės nariai gali patirti poveikį sveikatai; jautrių grupių nariai gali patirti rimtesnį poveikį sveikatai.</v>
      </c>
      <c r="AO215" s="7" t="str">
        <f>IFERROR(__xludf.DUMMYFUNCTION("GoogleTranslate(C215, ""en"", ""mk"")"),"Некои членови на општата јавност може да доживеат здравствени ефекти; членовите на чувствителните групи може да доживеат посериозни здравствени ефекти.")</f>
        <v>Некои членови на општата јавност може да доживеат здравствени ефекти; членовите на чувствителните групи може да доживеат посериозни здравствени ефекти.</v>
      </c>
      <c r="AP215" s="7" t="str">
        <f>IFERROR(__xludf.DUMMYFUNCTION("GoogleTranslate(C215, ""en"", ""ms"")"),"Sesetengah orang awam mungkin mengalami kesan kesihatan; ahli kumpulan sensitif mungkin mengalami kesan kesihatan yang lebih serius.")</f>
        <v>Sesetengah orang awam mungkin mengalami kesan kesihatan; ahli kumpulan sensitif mungkin mengalami kesan kesihatan yang lebih serius.</v>
      </c>
      <c r="AQ215" s="7" t="str">
        <f>IFERROR(__xludf.DUMMYFUNCTION("GoogleTranslate(C215, ""en"", ""ml"")"),"പൊതുജനങ്ങളിൽ ചിലർക്ക് ആരോഗ്യപരമായ പ്രത്യാഘാതങ്ങൾ ഉണ്ടായേക്കാം; സെൻസിറ്റീവ് ഗ്രൂപ്പുകളിലെ അംഗങ്ങൾ കൂടുതൽ ഗുരുതരമായ ആരോഗ്യപ്രശ്നങ്ങൾ അനുഭവിച്ചേക്കാം.")</f>
        <v>പൊതുജനങ്ങളിൽ ചിലർക്ക് ആരോഗ്യപരമായ പ്രത്യാഘാതങ്ങൾ ഉണ്ടായേക്കാം; സെൻസിറ്റീവ് ഗ്രൂപ്പുകളിലെ അംഗങ്ങൾ കൂടുതൽ ഗുരുതരമായ ആരോഗ്യപ്രശ്നങ്ങൾ അനുഭവിച്ചേക്കാം.</v>
      </c>
      <c r="AR215" s="7" t="str">
        <f>IFERROR(__xludf.DUMMYFUNCTION("GoogleTranslate(C215, ""en"", ""mr"")"),"सामान्य लोकांच्या काही सदस्यांना आरोग्यावर परिणाम होऊ शकतात; संवेदनशील गटातील सदस्यांना आरोग्यावर अधिक गंभीर परिणाम होऊ शकतात.")</f>
        <v>सामान्य लोकांच्या काही सदस्यांना आरोग्यावर परिणाम होऊ शकतात; संवेदनशील गटातील सदस्यांना आरोग्यावर अधिक गंभीर परिणाम होऊ शकतात.</v>
      </c>
      <c r="AS215" s="7" t="str">
        <f>IFERROR(__xludf.DUMMYFUNCTION("GoogleTranslate(C215, ""en"", ""mn"")"),"Олон нийтийн зарим гишүүд эрүүл мэндэд сөрөг нөлөө үзүүлж болзошгүй; мэдрэмтгий бүлгийн гишүүд эрүүл мэндэд илүү ноцтой нөлөө үзүүлж болзошгүй.")</f>
        <v>Олон нийтийн зарим гишүүд эрүүл мэндэд сөрөг нөлөө үзүүлж болзошгүй; мэдрэмтгий бүлгийн гишүүд эрүүл мэндэд илүү ноцтой нөлөө үзүүлж болзошгүй.</v>
      </c>
      <c r="AT215" s="7" t="str">
        <f>IFERROR(__xludf.DUMMYFUNCTION("GoogleTranslate(C215, ""en"", ""ne"")"),"सामान्य जनताका केही सदस्यहरूले स्वास्थ्य प्रभावहरू अनुभव गर्न सक्छन्; संवेदनशील समूहका सदस्यहरूले थप गम्भीर स्वास्थ्य प्रभावहरू अनुभव गर्न सक्छन्।")</f>
        <v>सामान्य जनताका केही सदस्यहरूले स्वास्थ्य प्रभावहरू अनुभव गर्न सक्छन्; संवेदनशील समूहका सदस्यहरूले थप गम्भीर स्वास्थ्य प्रभावहरू अनुभव गर्न सक्छन्।</v>
      </c>
      <c r="AU215" s="7" t="str">
        <f>IFERROR(__xludf.DUMMYFUNCTION("GoogleTranslate(C215, ""en"", ""nb"")"),"Noen medlemmer av allmennheten kan oppleve helseeffekter; medlemmer av sensitive grupper kan oppleve mer alvorlige helseeffekter.")</f>
        <v>Noen medlemmer av allmennheten kan oppleve helseeffekter; medlemmer av sensitive grupper kan oppleve mer alvorlige helseeffekter.</v>
      </c>
      <c r="AV215" s="7" t="str">
        <f>IFERROR(__xludf.DUMMYFUNCTION("GoogleTranslate(C215, ""en"", ""fa"")"),"برخی از اعضای عموم ممکن است اثرات سلامتی را تجربه کنند. اعضای گروه های حساس ممکن است اثرات جدی تری بر سلامتی داشته باشند.")</f>
        <v>برخی از اعضای عموم ممکن است اثرات سلامتی را تجربه کنند. اعضای گروه های حساس ممکن است اثرات جدی تری بر سلامتی داشته باشند.</v>
      </c>
      <c r="AW215" s="7" t="str">
        <f>IFERROR(__xludf.DUMMYFUNCTION("GoogleTranslate(C215, ""en"", ""pl"")"),"Niektórzy członkowie społeczeństwa mogą doświadczyć skutków zdrowotnych; członkowie grup wrażliwych mogą doświadczyć poważniejszych skutków zdrowotnych.")</f>
        <v>Niektórzy członkowie społeczeństwa mogą doświadczyć skutków zdrowotnych; członkowie grup wrażliwych mogą doświadczyć poważniejszych skutków zdrowotnych.</v>
      </c>
      <c r="AX215" s="7" t="str">
        <f>IFERROR(__xludf.DUMMYFUNCTION("GoogleTranslate(C215, ""en"", ""pt"")"),"Alguns membros do público em geral podem sofrer efeitos na saúde; membros de grupos sensíveis podem sofrer efeitos mais graves para a saúde.")</f>
        <v>Alguns membros do público em geral podem sofrer efeitos na saúde; membros de grupos sensíveis podem sofrer efeitos mais graves para a saúde.</v>
      </c>
      <c r="AY215" s="7" t="str">
        <f>IFERROR(__xludf.DUMMYFUNCTION("GoogleTranslate(C215, ""en"", ""ro"")"),"Unii membri ai publicului larg pot avea efecte asupra sănătății; membrii grupurilor sensibile pot avea efecte mai grave asupra sănătății.")</f>
        <v>Unii membri ai publicului larg pot avea efecte asupra sănătății; membrii grupurilor sensibile pot avea efecte mai grave asupra sănătății.</v>
      </c>
      <c r="AZ215" s="7" t="str">
        <f>IFERROR(__xludf.DUMMYFUNCTION("GoogleTranslate(C215, ""en"", ""ru"")"),"Некоторые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f>
        <v>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v>
      </c>
      <c r="BA215" s="7" t="str">
        <f>IFERROR(__xludf.DUMMYFUNCTION("GoogleTranslate(C215, ""en"", ""sr"")"),"Неки припадници опште јавности могу имати здравствене последице; припадници осетљивих група могу имати озбиљније здравствене последице.")</f>
        <v>Неки припадници опште јавности могу имати здравствене последице; припадници осетљивих група могу имати озбиљније здравствене последице.</v>
      </c>
      <c r="BB215" s="7" t="str">
        <f>IFERROR(__xludf.DUMMYFUNCTION("GoogleTranslate(C215, ""en"", ""si"")"),"සාමාන්‍ය ජනතාවගේ සමහර සාමාජිකයින්ට සෞඛ්‍ය බලපෑම් ඇති විය හැක; සංවේදී කණ්ඩායම්වල සාමාජිකයින්ට වඩාත් බරපතල සෞඛ්ය බලපෑම් ඇති විය හැක.")</f>
        <v>සාමාන්‍ය ජනතාවගේ සමහර සාමාජිකයින්ට සෞඛ්‍ය බලපෑම් ඇති විය හැක; සංවේදී කණ්ඩායම්වල සාමාජිකයින්ට වඩාත් බරපතල සෞඛ්ය බලපෑම් ඇති විය හැක.</v>
      </c>
      <c r="BC215" s="7" t="str">
        <f>IFERROR(__xludf.DUMMYFUNCTION("GoogleTranslate(C215, ""en"", ""sk"")"),"Niektorí členovia širokej verejnosti môžu pociťovať zdravotné účinky; členovia citlivých skupín môžu pociťovať vážnejšie zdravotné účinky.")</f>
        <v>Niektorí členovia širokej verejnosti môžu pociťovať zdravotné účinky; členovia citlivých skupín môžu pociťovať vážnejšie zdravotné účinky.</v>
      </c>
      <c r="BD215" s="7" t="str">
        <f>IFERROR(__xludf.DUMMYFUNCTION("GoogleTranslate(C215, ""en"", ""sl"")"),"Nekateri člani širše javnosti lahko občutijo zdravstvene posledice; pripadniki občutljivih skupin imajo lahko resnejše posledice za zdravje.")</f>
        <v>Nekateri člani širše javnosti lahko občutijo zdravstvene posledice; pripadniki občutljivih skupin imajo lahko resnejše posledice za zdravje.</v>
      </c>
      <c r="BE215" s="7" t="str">
        <f>IFERROR(__xludf.DUMMYFUNCTION("GoogleTranslate(C215,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BF215" s="7" t="str">
        <f>IFERROR(__xludf.DUMMYFUNCTION("GoogleTranslate(C215, ""en"", ""sw"")"),"Baadhi ya wananchi kwa ujumla wanaweza kupata madhara ya kiafya; wanachama wa makundi nyeti wanaweza kupata madhara makubwa zaidi ya afya.")</f>
        <v>Baadhi ya wananchi kwa ujumla wanaweza kupata madhara ya kiafya; wanachama wa makundi nyeti wanaweza kupata madhara makubwa zaidi ya afya.</v>
      </c>
      <c r="BG215" s="7" t="str">
        <f>IFERROR(__xludf.DUMMYFUNCTION("GoogleTranslate(C215, ""en"", ""sv"")"),"Vissa medlemmar av allmänheten kan uppleva hälsoeffekter; medlemmar i känsliga grupper kan uppleva allvarligare hälsoeffekter.")</f>
        <v>Vissa medlemmar av allmänheten kan uppleva hälsoeffekter; medlemmar i känsliga grupper kan uppleva allvarligare hälsoeffekter.</v>
      </c>
      <c r="BH215" s="7" t="str">
        <f>IFERROR(__xludf.DUMMYFUNCTION("GoogleTranslate(C215, ""en"", ""te"")"),"సాధారణ ప్రజలలోని కొందరు సభ్యులు ఆరోగ్య ప్రభావాలను అనుభవించవచ్చు; సున్నితమైన సమూహాల సభ్యులు మరింత తీవ్రమైన ఆరోగ్య ప్రభావాలను అనుభవించవచ్చు.")</f>
        <v>సాధారణ ప్రజలలోని కొందరు సభ్యులు ఆరోగ్య ప్రభావాలను అనుభవించవచ్చు; సున్నితమైన సమూహాల సభ్యులు మరింత తీవ్రమైన ఆరోగ్య ప్రభావాలను అనుభవించవచ్చు.</v>
      </c>
      <c r="BI215" s="7" t="str">
        <f>IFERROR(__xludf.DUMMYFUNCTION("GoogleTranslate(C215, ""en"", ""th"")"),"ประชาชนทั่วไปบางคนอาจได้รับผลกระทบต่อสุขภาพ สมาชิกของกลุ่มที่มีความอ่อนไหวอาจได้รับผลกระทบต่อสุขภาพที่รุนแรงยิ่งขึ้น")</f>
        <v>ประชาชนทั่วไปบางคนอาจได้รับผลกระทบต่อสุขภาพ สมาชิกของกลุ่มที่มีความอ่อนไหวอาจได้รับผลกระทบต่อสุขภาพที่รุนแรงยิ่งขึ้น</v>
      </c>
      <c r="BJ215" s="7" t="str">
        <f>IFERROR(__xludf.DUMMYFUNCTION("GoogleTranslate(C215, ""en"", ""tr"")"),"Halkın bazı üyeleri sağlıkla ilgili etkilerle karşılaşabilir; hassas grupların üyeleri daha ciddi sağlık etkileriyle karşılaşabilir.")</f>
        <v>Halkın bazı üyeleri sağlıkla ilgili etkilerle karşılaşabilir; hassas grupların üyeleri daha ciddi sağlık etkileriyle karşılaşabilir.</v>
      </c>
      <c r="BK215" s="7" t="str">
        <f>IFERROR(__xludf.DUMMYFUNCTION("GoogleTranslate(C215, ""en"", ""uk"")"),"Деякі представники широкої громадськості можуть відчувати вплив на здоров'я; члени чутливих груп можуть мати більш серйозні наслідки для здоров'я.")</f>
        <v>Деякі представники широкої громадськості можуть відчувати вплив на здоров'я; члени чутливих груп можуть мати більш серйозні наслідки для здоров'я.</v>
      </c>
      <c r="BL215" s="7" t="str">
        <f>IFERROR(__xludf.DUMMYFUNCTION("GoogleTranslate(C215, ""en"", ""zu"")"),"Amanye amalungu omphakathi jikelele angase abe nemiphumela yezempilo; amalungu amaqembu azwelayo angase abe nemiphumela emibi kakhulu yezempilo.")</f>
        <v>Amanye amalungu omphakathi jikelele angase abe nemiphumela yezempilo; amalungu amaqembu azwelayo angase abe nemiphumela emibi kakhulu yezempilo.</v>
      </c>
    </row>
    <row r="216">
      <c r="A216" s="5" t="str">
        <f t="shared" si="1"/>
        <v>Health_alert:_The_risk_of_health_effects_is_increased_for_everyone.</v>
      </c>
      <c r="B216" s="4" t="s">
        <v>254</v>
      </c>
      <c r="C216" s="4" t="s">
        <v>254</v>
      </c>
      <c r="D216" s="7" t="str">
        <f>IFERROR(__xludf.DUMMYFUNCTION("GoogleTranslate(C216, ""en"", ""es"")"),"Alerta sanitaria: El riesgo de efectos sobre la salud aumenta para todos.")</f>
        <v>Alerta sanitaria: El riesgo de efectos sobre la salud aumenta para todos.</v>
      </c>
      <c r="E216" s="7" t="str">
        <f>IFERROR(__xludf.DUMMYFUNCTION("GoogleTranslate(C216, ""en"", ""ar"")"),"تنبيه صحي: يزداد خطر حدوث آثار صحية على الجميع.")</f>
        <v>تنبيه صحي: يزداد خطر حدوث آثار صحية على الجميع.</v>
      </c>
      <c r="F216" s="7" t="str">
        <f>IFERROR(__xludf.DUMMYFUNCTION("GoogleTranslate(C216, ""en"", ""hy"")"),"Առողջության նախազգուշացում. առողջության վրա ազդեցության ռիսկը մեծանում է բոլորի համար:")</f>
        <v>Առողջության նախազգուշացում. առողջության վրա ազդեցության ռիսկը մեծանում է բոլորի համար:</v>
      </c>
      <c r="G216" s="7" t="str">
        <f>IFERROR(__xludf.DUMMYFUNCTION("GoogleTranslate(C216, ""en"", ""vi"")"),"Cảnh báo về sức khỏe: Nguy cơ ảnh hưởng đến sức khỏe ngày càng tăng đối với mọi người.")</f>
        <v>Cảnh báo về sức khỏe: Nguy cơ ảnh hưởng đến sức khỏe ngày càng tăng đối với mọi người.</v>
      </c>
      <c r="H216" s="7" t="str">
        <f>IFERROR(__xludf.DUMMYFUNCTION("GoogleTranslate(C216, ""en"", ""az"")"),"Sağlamlıq xəbərdarlığı: Sağlamlığa təsir riski hər kəs üçün artır.")</f>
        <v>Sağlamlıq xəbərdarlığı: Sağlamlığa təsir riski hər kəs üçün artır.</v>
      </c>
      <c r="I216" s="7" t="str">
        <f>IFERROR(__xludf.DUMMYFUNCTION("GoogleTranslate(C216, ""en"", ""eu"")"),"Osasun alerta: osasun-ondorioak izateko arriskua areagotu egiten da guztiontzat.")</f>
        <v>Osasun alerta: osasun-ondorioak izateko arriskua areagotu egiten da guztiontzat.</v>
      </c>
      <c r="J216" s="7" t="str">
        <f>IFERROR(__xludf.DUMMYFUNCTION("GoogleTranslate(C216, ""en"", ""be"")"),"Папярэджанне пра здароўе: рызыка наступстваў для здароўя павышаецца для ўсіх.")</f>
        <v>Папярэджанне пра здароўе: рызыка наступстваў для здароўя павышаецца для ўсіх.</v>
      </c>
      <c r="K216" s="7" t="str">
        <f>IFERROR(__xludf.DUMMYFUNCTION("GoogleTranslate(C216, ""en"", ""bn"")"),"স্বাস্থ্য সতর্কতা: প্রত্যেকের জন্য স্বাস্থ্যের প্রভাবের ঝুঁকি বেড়ে যায়।")</f>
        <v>স্বাস্থ্য সতর্কতা: প্রত্যেকের জন্য স্বাস্থ্যের প্রভাবের ঝুঁকি বেড়ে যায়।</v>
      </c>
      <c r="L216" s="7" t="str">
        <f>IFERROR(__xludf.DUMMYFUNCTION("GoogleTranslate(C216, ""en"", ""bg"")"),"Здравен сигнал: Рискът от последици за здравето е повишен за всички.")</f>
        <v>Здравен сигнал: Рискът от последици за здравето е повишен за всички.</v>
      </c>
      <c r="M216" s="7" t="str">
        <f>IFERROR(__xludf.DUMMYFUNCTION("GoogleTranslate(C216, ""en"", ""my"")"),"ကျန်းမာရေးသတိပေးချက်- လူတိုင်းအတွက် ကျန်းမာရေးအကျိုးသက်ရောက်မှုအန္တရာယ် တိုးလာပါသည်။")</f>
        <v>ကျန်းမာရေးသတိပေးချက်- လူတိုင်းအတွက် ကျန်းမာရေးအကျိုးသက်ရောက်မှုအန္တရာယ် တိုးလာပါသည်။</v>
      </c>
      <c r="N216" s="7" t="str">
        <f>IFERROR(__xludf.DUMMYFUNCTION("GoogleTranslate(C216, ""en"", ""ca"")"),"Alerta sanitària: augmenta el risc d'efectes sobre la salut per a tothom.")</f>
        <v>Alerta sanitària: augmenta el risc d'efectes sobre la salut per a tothom.</v>
      </c>
      <c r="O216" s="7" t="str">
        <f>IFERROR(__xludf.DUMMYFUNCTION("GoogleTranslate(C216, ""en"", ""zh-cn"")"),"健康警报：每个人的健康影响风险都会增加。")</f>
        <v>健康警报：每个人的健康影响风险都会增加。</v>
      </c>
      <c r="P216" s="7" t="str">
        <f>IFERROR(__xludf.DUMMYFUNCTION("GoogleTranslate(C216, ""en"", ""zh-TW"")"),"健康警報：每個人的健康影響風險都會增加。")</f>
        <v>健康警報：每個人的健康影響風險都會增加。</v>
      </c>
      <c r="Q216" s="7" t="str">
        <f>IFERROR(__xludf.DUMMYFUNCTION("GoogleTranslate(C216, ""en"", ""hr"")"),"Zdravstveno upozorenje: Rizik od zdravstvenih učinaka je povećan za sve.")</f>
        <v>Zdravstveno upozorenje: Rizik od zdravstvenih učinaka je povećan za sve.</v>
      </c>
      <c r="R216" s="7" t="str">
        <f>IFERROR(__xludf.DUMMYFUNCTION("GoogleTranslate(C216, ""en"", ""cs"")"),"Zdravotní upozornění: Riziko zdravotních účinků je pro každého zvýšené.")</f>
        <v>Zdravotní upozornění: Riziko zdravotních účinků je pro každého zvýšené.</v>
      </c>
      <c r="S216" s="7" t="str">
        <f>IFERROR(__xludf.DUMMYFUNCTION("GoogleTranslate(C216, ""en"", ""da"")"),"Sundhedsalarm: Risikoen for helbredspåvirkninger er øget for alle.")</f>
        <v>Sundhedsalarm: Risikoen for helbredspåvirkninger er øget for alle.</v>
      </c>
      <c r="T216" s="7" t="str">
        <f>IFERROR(__xludf.DUMMYFUNCTION("GoogleTranslate(C216, ""en"", ""nl"")"),"Gezondheidswaarschuwing: Het risico op gezondheidseffecten is voor iedereen groter.")</f>
        <v>Gezondheidswaarschuwing: Het risico op gezondheidseffecten is voor iedereen groter.</v>
      </c>
      <c r="U216" s="7" t="str">
        <f>IFERROR(__xludf.DUMMYFUNCTION("GoogleTranslate(C216, ""en"", ""et"")"),"Tervisehoiatus: tervisemõjude oht on kõigi jaoks suurenenud.")</f>
        <v>Tervisehoiatus: tervisemõjude oht on kõigi jaoks suurenenud.</v>
      </c>
      <c r="V216" s="5" t="str">
        <f t="shared" si="3"/>
        <v>Health alert: The risk of health effects is increased for everyone.</v>
      </c>
      <c r="W216" s="7" t="str">
        <f>IFERROR(__xludf.DUMMYFUNCTION("GoogleTranslate(C216, ""en"", ""fi"")"),"Terveysvaroitus: Terveysvaikutusten riski on lisääntynyt kaikilla.")</f>
        <v>Terveysvaroitus: Terveysvaikutusten riski on lisääntynyt kaikilla.</v>
      </c>
      <c r="X216" s="7" t="str">
        <f>IFERROR(__xludf.DUMMYFUNCTION("GoogleTranslate(C216, ""en"", ""fr"")"),"Alerte santé : Le risque d’effets sur la santé est accru pour tout le monde.")</f>
        <v>Alerte santé : Le risque d’effets sur la santé est accru pour tout le monde.</v>
      </c>
      <c r="Y216" s="7" t="str">
        <f>IFERROR(__xludf.DUMMYFUNCTION("GoogleTranslate(C216, ""en"", ""de"")"),"Gesundheitswarnung: Das Risiko gesundheitlicher Auswirkungen ist für alle erhöht.")</f>
        <v>Gesundheitswarnung: Das Risiko gesundheitlicher Auswirkungen ist für alle erhöht.</v>
      </c>
      <c r="Z216" s="7" t="str">
        <f>IFERROR(__xludf.DUMMYFUNCTION("GoogleTranslate(C216, ""en"", ""el"")"),"Προειδοποίηση για την υγεία: Ο κίνδυνος επιπτώσεων στην υγεία είναι αυξημένος για όλους.")</f>
        <v>Προειδοποίηση για την υγεία: Ο κίνδυνος επιπτώσεων στην υγεία είναι αυξημένος για όλους.</v>
      </c>
      <c r="AA216" s="7" t="str">
        <f>IFERROR(__xludf.DUMMYFUNCTION("GoogleTranslate(C216, ""en"", ""iw"")"),"התראת בריאות: הסיכון להשפעות בריאותיות מוגבר עבור כולם.")</f>
        <v>התראת בריאות: הסיכון להשפעות בריאותיות מוגבר עבור כולם.</v>
      </c>
      <c r="AB216" s="7" t="str">
        <f>IFERROR(__xludf.DUMMYFUNCTION("GoogleTranslate(C216, ""en"", ""hi"")"),"स्वास्थ्य चेतावनी: हर किसी के स्वास्थ्य पर प्रभाव पड़ने का खतरा बढ़ गया है।")</f>
        <v>स्वास्थ्य चेतावनी: हर किसी के स्वास्थ्य पर प्रभाव पड़ने का खतरा बढ़ गया है।</v>
      </c>
      <c r="AC216" s="7" t="str">
        <f>IFERROR(__xludf.DUMMYFUNCTION("GoogleTranslate(C216, ""en"", ""hu"")"),"Egészségügyi figyelmeztetés: Az egészségügyi hatások kockázata mindenki számára megnövekedett.")</f>
        <v>Egészségügyi figyelmeztetés: Az egészségügyi hatások kockázata mindenki számára megnövekedett.</v>
      </c>
      <c r="AD216" s="7" t="str">
        <f>IFERROR(__xludf.DUMMYFUNCTION("GoogleTranslate(C216, ""en"", ""is"")"),"Heilsuviðvörun: Hættan á heilsufarsáhrifum er aukin fyrir alla.")</f>
        <v>Heilsuviðvörun: Hættan á heilsufarsáhrifum er aukin fyrir alla.</v>
      </c>
      <c r="AE216" s="7" t="str">
        <f>IFERROR(__xludf.DUMMYFUNCTION("GoogleTranslate(C216, ""en"", ""id"")"),"Peringatan kesehatan: Risiko dampak kesehatan meningkat pada semua orang.")</f>
        <v>Peringatan kesehatan: Risiko dampak kesehatan meningkat pada semua orang.</v>
      </c>
      <c r="AF216" s="7" t="str">
        <f>IFERROR(__xludf.DUMMYFUNCTION("GoogleTranslate(C216, ""en"", ""in"")"),"Peringatan kesehatan: Risiko dampak kesehatan meningkat pada semua orang.")</f>
        <v>Peringatan kesehatan: Risiko dampak kesehatan meningkat pada semua orang.</v>
      </c>
      <c r="AG216" s="7" t="str">
        <f>IFERROR(__xludf.DUMMYFUNCTION("GoogleTranslate(C216, ""en"", ""it"")"),"Avviso sanitario: il rischio di effetti sulla salute aumenta per tutti.")</f>
        <v>Avviso sanitario: il rischio di effetti sulla salute aumenta per tutti.</v>
      </c>
      <c r="AH216" s="7" t="str">
        <f>IFERROR(__xludf.DUMMYFUNCTION("GoogleTranslate(C216, ""en"", ""ja"")"),"健康に関する警告: 健康影響のリスクは誰にとっても高まります。")</f>
        <v>健康に関する警告: 健康影響のリスクは誰にとっても高まります。</v>
      </c>
      <c r="AI216" s="7" t="str">
        <f>IFERROR(__xludf.DUMMYFUNCTION("GoogleTranslate(C216, ""en"", ""kn"")"),"ಆರೋಗ್ಯ ಎಚ್ಚರಿಕೆ: ಆರೋಗ್ಯದ ಪರಿಣಾಮಗಳ ಅಪಾಯವು ಎಲ್ಲರಿಗೂ ಹೆಚ್ಚಾಗುತ್ತದೆ.")</f>
        <v>ಆರೋಗ್ಯ ಎಚ್ಚರಿಕೆ: ಆರೋಗ್ಯದ ಪರಿಣಾಮಗಳ ಅಪಾಯವು ಎಲ್ಲರಿಗೂ ಹೆಚ್ಚಾಗುತ್ತದೆ.</v>
      </c>
      <c r="AJ216" s="7" t="str">
        <f>IFERROR(__xludf.DUMMYFUNCTION("GoogleTranslate(C216, ""en"", ""km"")"),"ការជូនដំណឹងអំពីសុខភាព៖ ហានិភ័យនៃផលប៉ះពាល់សុខភាពត្រូវបានកើនឡើងសម្រាប់មនុស្សគ្រប់គ្នា។")</f>
        <v>ការជូនដំណឹងអំពីសុខភាព៖ ហានិភ័យនៃផលប៉ះពាល់សុខភាពត្រូវបានកើនឡើងសម្រាប់មនុស្សគ្រប់គ្នា។</v>
      </c>
      <c r="AK216" s="7" t="str">
        <f>IFERROR(__xludf.DUMMYFUNCTION("GoogleTranslate(C216, ""en"", ""ko"")"),"건강 경고: 건강에 영향을 미칠 위험은 모든 사람에게 증가합니다.")</f>
        <v>건강 경고: 건강에 영향을 미칠 위험은 모든 사람에게 증가합니다.</v>
      </c>
      <c r="AL216" s="7" t="str">
        <f>IFERROR(__xludf.DUMMYFUNCTION("GoogleTranslate(C216, ""en"", ""lo"")"),"ການເຕືອນໄພສຸຂະພາບ: ຄວາມສ່ຽງຂອງຜົນກະທົບດ້ານສຸຂະພາບແມ່ນເພີ່ມຂຶ້ນສໍາລັບທຸກຄົນ.")</f>
        <v>ການເຕືອນໄພສຸຂະພາບ: ຄວາມສ່ຽງຂອງຜົນກະທົບດ້ານສຸຂະພາບແມ່ນເພີ່ມຂຶ້ນສໍາລັບທຸກຄົນ.</v>
      </c>
      <c r="AM216" s="7" t="str">
        <f>IFERROR(__xludf.DUMMYFUNCTION("GoogleTranslate(C216, ""en"", ""lv"")"),"Brīdinājums par veselību: Ikvienam ir paaugstināts ietekmes uz veselību risks.")</f>
        <v>Brīdinājums par veselību: Ikvienam ir paaugstināts ietekmes uz veselību risks.</v>
      </c>
      <c r="AN216" s="7" t="str">
        <f>IFERROR(__xludf.DUMMYFUNCTION("GoogleTranslate(C216, ""en"", ""lt"")"),"Įspėjimas apie sveikatą: Poveikio sveikatai rizika padidėja visiems.")</f>
        <v>Įspėjimas apie sveikatą: Poveikio sveikatai rizika padidėja visiems.</v>
      </c>
      <c r="AO216" s="7" t="str">
        <f>IFERROR(__xludf.DUMMYFUNCTION("GoogleTranslate(C216, ""en"", ""mk"")"),"Здравствено предупредување: Ризикот од здравствени ефекти е зголемен за секого.")</f>
        <v>Здравствено предупредување: Ризикот од здравствени ефекти е зголемен за секого.</v>
      </c>
      <c r="AP216" s="7" t="str">
        <f>IFERROR(__xludf.DUMMYFUNCTION("GoogleTranslate(C216, ""en"", ""ms"")"),"Amaran kesihatan: Risiko kesan kesihatan meningkat untuk semua orang.")</f>
        <v>Amaran kesihatan: Risiko kesan kesihatan meningkat untuk semua orang.</v>
      </c>
      <c r="AQ216" s="7" t="str">
        <f>IFERROR(__xludf.DUMMYFUNCTION("GoogleTranslate(C216, ""en"", ""ml"")"),"ആരോഗ്യ മുന്നറിയിപ്പ്: ആരോഗ്യപരമായ പ്രത്യാഘാതങ്ങളുടെ സാധ്യത എല്ലാവർക്കും വർധിച്ചിരിക്കുന്നു.")</f>
        <v>ആരോഗ്യ മുന്നറിയിപ്പ്: ആരോഗ്യപരമായ പ്രത്യാഘാതങ്ങളുടെ സാധ്യത എല്ലാവർക്കും വർധിച്ചിരിക്കുന്നു.</v>
      </c>
      <c r="AR216" s="7" t="str">
        <f>IFERROR(__xludf.DUMMYFUNCTION("GoogleTranslate(C216, ""en"", ""mr"")"),"आरोग्य सूचना: प्रत्येकासाठी आरोग्यावर परिणाम होण्याचा धोका वाढला आहे.")</f>
        <v>आरोग्य सूचना: प्रत्येकासाठी आरोग्यावर परिणाम होण्याचा धोका वाढला आहे.</v>
      </c>
      <c r="AS216" s="7" t="str">
        <f>IFERROR(__xludf.DUMMYFUNCTION("GoogleTranslate(C216, ""en"", ""mn"")"),"Эрүүл мэндийн сэрэмжлүүлэг: Эрүүл мэндэд нөлөөлөх эрсдэл хүн бүрийн хувьд нэмэгддэг.")</f>
        <v>Эрүүл мэндийн сэрэмжлүүлэг: Эрүүл мэндэд нөлөөлөх эрсдэл хүн бүрийн хувьд нэмэгддэг.</v>
      </c>
      <c r="AT216" s="7" t="str">
        <f>IFERROR(__xludf.DUMMYFUNCTION("GoogleTranslate(C216, ""en"", ""ne"")"),"स्वास्थ्य सतर्कता: स्वास्थ्य प्रभावहरूको जोखिम सबैको लागि बढेको छ।")</f>
        <v>स्वास्थ्य सतर्कता: स्वास्थ्य प्रभावहरूको जोखिम सबैको लागि बढेको छ।</v>
      </c>
      <c r="AU216" s="7" t="str">
        <f>IFERROR(__xludf.DUMMYFUNCTION("GoogleTranslate(C216, ""en"", ""nb"")"),"Helsevarsling: Risikoen for helseeffekter øker for alle.")</f>
        <v>Helsevarsling: Risikoen for helseeffekter øker for alle.</v>
      </c>
      <c r="AV216" s="7" t="str">
        <f>IFERROR(__xludf.DUMMYFUNCTION("GoogleTranslate(C216, ""en"", ""fa"")"),"هشدار سلامت: خطر عوارض سلامتی برای همه افزایش می یابد.")</f>
        <v>هشدار سلامت: خطر عوارض سلامتی برای همه افزایش می یابد.</v>
      </c>
      <c r="AW216" s="7" t="str">
        <f>IFERROR(__xludf.DUMMYFUNCTION("GoogleTranslate(C216, ""en"", ""pl"")"),"Uwaga zdrowotna: Ryzyko wystąpienia skutków zdrowotnych jest zwiększone u każdego.")</f>
        <v>Uwaga zdrowotna: Ryzyko wystąpienia skutków zdrowotnych jest zwiększone u każdego.</v>
      </c>
      <c r="AX216" s="7" t="str">
        <f>IFERROR(__xludf.DUMMYFUNCTION("GoogleTranslate(C216, ""en"", ""pt"")"),"Alerta de saúde: O risco de efeitos na saúde aumenta para todos.")</f>
        <v>Alerta de saúde: O risco de efeitos na saúde aumenta para todos.</v>
      </c>
      <c r="AY216" s="7" t="str">
        <f>IFERROR(__xludf.DUMMYFUNCTION("GoogleTranslate(C216, ""en"", ""ro"")"),"Alertă de sănătate: Riscul de efecte asupra sănătății este crescut pentru toată lumea.")</f>
        <v>Alertă de sănătate: Riscul de efecte asupra sănătății este crescut pentru toată lumea.</v>
      </c>
      <c r="AZ216" s="7" t="str">
        <f>IFERROR(__xludf.DUMMYFUNCTION("GoogleTranslate(C216, ""en"", ""ru"")"),"Предупреждение о здоровье: риск последствий для здоровья увеличивается для всех.")</f>
        <v>Предупреждение о здоровье: риск последствий для здоровья увеличивается для всех.</v>
      </c>
      <c r="BA216" s="7" t="str">
        <f>IFERROR(__xludf.DUMMYFUNCTION("GoogleTranslate(C216, ""en"", ""sr"")"),"Здравствено упозорење: Ризик од здравствених ефеката је повећан за све.")</f>
        <v>Здравствено упозорење: Ризик од здравствених ефеката је повећан за све.</v>
      </c>
      <c r="BB216" s="7" t="str">
        <f>IFERROR(__xludf.DUMMYFUNCTION("GoogleTranslate(C216, ""en"", ""si"")"),"සෞඛ්‍ය අනතුරු ඇඟවීම: සෞඛ්‍ය බලපෑම් අවදානම සෑම කෙනෙකුටම වැඩි වේ.")</f>
        <v>සෞඛ්‍ය අනතුරු ඇඟවීම: සෞඛ්‍ය බලපෑම් අවදානම සෑම කෙනෙකුටම වැඩි වේ.</v>
      </c>
      <c r="BC216" s="7" t="str">
        <f>IFERROR(__xludf.DUMMYFUNCTION("GoogleTranslate(C216, ""en"", ""sk"")"),"Zdravotné upozornenie: Riziko zdravotných účinkov je zvýšené pre každého.")</f>
        <v>Zdravotné upozornenie: Riziko zdravotných účinkov je zvýšené pre každého.</v>
      </c>
      <c r="BD216" s="7" t="str">
        <f>IFERROR(__xludf.DUMMYFUNCTION("GoogleTranslate(C216, ""en"", ""sl"")"),"Zdravstveno opozorilo: Tveganje za učinke na zdravje je povečano za vse.")</f>
        <v>Zdravstveno opozorilo: Tveganje za učinke na zdravje je povečano za vse.</v>
      </c>
      <c r="BE216" s="7" t="str">
        <f>IFERROR(__xludf.DUMMYFUNCTION("GoogleTranslate(C216, ""en"", ""es"")"),"Alerta sanitaria: El riesgo de efectos sobre la salud aumenta para todos.")</f>
        <v>Alerta sanitaria: El riesgo de efectos sobre la salud aumenta para todos.</v>
      </c>
      <c r="BF216" s="7" t="str">
        <f>IFERROR(__xludf.DUMMYFUNCTION("GoogleTranslate(C216, ""en"", ""sw"")"),"Tahadhari ya kiafya: Hatari ya athari za kiafya huongezeka kwa kila mtu.")</f>
        <v>Tahadhari ya kiafya: Hatari ya athari za kiafya huongezeka kwa kila mtu.</v>
      </c>
      <c r="BG216" s="7" t="str">
        <f>IFERROR(__xludf.DUMMYFUNCTION("GoogleTranslate(C216, ""en"", ""sv"")"),"Hälsovarning: Risken för hälsoeffekter ökar för alla.")</f>
        <v>Hälsovarning: Risken för hälsoeffekter ökar för alla.</v>
      </c>
      <c r="BH216" s="7" t="str">
        <f>IFERROR(__xludf.DUMMYFUNCTION("GoogleTranslate(C216, ""en"", ""te"")"),"ఆరోగ్య హెచ్చరిక: ఆరోగ్య ప్రభావాల ప్రమాదం అందరికీ పెరుగుతుంది.")</f>
        <v>ఆరోగ్య హెచ్చరిక: ఆరోగ్య ప్రభావాల ప్రమాదం అందరికీ పెరుగుతుంది.</v>
      </c>
      <c r="BI216" s="7" t="str">
        <f>IFERROR(__xludf.DUMMYFUNCTION("GoogleTranslate(C216, ""en"", ""th"")"),"การแจ้งเตือนด้านสุขภาพ: ความเสี่ยงต่อผลกระทบต่อสุขภาพเพิ่มขึ้นสำหรับทุกคน")</f>
        <v>การแจ้งเตือนด้านสุขภาพ: ความเสี่ยงต่อผลกระทบต่อสุขภาพเพิ่มขึ้นสำหรับทุกคน</v>
      </c>
      <c r="BJ216" s="7" t="str">
        <f>IFERROR(__xludf.DUMMYFUNCTION("GoogleTranslate(C216, ""en"", ""tr"")"),"Sağlık uyarısı: Sağlık etkileri riski herkes için artar.")</f>
        <v>Sağlık uyarısı: Sağlık etkileri riski herkes için artar.</v>
      </c>
      <c r="BK216" s="7" t="str">
        <f>IFERROR(__xludf.DUMMYFUNCTION("GoogleTranslate(C216, ""en"", ""uk"")"),"Попередження про здоров’я: ризики для здоров’я підвищуються для всіх.")</f>
        <v>Попередження про здоров’я: ризики для здоров’я підвищуються для всіх.</v>
      </c>
      <c r="BL216" s="7" t="str">
        <f>IFERROR(__xludf.DUMMYFUNCTION("GoogleTranslate(C216, ""en"", ""zu"")"),"Isexwayiso sezempilo: Ingozi yemiphumela yezempilo iyanda kuwo wonke umuntu.")</f>
        <v>Isexwayiso sezempilo: Ingozi yemiphumela yezempilo iyanda kuwo wonke umuntu.</v>
      </c>
    </row>
    <row r="217">
      <c r="A217" s="5" t="str">
        <f t="shared" si="1"/>
        <v>Health_warning_of_emergency_conditions:_everyone_is_more_likely_to_be_affected.</v>
      </c>
      <c r="B217" s="4" t="s">
        <v>255</v>
      </c>
      <c r="C217" s="4" t="s">
        <v>255</v>
      </c>
      <c r="D217" s="7" t="str">
        <f>IFERROR(__xludf.DUMMYFUNCTION("GoogleTranslate(C217, ""en"", ""es"")"),"Advertencia sanitaria de condiciones de emergencia: todos tienen más probabilidades de verse afectados.")</f>
        <v>Advertencia sanitaria de condiciones de emergencia: todos tienen más probabilidades de verse afectados.</v>
      </c>
      <c r="E217" s="7" t="str">
        <f>IFERROR(__xludf.DUMMYFUNCTION("GoogleTranslate(C217, ""en"", ""ar"")"),"التحذير الصحي من الظروف الطارئة: الجميع أكثر عرضة للتأثر.")</f>
        <v>التحذير الصحي من الظروف الطارئة: الجميع أكثر عرضة للتأثر.</v>
      </c>
      <c r="F217" s="7" t="str">
        <f>IFERROR(__xludf.DUMMYFUNCTION("GoogleTranslate(C217, ""en"", ""hy"")"),"Առողջապահական նախազգուշացում արտակարգ իրավիճակների մասին. բոլորը ավելի հավանական է, որ տուժեն:")</f>
        <v>Առողջապահական նախազգուշացում արտակարգ իրավիճակների մասին. բոլորը ավելի հավանական է, որ տուժեն:</v>
      </c>
      <c r="G217" s="7" t="str">
        <f>IFERROR(__xludf.DUMMYFUNCTION("GoogleTranslate(C217, ""en"", ""vi"")"),"Cảnh báo sức khỏe về tình trạng khẩn cấp: mọi người đều có nhiều khả năng bị ảnh hưởng hơn.")</f>
        <v>Cảnh báo sức khỏe về tình trạng khẩn cấp: mọi người đều có nhiều khả năng bị ảnh hưởng hơn.</v>
      </c>
      <c r="H217" s="7" t="str">
        <f>IFERROR(__xludf.DUMMYFUNCTION("GoogleTranslate(C217, ""en"", ""az"")"),"Fövqəladə vəziyyətlər barədə sağlamlıq xəbərdarlığı: hər kəsin təsirlənmə ehtimalı daha yüksəkdir.")</f>
        <v>Fövqəladə vəziyyətlər barədə sağlamlıq xəbərdarlığı: hər kəsin təsirlənmə ehtimalı daha yüksəkdir.</v>
      </c>
      <c r="I217" s="7" t="str">
        <f>IFERROR(__xludf.DUMMYFUNCTION("GoogleTranslate(C217, ""en"", ""eu"")"),"Larrialdi-baldintzei buruzko osasun-abisua: denek gehiago dute kaltetua.")</f>
        <v>Larrialdi-baldintzei buruzko osasun-abisua: denek gehiago dute kaltetua.</v>
      </c>
      <c r="J217" s="7" t="str">
        <f>IFERROR(__xludf.DUMMYFUNCTION("GoogleTranslate(C217, ""en"", ""be"")"),"Медыцынскае папярэджанне аб надзвычайных сітуацыях: больш шанцаў пацярпець для ўсіх.")</f>
        <v>Медыцынскае папярэджанне аб надзвычайных сітуацыях: больш шанцаў пацярпець для ўсіх.</v>
      </c>
      <c r="K217" s="7" t="str">
        <f>IFERROR(__xludf.DUMMYFUNCTION("GoogleTranslate(C217, ""en"", ""bn"")"),"জরুরি অবস্থার স্বাস্থ্য সতর্কতা: প্রত্যেকেরই আক্রান্ত হওয়ার সম্ভাবনা বেশি।")</f>
        <v>জরুরি অবস্থার স্বাস্থ্য সতর্কতা: প্রত্যেকেরই আক্রান্ত হওয়ার সম্ভাবনা বেশি।</v>
      </c>
      <c r="L217" s="7" t="str">
        <f>IFERROR(__xludf.DUMMYFUNCTION("GoogleTranslate(C217, ""en"", ""bg"")"),"Здравно предупреждение за извънредни ситуации: всеки е по-вероятно да бъде засегнат.")</f>
        <v>Здравно предупреждение за извънредни ситуации: всеки е по-вероятно да бъде засегнат.</v>
      </c>
      <c r="M217" s="7" t="str">
        <f>IFERROR(__xludf.DUMMYFUNCTION("GoogleTranslate(C217, ""en"", ""my"")"),"အရေးပေါ်အခြေအနေများအတွက် ကျန်းမာရေးသတိပေးချက်- လူတိုင်းသည် ထိခိုက်နိုင်ခြေပိုများသည်။")</f>
        <v>အရေးပေါ်အခြေအနေများအတွက် ကျန်းမာရေးသတိပေးချက်- လူတိုင်းသည် ထိခိုက်နိုင်ခြေပိုများသည်။</v>
      </c>
      <c r="N217" s="7" t="str">
        <f>IFERROR(__xludf.DUMMYFUNCTION("GoogleTranslate(C217, ""en"", ""ca"")"),"Alerta sanitària de condicions d'emergència: tothom és més probable que es vegi afectat.")</f>
        <v>Alerta sanitària de condicions d'emergència: tothom és més probable que es vegi afectat.</v>
      </c>
      <c r="O217" s="7" t="str">
        <f>IFERROR(__xludf.DUMMYFUNCTION("GoogleTranslate(C217, ""en"", ""zh-cn"")"),"紧急情况健康警告：每个人都更有可能受到影响。")</f>
        <v>紧急情况健康警告：每个人都更有可能受到影响。</v>
      </c>
      <c r="P217" s="7" t="str">
        <f>IFERROR(__xludf.DUMMYFUNCTION("GoogleTranslate(C217, ""en"", ""zh-TW"")"),"緊急情況健康警告：每個人都更有可能受到影響。")</f>
        <v>緊急情況健康警告：每個人都更有可能受到影響。</v>
      </c>
      <c r="Q217" s="7" t="str">
        <f>IFERROR(__xludf.DUMMYFUNCTION("GoogleTranslate(C217, ""en"", ""hr"")"),"Zdravstveno upozorenje o hitnim stanjima: veća je vjerojatnost da će svi biti pogođeni.")</f>
        <v>Zdravstveno upozorenje o hitnim stanjima: veća je vjerojatnost da će svi biti pogođeni.</v>
      </c>
      <c r="R217" s="7" t="str">
        <f>IFERROR(__xludf.DUMMYFUNCTION("GoogleTranslate(C217, ""en"", ""cs"")"),"Zdravotní varování před nouzovými podmínkami: všichni jsou pravděpodobněji postiženi.")</f>
        <v>Zdravotní varování před nouzovými podmínkami: všichni jsou pravděpodobněji postiženi.</v>
      </c>
      <c r="S217" s="7" t="str">
        <f>IFERROR(__xludf.DUMMYFUNCTION("GoogleTranslate(C217, ""en"", ""da"")"),"Sundhedsadvarsel om nødsituationer: alle er mere tilbøjelige til at blive ramt.")</f>
        <v>Sundhedsadvarsel om nødsituationer: alle er mere tilbøjelige til at blive ramt.</v>
      </c>
      <c r="T217" s="7" t="str">
        <f>IFERROR(__xludf.DUMMYFUNCTION("GoogleTranslate(C217, ""en"", ""nl"")"),"Gezondheidswaarschuwing voor noodsituaties: de kans is groter dat iedereen hierdoor wordt getroffen.")</f>
        <v>Gezondheidswaarschuwing voor noodsituaties: de kans is groter dat iedereen hierdoor wordt getroffen.</v>
      </c>
      <c r="U217" s="7" t="str">
        <f>IFERROR(__xludf.DUMMYFUNCTION("GoogleTranslate(C217, ""en"", ""et"")"),"Tervisehoiatus hädaolukordade eest: kõik on tõenäolisemalt mõjutatud.")</f>
        <v>Tervisehoiatus hädaolukordade eest: kõik on tõenäolisemalt mõjutatud.</v>
      </c>
      <c r="V217" s="5" t="str">
        <f t="shared" si="3"/>
        <v>Health warning of emergency conditions: everyone is more likely to be affected.</v>
      </c>
      <c r="W217" s="7" t="str">
        <f>IFERROR(__xludf.DUMMYFUNCTION("GoogleTranslate(C217, ""en"", ""fi"")"),"Terveysvaroitus hätätilanteista: kaikki kärsivät todennäköisemmin.")</f>
        <v>Terveysvaroitus hätätilanteista: kaikki kärsivät todennäköisemmin.</v>
      </c>
      <c r="X217" s="7" t="str">
        <f>IFERROR(__xludf.DUMMYFUNCTION("GoogleTranslate(C217, ""en"", ""fr"")"),"Avertissement sanitaire concernant les conditions d’urgence : tout le monde est plus susceptible d’être touché.")</f>
        <v>Avertissement sanitaire concernant les conditions d’urgence : tout le monde est plus susceptible d’être touché.</v>
      </c>
      <c r="Y217" s="7" t="str">
        <f>IFERROR(__xludf.DUMMYFUNCTION("GoogleTranslate(C217, ""en"", ""de"")"),"Gesundheitswarnung vor Notfällen: Es ist wahrscheinlicher, dass jeder betroffen ist.")</f>
        <v>Gesundheitswarnung vor Notfällen: Es ist wahrscheinlicher, dass jeder betroffen ist.</v>
      </c>
      <c r="Z217" s="7" t="str">
        <f>IFERROR(__xludf.DUMMYFUNCTION("GoogleTranslate(C217, ""en"", ""el"")"),"Προειδοποίηση υγείας για καταστάσεις έκτακτης ανάγκης: όλοι είναι πιο πιθανό να επηρεαστούν.")</f>
        <v>Προειδοποίηση υγείας για καταστάσεις έκτακτης ανάγκης: όλοι είναι πιο πιθανό να επηρεαστούν.</v>
      </c>
      <c r="AA217" s="7" t="str">
        <f>IFERROR(__xludf.DUMMYFUNCTION("GoogleTranslate(C217, ""en"", ""iw"")"),"אזהרת בריאות מפני מצבי חירום: סביר יותר שכולם ייפגעו.")</f>
        <v>אזהרת בריאות מפני מצבי חירום: סביר יותר שכולם ייפגעו.</v>
      </c>
      <c r="AB217" s="7" t="str">
        <f>IFERROR(__xludf.DUMMYFUNCTION("GoogleTranslate(C217, ""en"", ""hi"")"),"आपातकालीन स्थितियों की स्वास्थ्य चेतावनी: हर किसी के प्रभावित होने की अधिक संभावना है।")</f>
        <v>आपातकालीन स्थितियों की स्वास्थ्य चेतावनी: हर किसी के प्रभावित होने की अधिक संभावना है।</v>
      </c>
      <c r="AC217" s="7" t="str">
        <f>IFERROR(__xludf.DUMMYFUNCTION("GoogleTranslate(C217, ""en"", ""hu"")"),"Egészségügyi figyelmeztetés vészhelyzetekre: mindenki nagyobb valószínűséggel érintett.")</f>
        <v>Egészségügyi figyelmeztetés vészhelyzetekre: mindenki nagyobb valószínűséggel érintett.</v>
      </c>
      <c r="AD217" s="7" t="str">
        <f>IFERROR(__xludf.DUMMYFUNCTION("GoogleTranslate(C217, ""en"", ""is"")"),"Heilsuviðvörun vegna neyðarástands: líklegra er að allir verði fyrir áhrifum.")</f>
        <v>Heilsuviðvörun vegna neyðarástands: líklegra er að allir verði fyrir áhrifum.</v>
      </c>
      <c r="AE217" s="7" t="str">
        <f>IFERROR(__xludf.DUMMYFUNCTION("GoogleTranslate(C217, ""en"", ""id"")"),"Peringatan kesehatan mengenai kondisi darurat: semua orang lebih mungkin terkena dampaknya.")</f>
        <v>Peringatan kesehatan mengenai kondisi darurat: semua orang lebih mungkin terkena dampaknya.</v>
      </c>
      <c r="AF217" s="7" t="str">
        <f>IFERROR(__xludf.DUMMYFUNCTION("GoogleTranslate(C217, ""en"", ""in"")"),"Peringatan kesehatan mengenai kondisi darurat: semua orang lebih mungkin terkena dampaknya.")</f>
        <v>Peringatan kesehatan mengenai kondisi darurat: semua orang lebih mungkin terkena dampaknya.</v>
      </c>
      <c r="AG217" s="7" t="str">
        <f>IFERROR(__xludf.DUMMYFUNCTION("GoogleTranslate(C217, ""en"", ""it"")"),"Allarme sanitario sulle condizioni di emergenza: tutti hanno maggiori probabilità di essere colpiti.")</f>
        <v>Allarme sanitario sulle condizioni di emergenza: tutti hanno maggiori probabilità di essere colpiti.</v>
      </c>
      <c r="AH217" s="7" t="str">
        <f>IFERROR(__xludf.DUMMYFUNCTION("GoogleTranslate(C217, ""en"", ""ja"")"),"緊急事態に関する健康上の警告: 誰もが影響を受ける可能性が高くなります。")</f>
        <v>緊急事態に関する健康上の警告: 誰もが影響を受ける可能性が高くなります。</v>
      </c>
      <c r="AI217" s="7" t="str">
        <f>IFERROR(__xludf.DUMMYFUNCTION("GoogleTranslate(C217, ""en"", ""kn"")"),"ತುರ್ತು ಪರಿಸ್ಥಿತಿಗಳ ಆರೋಗ್ಯ ಎಚ್ಚರಿಕೆ: ಪ್ರತಿಯೊಬ್ಬರೂ ಪರಿಣಾಮ ಬೀರುವ ಸಾಧ್ಯತೆ ಹೆಚ್ಚು.")</f>
        <v>ತುರ್ತು ಪರಿಸ್ಥಿತಿಗಳ ಆರೋಗ್ಯ ಎಚ್ಚರಿಕೆ: ಪ್ರತಿಯೊಬ್ಬರೂ ಪರಿಣಾಮ ಬೀರುವ ಸಾಧ್ಯತೆ ಹೆಚ್ಚು.</v>
      </c>
      <c r="AJ217" s="7" t="str">
        <f>IFERROR(__xludf.DUMMYFUNCTION("GoogleTranslate(C217, ""en"", ""km"")"),"ការ​ព្រមាន​សុខភាព​នៃ​ស្ថានភាព​អាសន្ន៖ អ្នក​រាល់​គ្នា​ងាយ​នឹង​រង​ផល​ប៉ះពាល់។")</f>
        <v>ការ​ព្រមាន​សុខភាព​នៃ​ស្ថានភាព​អាសន្ន៖ អ្នក​រាល់​គ្នា​ងាយ​នឹង​រង​ផល​ប៉ះពាល់។</v>
      </c>
      <c r="AK217" s="7" t="str">
        <f>IFERROR(__xludf.DUMMYFUNCTION("GoogleTranslate(C217, ""en"", ""ko"")"),"비상 상황에 대한 건강 경고: 모든 사람이 영향을 받을 가능성이 더 높습니다.")</f>
        <v>비상 상황에 대한 건강 경고: 모든 사람이 영향을 받을 가능성이 더 높습니다.</v>
      </c>
      <c r="AL217" s="7" t="str">
        <f>IFERROR(__xludf.DUMMYFUNCTION("GoogleTranslate(C217, ""en"", ""lo"")"),"ການເຕືອນໄພສຸຂະພາບຂອງສະຖານະການສຸກເສີນ: ທຸກຄົນມັກຈະໄດ້ຮັບຜົນກະທົບ.")</f>
        <v>ການເຕືອນໄພສຸຂະພາບຂອງສະຖານະການສຸກເສີນ: ທຸກຄົນມັກຈະໄດ້ຮັບຜົນກະທົບ.</v>
      </c>
      <c r="AM217" s="7" t="str">
        <f>IFERROR(__xludf.DUMMYFUNCTION("GoogleTranslate(C217, ""en"", ""lv"")"),"Brīdinājums par veselību ārkārtas situācijās: visticamāk, ka tas tiks ietekmēts ikvienam.")</f>
        <v>Brīdinājums par veselību ārkārtas situācijās: visticamāk, ka tas tiks ietekmēts ikvienam.</v>
      </c>
      <c r="AN217" s="7" t="str">
        <f>IFERROR(__xludf.DUMMYFUNCTION("GoogleTranslate(C217, ""en"", ""lt"")"),"Sveikatos įspėjimas apie ekstremalias situacijas: labiau tikėtina, kad nukentės kiekvienas.")</f>
        <v>Sveikatos įspėjimas apie ekstremalias situacijas: labiau tikėtina, kad nukentės kiekvienas.</v>
      </c>
      <c r="AO217" s="7" t="str">
        <f>IFERROR(__xludf.DUMMYFUNCTION("GoogleTranslate(C217, ""en"", ""mk"")"),"Здравствено предупредување за вонредни состојби: поверојатно е секој да биде погоден.")</f>
        <v>Здравствено предупредување за вонредни состојби: поверојатно е секој да биде погоден.</v>
      </c>
      <c r="AP217" s="7" t="str">
        <f>IFERROR(__xludf.DUMMYFUNCTION("GoogleTranslate(C217, ""en"", ""ms"")"),"Amaran kesihatan tentang keadaan kecemasan: semua orang lebih berkemungkinan terjejas.")</f>
        <v>Amaran kesihatan tentang keadaan kecemasan: semua orang lebih berkemungkinan terjejas.</v>
      </c>
      <c r="AQ217" s="7" t="str">
        <f>IFERROR(__xludf.DUMMYFUNCTION("GoogleTranslate(C217, ""en"", ""ml"")"),"അടിയന്തര സാഹചര്യങ്ങളെക്കുറിച്ചുള്ള ആരോഗ്യ മുന്നറിയിപ്പ്: എല്ലാവരേയും ബാധിക്കാനുള്ള സാധ്യത കൂടുതലാണ്.")</f>
        <v>അടിയന്തര സാഹചര്യങ്ങളെക്കുറിച്ചുള്ള ആരോഗ്യ മുന്നറിയിപ്പ്: എല്ലാവരേയും ബാധിക്കാനുള്ള സാധ്യത കൂടുതലാണ്.</v>
      </c>
      <c r="AR217" s="7" t="str">
        <f>IFERROR(__xludf.DUMMYFUNCTION("GoogleTranslate(C217, ""en"", ""mr"")"),"आपत्कालीन परिस्थितींबद्दल आरोग्य चेतावणी: प्रत्येकजण प्रभावित होण्याची शक्यता जास्त असते.")</f>
        <v>आपत्कालीन परिस्थितींबद्दल आरोग्य चेतावणी: प्रत्येकजण प्रभावित होण्याची शक्यता जास्त असते.</v>
      </c>
      <c r="AS217" s="7" t="str">
        <f>IFERROR(__xludf.DUMMYFUNCTION("GoogleTranslate(C217, ""en"", ""mn"")"),"Онцгой байдлын эрүүл мэндийн сэрэмжлүүлэг: хүн бүр өртөх магадлал өндөр байдаг.")</f>
        <v>Онцгой байдлын эрүүл мэндийн сэрэмжлүүлэг: хүн бүр өртөх магадлал өндөр байдаг.</v>
      </c>
      <c r="AT217" s="7" t="str">
        <f>IFERROR(__xludf.DUMMYFUNCTION("GoogleTranslate(C217, ""en"", ""ne"")"),"आपतकालीन अवस्थाहरूको स्वास्थ्य चेतावनी: सबैजना प्रभावित हुने सम्भावना बढी हुन्छ।")</f>
        <v>आपतकालीन अवस्थाहरूको स्वास्थ्य चेतावनी: सबैजना प्रभावित हुने सम्भावना बढी हुन्छ।</v>
      </c>
      <c r="AU217" s="7" t="str">
        <f>IFERROR(__xludf.DUMMYFUNCTION("GoogleTranslate(C217, ""en"", ""nb"")"),"Helseadvarsel om nødsituasjoner: alle er mer sannsynlig å bli berørt.")</f>
        <v>Helseadvarsel om nødsituasjoner: alle er mer sannsynlig å bli berørt.</v>
      </c>
      <c r="AV217" s="7" t="str">
        <f>IFERROR(__xludf.DUMMYFUNCTION("GoogleTranslate(C217, ""en"", ""fa"")"),"هشدار بهداشتی در مورد شرایط اضطراری: احتمال ابتلا به همه افراد بیشتر است.")</f>
        <v>هشدار بهداشتی در مورد شرایط اضطراری: احتمال ابتلا به همه افراد بیشتر است.</v>
      </c>
      <c r="AW217" s="7" t="str">
        <f>IFERROR(__xludf.DUMMYFUNCTION("GoogleTranslate(C217, ""en"", ""pl"")"),"Ostrzeżenie zdrowotne dotyczące sytuacji nadzwyczajnych: ryzyko wystąpienia sytuacji awaryjnej jest większe u każdego.")</f>
        <v>Ostrzeżenie zdrowotne dotyczące sytuacji nadzwyczajnych: ryzyko wystąpienia sytuacji awaryjnej jest większe u każdego.</v>
      </c>
      <c r="AX217" s="7" t="str">
        <f>IFERROR(__xludf.DUMMYFUNCTION("GoogleTranslate(C217, ""en"", ""pt"")"),"Alerta de saúde sobre condições de emergência: é mais provável que todos sejam afetados.")</f>
        <v>Alerta de saúde sobre condições de emergência: é mais provável que todos sejam afetados.</v>
      </c>
      <c r="AY217" s="7" t="str">
        <f>IFERROR(__xludf.DUMMYFUNCTION("GoogleTranslate(C217, ""en"", ""ro"")"),"Avertisment de sănătate privind condițiile de urgență: toată lumea este mai probabil să fie afectată.")</f>
        <v>Avertisment de sănătate privind condițiile de urgență: toată lumea este mai probabil să fie afectată.</v>
      </c>
      <c r="AZ217" s="7" t="str">
        <f>IFERROR(__xludf.DUMMYFUNCTION("GoogleTranslate(C217, ""en"", ""ru"")"),"Предупреждение о чрезвычайных ситуациях для здоровья: вероятность того, что пострадают все, выше.")</f>
        <v>Предупреждение о чрезвычайных ситуациях для здоровья: вероятность того, что пострадают все, выше.</v>
      </c>
      <c r="BA217" s="7" t="str">
        <f>IFERROR(__xludf.DUMMYFUNCTION("GoogleTranslate(C217, ""en"", ""sr"")"),"Здравствено упозорење о ванредним ситуацијама: већа је вероватноћа да ће сви бити погођени.")</f>
        <v>Здравствено упозорење о ванредним ситуацијама: већа је вероватноћа да ће сви бити погођени.</v>
      </c>
      <c r="BB217" s="7" t="str">
        <f>IFERROR(__xludf.DUMMYFUNCTION("GoogleTranslate(C217, ""en"", ""si"")"),"හදිසි තත්වයන් පිළිබඳ සෞඛ්‍ය අනතුරු ඇඟවීම: සෑම කෙනෙකුම පීඩාවට පත්වීමට වැඩි ඉඩක් ඇත.")</f>
        <v>හදිසි තත්වයන් පිළිබඳ සෞඛ්‍ය අනතුරු ඇඟවීම: සෑම කෙනෙකුම පීඩාවට පත්වීමට වැඩි ඉඩක් ඇත.</v>
      </c>
      <c r="BC217" s="7" t="str">
        <f>IFERROR(__xludf.DUMMYFUNCTION("GoogleTranslate(C217, ""en"", ""sk"")"),"Zdravotné varovanie pred mimoriadnymi podmienkami: pravdepodobnejšie budú postihnutí všetci.")</f>
        <v>Zdravotné varovanie pred mimoriadnymi podmienkami: pravdepodobnejšie budú postihnutí všetci.</v>
      </c>
      <c r="BD217" s="7" t="str">
        <f>IFERROR(__xludf.DUMMYFUNCTION("GoogleTranslate(C217, ""en"", ""sl"")"),"Zdravstveno opozorilo o izrednih razmerah: verjetneje je, da bodo prizadeti vsi.")</f>
        <v>Zdravstveno opozorilo o izrednih razmerah: verjetneje je, da bodo prizadeti vsi.</v>
      </c>
      <c r="BE217" s="7" t="str">
        <f>IFERROR(__xludf.DUMMYFUNCTION("GoogleTranslate(C217, ""en"", ""es"")"),"Advertencia sanitaria de condiciones de emergencia: todos tienen más probabilidades de verse afectados.")</f>
        <v>Advertencia sanitaria de condiciones de emergencia: todos tienen más probabilidades de verse afectados.</v>
      </c>
      <c r="BF217" s="7" t="str">
        <f>IFERROR(__xludf.DUMMYFUNCTION("GoogleTranslate(C217, ""en"", ""sw"")"),"Onyo la kiafya la hali ya dharura: kila mtu ana uwezekano mkubwa wa kuathiriwa.")</f>
        <v>Onyo la kiafya la hali ya dharura: kila mtu ana uwezekano mkubwa wa kuathiriwa.</v>
      </c>
      <c r="BG217" s="7" t="str">
        <f>IFERROR(__xludf.DUMMYFUNCTION("GoogleTranslate(C217, ""en"", ""sv"")"),"Hälsovarning för akuta tillstånd: alla är mer benägna att drabbas.")</f>
        <v>Hälsovarning för akuta tillstånd: alla är mer benägna att drabbas.</v>
      </c>
      <c r="BH217" s="7" t="str">
        <f>IFERROR(__xludf.DUMMYFUNCTION("GoogleTranslate(C217, ""en"", ""te"")"),"అత్యవసర పరిస్థితుల గురించి ఆరోగ్య హెచ్చరిక: ప్రతి ఒక్కరూ ప్రభావితమయ్యే అవకాశం ఉంది.")</f>
        <v>అత్యవసర పరిస్థితుల గురించి ఆరోగ్య హెచ్చరిక: ప్రతి ఒక్కరూ ప్రభావితమయ్యే అవకాశం ఉంది.</v>
      </c>
      <c r="BI217" s="7" t="str">
        <f>IFERROR(__xludf.DUMMYFUNCTION("GoogleTranslate(C217, ""en"", ""th"")"),"คำเตือนด้านสุขภาพสำหรับสภาวะฉุกเฉิน: ทุกคนมีแนวโน้มที่จะได้รับผลกระทบมากขึ้น")</f>
        <v>คำเตือนด้านสุขภาพสำหรับสภาวะฉุกเฉิน: ทุกคนมีแนวโน้มที่จะได้รับผลกระทบมากขึ้น</v>
      </c>
      <c r="BJ217" s="7" t="str">
        <f>IFERROR(__xludf.DUMMYFUNCTION("GoogleTranslate(C217, ""en"", ""tr"")"),"Acil durumlara ilişkin sağlık uyarısı: Herkesin etkilenme olasılığı daha yüksektir.")</f>
        <v>Acil durumlara ilişkin sağlık uyarısı: Herkesin etkilenme olasılığı daha yüksektir.</v>
      </c>
      <c r="BK217" s="7" t="str">
        <f>IFERROR(__xludf.DUMMYFUNCTION("GoogleTranslate(C217, ""en"", ""uk"")"),"Медичне попередження про надзвичайні ситуації: імовірність постраждати у всіх є більшою.")</f>
        <v>Медичне попередження про надзвичайні ситуації: імовірність постраждати у всіх є більшою.</v>
      </c>
      <c r="BL217" s="7" t="str">
        <f>IFERROR(__xludf.DUMMYFUNCTION("GoogleTranslate(C217, ""en"", ""zu"")"),"Isixwayiso sezempilo sezimo eziphuthumayo: wonke umuntu kungenzeka ukuthi athinteke.")</f>
        <v>Isixwayiso sezempilo sezimo eziphuthumayo: wonke umuntu kungenzeka ukuthi athinteke.</v>
      </c>
    </row>
    <row r="218">
      <c r="A218" s="5" t="str">
        <f t="shared" si="1"/>
        <v>O3_(Ozone)</v>
      </c>
      <c r="B218" s="4" t="s">
        <v>262</v>
      </c>
      <c r="C218" s="4" t="s">
        <v>262</v>
      </c>
      <c r="D218" s="7" t="str">
        <f>IFERROR(__xludf.DUMMYFUNCTION("GoogleTranslate(C218, ""en"", ""es"")"),"O3 (Ozono)")</f>
        <v>O3 (Ozono)</v>
      </c>
      <c r="E218" s="7" t="str">
        <f>IFERROR(__xludf.DUMMYFUNCTION("GoogleTranslate(C218, ""en"", ""ar"")"),"O3 (الأوزون)")</f>
        <v>O3 (الأوزون)</v>
      </c>
      <c r="F218" s="7" t="str">
        <f>IFERROR(__xludf.DUMMYFUNCTION("GoogleTranslate(C218, ""en"", ""hy"")"),"O3 (օզոն)")</f>
        <v>O3 (օզոն)</v>
      </c>
      <c r="G218" s="7" t="str">
        <f>IFERROR(__xludf.DUMMYFUNCTION("GoogleTranslate(C218, ""en"", ""vi"")"),"O3 (Ozon)")</f>
        <v>O3 (Ozon)</v>
      </c>
      <c r="H218" s="7" t="str">
        <f>IFERROR(__xludf.DUMMYFUNCTION("GoogleTranslate(C218, ""en"", ""az"")"),"O3 (Ozon)")</f>
        <v>O3 (Ozon)</v>
      </c>
      <c r="I218" s="7" t="str">
        <f>IFERROR(__xludf.DUMMYFUNCTION("GoogleTranslate(C218, ""en"", ""eu"")"),"O3 (ozonoa)")</f>
        <v>O3 (ozonoa)</v>
      </c>
      <c r="J218" s="7" t="str">
        <f>IFERROR(__xludf.DUMMYFUNCTION("GoogleTranslate(C218, ""en"", ""be"")"),"O3 (азон)")</f>
        <v>O3 (азон)</v>
      </c>
      <c r="K218" s="7" t="str">
        <f>IFERROR(__xludf.DUMMYFUNCTION("GoogleTranslate(C218, ""en"", ""bn"")"),"O3 (ওজোন)")</f>
        <v>O3 (ওজোন)</v>
      </c>
      <c r="L218" s="7" t="str">
        <f>IFERROR(__xludf.DUMMYFUNCTION("GoogleTranslate(C218, ""en"", ""bg"")"),"O3 (озон)")</f>
        <v>O3 (озон)</v>
      </c>
      <c r="M218" s="7" t="str">
        <f>IFERROR(__xludf.DUMMYFUNCTION("GoogleTranslate(C218, ""en"", ""my"")"),"O3 (အိုဇုန်း)")</f>
        <v>O3 (အိုဇုန်း)</v>
      </c>
      <c r="N218" s="7" t="str">
        <f>IFERROR(__xludf.DUMMYFUNCTION("GoogleTranslate(C218, ""en"", ""ca"")"),"O3 (ozó)")</f>
        <v>O3 (ozó)</v>
      </c>
      <c r="O218" s="7" t="str">
        <f>IFERROR(__xludf.DUMMYFUNCTION("GoogleTranslate(C218, ""en"", ""zh-cn"")"),"O3（臭氧）")</f>
        <v>O3（臭氧）</v>
      </c>
      <c r="P218" s="7" t="str">
        <f>IFERROR(__xludf.DUMMYFUNCTION("GoogleTranslate(C218, ""en"", ""zh-TW"")"),"O3（臭氧）")</f>
        <v>O3（臭氧）</v>
      </c>
      <c r="Q218" s="7" t="str">
        <f>IFERROR(__xludf.DUMMYFUNCTION("GoogleTranslate(C218, ""en"", ""hr"")"),"O3 (ozon)")</f>
        <v>O3 (ozon)</v>
      </c>
      <c r="R218" s="7" t="str">
        <f>IFERROR(__xludf.DUMMYFUNCTION("GoogleTranslate(C218, ""en"", ""cs"")"),"O3 (ozón)")</f>
        <v>O3 (ozón)</v>
      </c>
      <c r="S218" s="7" t="str">
        <f>IFERROR(__xludf.DUMMYFUNCTION("GoogleTranslate(C218, ""en"", ""da"")"),"O3 (ozon)")</f>
        <v>O3 (ozon)</v>
      </c>
      <c r="T218" s="7" t="str">
        <f>IFERROR(__xludf.DUMMYFUNCTION("GoogleTranslate(C218, ""en"", ""nl"")"),"O3 (ozon)")</f>
        <v>O3 (ozon)</v>
      </c>
      <c r="U218" s="7" t="str">
        <f>IFERROR(__xludf.DUMMYFUNCTION("GoogleTranslate(C218, ""en"", ""et"")"),"O3 (osoon)")</f>
        <v>O3 (osoon)</v>
      </c>
      <c r="V218" s="5" t="str">
        <f t="shared" si="3"/>
        <v>O3 (Ozone)</v>
      </c>
      <c r="W218" s="7" t="str">
        <f>IFERROR(__xludf.DUMMYFUNCTION("GoogleTranslate(C218, ""en"", ""fi"")"),"O3 (otsoni)")</f>
        <v>O3 (otsoni)</v>
      </c>
      <c r="X218" s="7" t="str">
        <f>IFERROR(__xludf.DUMMYFUNCTION("GoogleTranslate(C218, ""en"", ""fr"")"),"O3 (ozone)")</f>
        <v>O3 (ozone)</v>
      </c>
      <c r="Y218" s="7" t="str">
        <f>IFERROR(__xludf.DUMMYFUNCTION("GoogleTranslate(C218, ""en"", ""de"")"),"O3 (Ozon)")</f>
        <v>O3 (Ozon)</v>
      </c>
      <c r="Z218" s="7" t="str">
        <f>IFERROR(__xludf.DUMMYFUNCTION("GoogleTranslate(C218, ""en"", ""el"")"),"O3 (Όζον)")</f>
        <v>O3 (Όζον)</v>
      </c>
      <c r="AA218" s="7" t="str">
        <f>IFERROR(__xludf.DUMMYFUNCTION("GoogleTranslate(C218, ""en"", ""iw"")"),"O3 (אוזון)")</f>
        <v>O3 (אוזון)</v>
      </c>
      <c r="AB218" s="7" t="str">
        <f>IFERROR(__xludf.DUMMYFUNCTION("GoogleTranslate(C218, ""en"", ""hi"")"),"O3 (ओजोन)")</f>
        <v>O3 (ओजोन)</v>
      </c>
      <c r="AC218" s="7" t="str">
        <f>IFERROR(__xludf.DUMMYFUNCTION("GoogleTranslate(C218, ""en"", ""hu"")"),"O3 (ózon)")</f>
        <v>O3 (ózon)</v>
      </c>
      <c r="AD218" s="7" t="str">
        <f>IFERROR(__xludf.DUMMYFUNCTION("GoogleTranslate(C218, ""en"", ""is"")"),"O3 (óson)")</f>
        <v>O3 (óson)</v>
      </c>
      <c r="AE218" s="7" t="str">
        <f>IFERROR(__xludf.DUMMYFUNCTION("GoogleTranslate(C218, ""en"", ""id"")"),"O3 (Ozon)")</f>
        <v>O3 (Ozon)</v>
      </c>
      <c r="AF218" s="7" t="str">
        <f>IFERROR(__xludf.DUMMYFUNCTION("GoogleTranslate(C218, ""en"", ""in"")"),"O3 (Ozon)")</f>
        <v>O3 (Ozon)</v>
      </c>
      <c r="AG218" s="7" t="str">
        <f>IFERROR(__xludf.DUMMYFUNCTION("GoogleTranslate(C218, ""en"", ""it"")"),"O3 (ozono)")</f>
        <v>O3 (ozono)</v>
      </c>
      <c r="AH218" s="7" t="str">
        <f>IFERROR(__xludf.DUMMYFUNCTION("GoogleTranslate(C218, ""en"", ""ja"")"),"O3（オゾン）")</f>
        <v>O3（オゾン）</v>
      </c>
      <c r="AI218" s="7" t="str">
        <f>IFERROR(__xludf.DUMMYFUNCTION("GoogleTranslate(C218, ""en"", ""kn"")"),"O3 (ಓಝೋನ್)")</f>
        <v>O3 (ಓಝೋನ್)</v>
      </c>
      <c r="AJ218" s="7" t="str">
        <f>IFERROR(__xludf.DUMMYFUNCTION("GoogleTranslate(C218, ""en"", ""km"")"),"O3 (អូហ្សូន)")</f>
        <v>O3 (អូហ្សូន)</v>
      </c>
      <c r="AK218" s="7" t="str">
        <f>IFERROR(__xludf.DUMMYFUNCTION("GoogleTranslate(C218, ""en"", ""ko"")"),"O3(오존)")</f>
        <v>O3(오존)</v>
      </c>
      <c r="AL218" s="7" t="str">
        <f>IFERROR(__xludf.DUMMYFUNCTION("GoogleTranslate(C218, ""en"", ""lo"")"),"O3 (ໂອໂຊນ)")</f>
        <v>O3 (ໂອໂຊນ)</v>
      </c>
      <c r="AM218" s="7" t="str">
        <f>IFERROR(__xludf.DUMMYFUNCTION("GoogleTranslate(C218, ""en"", ""lv"")"),"O3 (ozons)")</f>
        <v>O3 (ozons)</v>
      </c>
      <c r="AN218" s="7" t="str">
        <f>IFERROR(__xludf.DUMMYFUNCTION("GoogleTranslate(C218, ""en"", ""lt"")"),"O3 (ozonas)")</f>
        <v>O3 (ozonas)</v>
      </c>
      <c r="AO218" s="7" t="str">
        <f>IFERROR(__xludf.DUMMYFUNCTION("GoogleTranslate(C218, ""en"", ""mk"")"),"О3 (озон)")</f>
        <v>О3 (озон)</v>
      </c>
      <c r="AP218" s="7" t="str">
        <f>IFERROR(__xludf.DUMMYFUNCTION("GoogleTranslate(C218, ""en"", ""ms"")"),"O3 (Ozon)")</f>
        <v>O3 (Ozon)</v>
      </c>
      <c r="AQ218" s="7" t="str">
        <f>IFERROR(__xludf.DUMMYFUNCTION("GoogleTranslate(C218, ""en"", ""ml"")"),"O3 (ഓസോൺ)")</f>
        <v>O3 (ഓസോൺ)</v>
      </c>
      <c r="AR218" s="7" t="str">
        <f>IFERROR(__xludf.DUMMYFUNCTION("GoogleTranslate(C218, ""en"", ""mr"")"),"O3 (ओझोन)")</f>
        <v>O3 (ओझोन)</v>
      </c>
      <c r="AS218" s="7" t="str">
        <f>IFERROR(__xludf.DUMMYFUNCTION("GoogleTranslate(C218, ""en"", ""mn"")"),"O3 (Озон)")</f>
        <v>O3 (Озон)</v>
      </c>
      <c r="AT218" s="7" t="str">
        <f>IFERROR(__xludf.DUMMYFUNCTION("GoogleTranslate(C218, ""en"", ""ne"")"),"O3 (ओजोन)")</f>
        <v>O3 (ओजोन)</v>
      </c>
      <c r="AU218" s="7" t="str">
        <f>IFERROR(__xludf.DUMMYFUNCTION("GoogleTranslate(C218, ""en"", ""nb"")"),"O3 (ozon)")</f>
        <v>O3 (ozon)</v>
      </c>
      <c r="AV218" s="7" t="str">
        <f>IFERROR(__xludf.DUMMYFUNCTION("GoogleTranslate(C218, ""en"", ""fa"")"),"O3 (ازون)")</f>
        <v>O3 (ازون)</v>
      </c>
      <c r="AW218" s="7" t="str">
        <f>IFERROR(__xludf.DUMMYFUNCTION("GoogleTranslate(C218, ""en"", ""pl"")"),"O3 (Ozon)")</f>
        <v>O3 (Ozon)</v>
      </c>
      <c r="AX218" s="7" t="str">
        <f>IFERROR(__xludf.DUMMYFUNCTION("GoogleTranslate(C218, ""en"", ""pt"")"),"O3 (Ozônio)")</f>
        <v>O3 (Ozônio)</v>
      </c>
      <c r="AY218" s="7" t="str">
        <f>IFERROR(__xludf.DUMMYFUNCTION("GoogleTranslate(C218, ""en"", ""ro"")"),"O3 (ozon)")</f>
        <v>O3 (ozon)</v>
      </c>
      <c r="AZ218" s="7" t="str">
        <f>IFERROR(__xludf.DUMMYFUNCTION("GoogleTranslate(C218, ""en"", ""ru"")"),"O3 (Озон)")</f>
        <v>O3 (Озон)</v>
      </c>
      <c r="BA218" s="7" t="str">
        <f>IFERROR(__xludf.DUMMYFUNCTION("GoogleTranslate(C218, ""en"", ""sr"")"),"О3 (озон)")</f>
        <v>О3 (озон)</v>
      </c>
      <c r="BB218" s="7" t="str">
        <f>IFERROR(__xludf.DUMMYFUNCTION("GoogleTranslate(C218, ""en"", ""si"")"),"O3 (ඕසෝන්)")</f>
        <v>O3 (ඕසෝන්)</v>
      </c>
      <c r="BC218" s="7" t="str">
        <f>IFERROR(__xludf.DUMMYFUNCTION("GoogleTranslate(C218, ""en"", ""sk"")"),"O3 (ozón)")</f>
        <v>O3 (ozón)</v>
      </c>
      <c r="BD218" s="7" t="str">
        <f>IFERROR(__xludf.DUMMYFUNCTION("GoogleTranslate(C218, ""en"", ""sl"")"),"O3 (ozon)")</f>
        <v>O3 (ozon)</v>
      </c>
      <c r="BE218" s="7" t="str">
        <f>IFERROR(__xludf.DUMMYFUNCTION("GoogleTranslate(C218, ""en"", ""es"")"),"O3 (Ozono)")</f>
        <v>O3 (Ozono)</v>
      </c>
      <c r="BF218" s="7" t="str">
        <f>IFERROR(__xludf.DUMMYFUNCTION("GoogleTranslate(C218, ""en"", ""sw"")"),"O3 (Ozoni)")</f>
        <v>O3 (Ozoni)</v>
      </c>
      <c r="BG218" s="7" t="str">
        <f>IFERROR(__xludf.DUMMYFUNCTION("GoogleTranslate(C218, ""en"", ""sv"")"),"O3 (ozon)")</f>
        <v>O3 (ozon)</v>
      </c>
      <c r="BH218" s="7" t="str">
        <f>IFERROR(__xludf.DUMMYFUNCTION("GoogleTranslate(C218, ""en"", ""te"")"),"O3 (ఓజోన్)")</f>
        <v>O3 (ఓజోన్)</v>
      </c>
      <c r="BI218" s="7" t="str">
        <f>IFERROR(__xludf.DUMMYFUNCTION("GoogleTranslate(C218, ""en"", ""th"")"),"O3 (โอโซน)")</f>
        <v>O3 (โอโซน)</v>
      </c>
      <c r="BJ218" s="7" t="str">
        <f>IFERROR(__xludf.DUMMYFUNCTION("GoogleTranslate(C218, ""en"", ""tr"")"),"O3 (Ozon)")</f>
        <v>O3 (Ozon)</v>
      </c>
      <c r="BK218" s="7" t="str">
        <f>IFERROR(__xludf.DUMMYFUNCTION("GoogleTranslate(C218, ""en"", ""uk"")"),"O3 (озон)")</f>
        <v>O3 (озон)</v>
      </c>
      <c r="BL218" s="7" t="str">
        <f>IFERROR(__xludf.DUMMYFUNCTION("GoogleTranslate(C218, ""en"", ""zu"")"),"I-O3 (i-Ozone)")</f>
        <v>I-O3 (i-Ozone)</v>
      </c>
    </row>
    <row r="219">
      <c r="A219" s="5" t="str">
        <f t="shared" si="1"/>
        <v>SO2_(Sulphur_dioxide)</v>
      </c>
      <c r="B219" s="4" t="s">
        <v>263</v>
      </c>
      <c r="C219" s="4" t="s">
        <v>263</v>
      </c>
      <c r="D219" s="7" t="str">
        <f>IFERROR(__xludf.DUMMYFUNCTION("GoogleTranslate(C219, ""en"", ""es"")"),"SO2 (Dióxido de azufre)")</f>
        <v>SO2 (Dióxido de azufre)</v>
      </c>
      <c r="E219" s="7" t="str">
        <f>IFERROR(__xludf.DUMMYFUNCTION("GoogleTranslate(C219, ""en"", ""ar"")"),"SO2 (ثاني أكسيد الكبريت)")</f>
        <v>SO2 (ثاني أكسيد الكبريت)</v>
      </c>
      <c r="F219" s="7" t="str">
        <f>IFERROR(__xludf.DUMMYFUNCTION("GoogleTranslate(C219, ""en"", ""hy"")"),"SO2 (ծծմբի երկօքսիդ)")</f>
        <v>SO2 (ծծմբի երկօքսիդ)</v>
      </c>
      <c r="G219" s="7" t="str">
        <f>IFERROR(__xludf.DUMMYFUNCTION("GoogleTranslate(C219, ""en"", ""vi"")"),"SO2 (Lưu huỳnh dioxit)")</f>
        <v>SO2 (Lưu huỳnh dioxit)</v>
      </c>
      <c r="H219" s="7" t="str">
        <f>IFERROR(__xludf.DUMMYFUNCTION("GoogleTranslate(C219, ""en"", ""az"")"),"SO2 (kükürd dioksidi)")</f>
        <v>SO2 (kükürd dioksidi)</v>
      </c>
      <c r="I219" s="7" t="str">
        <f>IFERROR(__xludf.DUMMYFUNCTION("GoogleTranslate(C219, ""en"", ""eu"")"),"SO2 (sufre dioxidoa)")</f>
        <v>SO2 (sufre dioxidoa)</v>
      </c>
      <c r="J219" s="7" t="str">
        <f>IFERROR(__xludf.DUMMYFUNCTION("GoogleTranslate(C219, ""en"", ""be"")"),"SO2 (дыяксід серы)")</f>
        <v>SO2 (дыяксід серы)</v>
      </c>
      <c r="K219" s="7" t="str">
        <f>IFERROR(__xludf.DUMMYFUNCTION("GoogleTranslate(C219, ""en"", ""bn"")"),"SO2 (সালফার ডাই অক্সাইড)")</f>
        <v>SO2 (সালফার ডাই অক্সাইড)</v>
      </c>
      <c r="L219" s="7" t="str">
        <f>IFERROR(__xludf.DUMMYFUNCTION("GoogleTranslate(C219, ""en"", ""bg"")"),"SO2 (серен диоксид)")</f>
        <v>SO2 (серен диоксид)</v>
      </c>
      <c r="M219" s="7" t="str">
        <f>IFERROR(__xludf.DUMMYFUNCTION("GoogleTranslate(C219, ""en"", ""my"")"),"SO2 (ဆာလ်ဖာဒိုင်အောက်ဆိုဒ်)")</f>
        <v>SO2 (ဆာလ်ဖာဒိုင်အောက်ဆိုဒ်)</v>
      </c>
      <c r="N219" s="7" t="str">
        <f>IFERROR(__xludf.DUMMYFUNCTION("GoogleTranslate(C219, ""en"", ""ca"")"),"SO2 (diòxid de sofre)")</f>
        <v>SO2 (diòxid de sofre)</v>
      </c>
      <c r="O219" s="7" t="str">
        <f>IFERROR(__xludf.DUMMYFUNCTION("GoogleTranslate(C219, ""en"", ""zh-cn"")"),"SO2（二氧化硫）")</f>
        <v>SO2（二氧化硫）</v>
      </c>
      <c r="P219" s="7" t="str">
        <f>IFERROR(__xludf.DUMMYFUNCTION("GoogleTranslate(C219, ""en"", ""zh-TW"")"),"SO2（二氧化硫）")</f>
        <v>SO2（二氧化硫）</v>
      </c>
      <c r="Q219" s="7" t="str">
        <f>IFERROR(__xludf.DUMMYFUNCTION("GoogleTranslate(C219, ""en"", ""hr"")"),"SO2 (sumporov dioksid)")</f>
        <v>SO2 (sumporov dioksid)</v>
      </c>
      <c r="R219" s="7" t="str">
        <f>IFERROR(__xludf.DUMMYFUNCTION("GoogleTranslate(C219, ""en"", ""cs"")"),"SO2 (oxid siřičitý)")</f>
        <v>SO2 (oxid siřičitý)</v>
      </c>
      <c r="S219" s="7" t="str">
        <f>IFERROR(__xludf.DUMMYFUNCTION("GoogleTranslate(C219, ""en"", ""da"")"),"SO2 (Svovldioxid)")</f>
        <v>SO2 (Svovldioxid)</v>
      </c>
      <c r="T219" s="7" t="str">
        <f>IFERROR(__xludf.DUMMYFUNCTION("GoogleTranslate(C219, ""en"", ""nl"")"),"SO2 (Zwaveldioxide)")</f>
        <v>SO2 (Zwaveldioxide)</v>
      </c>
      <c r="U219" s="7" t="str">
        <f>IFERROR(__xludf.DUMMYFUNCTION("GoogleTranslate(C219, ""en"", ""et"")"),"SO2 (vääveldioksiid)")</f>
        <v>SO2 (vääveldioksiid)</v>
      </c>
      <c r="V219" s="5" t="str">
        <f t="shared" si="3"/>
        <v>SO2 (Sulphur dioxide)</v>
      </c>
      <c r="W219" s="7" t="str">
        <f>IFERROR(__xludf.DUMMYFUNCTION("GoogleTranslate(C219, ""en"", ""fi"")"),"SO2 (rikkidioksidi)")</f>
        <v>SO2 (rikkidioksidi)</v>
      </c>
      <c r="X219" s="7" t="str">
        <f>IFERROR(__xludf.DUMMYFUNCTION("GoogleTranslate(C219, ""en"", ""fr"")"),"SO2 (dioxyde de soufre)")</f>
        <v>SO2 (dioxyde de soufre)</v>
      </c>
      <c r="Y219" s="7" t="str">
        <f>IFERROR(__xludf.DUMMYFUNCTION("GoogleTranslate(C219, ""en"", ""de"")"),"SO2 (Schwefeldioxid)")</f>
        <v>SO2 (Schwefeldioxid)</v>
      </c>
      <c r="Z219" s="7" t="str">
        <f>IFERROR(__xludf.DUMMYFUNCTION("GoogleTranslate(C219, ""en"", ""el"")"),"SO2 (διοξείδιο του θείου)")</f>
        <v>SO2 (διοξείδιο του θείου)</v>
      </c>
      <c r="AA219" s="7" t="str">
        <f>IFERROR(__xludf.DUMMYFUNCTION("GoogleTranslate(C219, ""en"", ""iw"")"),"SO2 (דו תחמוצת הגופרית)")</f>
        <v>SO2 (דו תחמוצת הגופרית)</v>
      </c>
      <c r="AB219" s="7" t="str">
        <f>IFERROR(__xludf.DUMMYFUNCTION("GoogleTranslate(C219, ""en"", ""hi"")"),"SO2 (सल्फर डाइऑक्साइड)")</f>
        <v>SO2 (सल्फर डाइऑक्साइड)</v>
      </c>
      <c r="AC219" s="7" t="str">
        <f>IFERROR(__xludf.DUMMYFUNCTION("GoogleTranslate(C219, ""en"", ""hu"")"),"SO2 (kén-dioxid)")</f>
        <v>SO2 (kén-dioxid)</v>
      </c>
      <c r="AD219" s="7" t="str">
        <f>IFERROR(__xludf.DUMMYFUNCTION("GoogleTranslate(C219, ""en"", ""is"")"),"SO2 (brennisteinsdíoxíð)")</f>
        <v>SO2 (brennisteinsdíoxíð)</v>
      </c>
      <c r="AE219" s="7" t="str">
        <f>IFERROR(__xludf.DUMMYFUNCTION("GoogleTranslate(C219, ""en"", ""id"")"),"SO2 (Belerang dioksida)")</f>
        <v>SO2 (Belerang dioksida)</v>
      </c>
      <c r="AF219" s="7" t="str">
        <f>IFERROR(__xludf.DUMMYFUNCTION("GoogleTranslate(C219, ""en"", ""in"")"),"SO2 (Belerang dioksida)")</f>
        <v>SO2 (Belerang dioksida)</v>
      </c>
      <c r="AG219" s="7" t="str">
        <f>IFERROR(__xludf.DUMMYFUNCTION("GoogleTranslate(C219, ""en"", ""it"")"),"SO2 (anidride solforosa)")</f>
        <v>SO2 (anidride solforosa)</v>
      </c>
      <c r="AH219" s="7" t="str">
        <f>IFERROR(__xludf.DUMMYFUNCTION("GoogleTranslate(C219, ""en"", ""ja"")"),"SO2（二酸化硫黄）")</f>
        <v>SO2（二酸化硫黄）</v>
      </c>
      <c r="AI219" s="7" t="str">
        <f>IFERROR(__xludf.DUMMYFUNCTION("GoogleTranslate(C219, ""en"", ""kn"")"),"SO2 (ಸಲ್ಫರ್ ಡೈಆಕ್ಸೈಡ್)")</f>
        <v>SO2 (ಸಲ್ಫರ್ ಡೈಆಕ್ಸೈಡ್)</v>
      </c>
      <c r="AJ219" s="7" t="str">
        <f>IFERROR(__xludf.DUMMYFUNCTION("GoogleTranslate(C219, ""en"", ""km"")"),"សូ 2 (ស្ពាន់ធ័រឌីអុកស៊ីត)")</f>
        <v>សូ 2 (ស្ពាន់ធ័រឌីអុកស៊ីត)</v>
      </c>
      <c r="AK219" s="7" t="str">
        <f>IFERROR(__xludf.DUMMYFUNCTION("GoogleTranslate(C219, ""en"", ""ko"")"),"SO2(이산화황)")</f>
        <v>SO2(이산화황)</v>
      </c>
      <c r="AL219" s="7" t="str">
        <f>IFERROR(__xludf.DUMMYFUNCTION("GoogleTranslate(C219, ""en"", ""lo"")"),"SO2 (ຊູນຟູຣິກໄດອອກໄຊ)")</f>
        <v>SO2 (ຊູນຟູຣິກໄດອອກໄຊ)</v>
      </c>
      <c r="AM219" s="7" t="str">
        <f>IFERROR(__xludf.DUMMYFUNCTION("GoogleTranslate(C219, ""en"", ""lv"")"),"SO2 (sēra dioksīds)")</f>
        <v>SO2 (sēra dioksīds)</v>
      </c>
      <c r="AN219" s="7" t="str">
        <f>IFERROR(__xludf.DUMMYFUNCTION("GoogleTranslate(C219, ""en"", ""lt"")"),"SO2 (sieros dioksidas)")</f>
        <v>SO2 (sieros dioksidas)</v>
      </c>
      <c r="AO219" s="7" t="str">
        <f>IFERROR(__xludf.DUMMYFUNCTION("GoogleTranslate(C219, ""en"", ""mk"")"),"SO2 (сулфур диоксид)")</f>
        <v>SO2 (сулфур диоксид)</v>
      </c>
      <c r="AP219" s="7" t="str">
        <f>IFERROR(__xludf.DUMMYFUNCTION("GoogleTranslate(C219, ""en"", ""ms"")"),"SO2 (Sulfur dioksida)")</f>
        <v>SO2 (Sulfur dioksida)</v>
      </c>
      <c r="AQ219" s="7" t="str">
        <f>IFERROR(__xludf.DUMMYFUNCTION("GoogleTranslate(C219, ""en"", ""ml"")"),"SO2 (സൾഫർ ഡയോക്സൈഡ്)")</f>
        <v>SO2 (സൾഫർ ഡയോക്സൈഡ്)</v>
      </c>
      <c r="AR219" s="7" t="str">
        <f>IFERROR(__xludf.DUMMYFUNCTION("GoogleTranslate(C219, ""en"", ""mr"")"),"SO2 (सल्फर डायऑक्साइड)")</f>
        <v>SO2 (सल्फर डायऑक्साइड)</v>
      </c>
      <c r="AS219" s="7" t="str">
        <f>IFERROR(__xludf.DUMMYFUNCTION("GoogleTranslate(C219, ""en"", ""mn"")"),"SO2 (хүхрийн давхар исэл)")</f>
        <v>SO2 (хүхрийн давхар исэл)</v>
      </c>
      <c r="AT219" s="7" t="str">
        <f>IFERROR(__xludf.DUMMYFUNCTION("GoogleTranslate(C219, ""en"", ""ne"")"),"SO2 (सल्फर डाइअक्साइड)")</f>
        <v>SO2 (सल्फर डाइअक्साइड)</v>
      </c>
      <c r="AU219" s="7" t="str">
        <f>IFERROR(__xludf.DUMMYFUNCTION("GoogleTranslate(C219, ""en"", ""nb"")"),"SO2 (Svoveldioksid)")</f>
        <v>SO2 (Svoveldioksid)</v>
      </c>
      <c r="AV219" s="7" t="str">
        <f>IFERROR(__xludf.DUMMYFUNCTION("GoogleTranslate(C219, ""en"", ""fa"")"),"SO2 (دی اکسید گوگرد)")</f>
        <v>SO2 (دی اکسید گوگرد)</v>
      </c>
      <c r="AW219" s="7" t="str">
        <f>IFERROR(__xludf.DUMMYFUNCTION("GoogleTranslate(C219, ""en"", ""pl"")"),"SO2 (dwutlenek siarki)")</f>
        <v>SO2 (dwutlenek siarki)</v>
      </c>
      <c r="AX219" s="7" t="str">
        <f>IFERROR(__xludf.DUMMYFUNCTION("GoogleTranslate(C219, ""en"", ""pt"")"),"SO2 (dióxido de enxofre)")</f>
        <v>SO2 (dióxido de enxofre)</v>
      </c>
      <c r="AY219" s="7" t="str">
        <f>IFERROR(__xludf.DUMMYFUNCTION("GoogleTranslate(C219, ""en"", ""ro"")"),"SO2 (dioxid de sulf)")</f>
        <v>SO2 (dioxid de sulf)</v>
      </c>
      <c r="AZ219" s="7" t="str">
        <f>IFERROR(__xludf.DUMMYFUNCTION("GoogleTranslate(C219, ""en"", ""ru"")"),"SO2 (Диоксид серы)")</f>
        <v>SO2 (Диоксид серы)</v>
      </c>
      <c r="BA219" s="7" t="str">
        <f>IFERROR(__xludf.DUMMYFUNCTION("GoogleTranslate(C219, ""en"", ""sr"")"),"СО2 (сумпор диоксид)")</f>
        <v>СО2 (сумпор диоксид)</v>
      </c>
      <c r="BB219" s="7" t="str">
        <f>IFERROR(__xludf.DUMMYFUNCTION("GoogleTranslate(C219, ""en"", ""si"")"),"SO2 (සල්ෆර් ඩයොක්සයිඩ්)")</f>
        <v>SO2 (සල්ෆර් ඩයොක්සයිඩ්)</v>
      </c>
      <c r="BC219" s="7" t="str">
        <f>IFERROR(__xludf.DUMMYFUNCTION("GoogleTranslate(C219, ""en"", ""sk"")"),"SO2 (oxid siričitý)")</f>
        <v>SO2 (oxid siričitý)</v>
      </c>
      <c r="BD219" s="7" t="str">
        <f>IFERROR(__xludf.DUMMYFUNCTION("GoogleTranslate(C219, ""en"", ""sl"")"),"SO2 (žveplov dioksid)")</f>
        <v>SO2 (žveplov dioksid)</v>
      </c>
      <c r="BE219" s="7" t="str">
        <f>IFERROR(__xludf.DUMMYFUNCTION("GoogleTranslate(C219, ""en"", ""es"")"),"SO2 (Dióxido de azufre)")</f>
        <v>SO2 (Dióxido de azufre)</v>
      </c>
      <c r="BF219" s="7" t="str">
        <f>IFERROR(__xludf.DUMMYFUNCTION("GoogleTranslate(C219, ""en"", ""sw"")"),"SO2 (Dioksidi ya sulfuri)")</f>
        <v>SO2 (Dioksidi ya sulfuri)</v>
      </c>
      <c r="BG219" s="7" t="str">
        <f>IFERROR(__xludf.DUMMYFUNCTION("GoogleTranslate(C219, ""en"", ""sv"")"),"SO2 (svaveldioxid)")</f>
        <v>SO2 (svaveldioxid)</v>
      </c>
      <c r="BH219" s="7" t="str">
        <f>IFERROR(__xludf.DUMMYFUNCTION("GoogleTranslate(C219, ""en"", ""te"")"),"SO2 (సల్ఫర్ డయాక్సైడ్)")</f>
        <v>SO2 (సల్ఫర్ డయాక్సైడ్)</v>
      </c>
      <c r="BI219" s="7" t="str">
        <f>IFERROR(__xludf.DUMMYFUNCTION("GoogleTranslate(C219, ""en"", ""th"")"),"SO2 (ซัลเฟอร์ไดออกไซด์)")</f>
        <v>SO2 (ซัลเฟอร์ไดออกไซด์)</v>
      </c>
      <c r="BJ219" s="7" t="str">
        <f>IFERROR(__xludf.DUMMYFUNCTION("GoogleTranslate(C219, ""en"", ""tr"")"),"SO2 (Kükürt dioksit)")</f>
        <v>SO2 (Kükürt dioksit)</v>
      </c>
      <c r="BK219" s="7" t="str">
        <f>IFERROR(__xludf.DUMMYFUNCTION("GoogleTranslate(C219, ""en"", ""uk"")"),"SO2 (діоксид сірки)")</f>
        <v>SO2 (діоксид сірки)</v>
      </c>
      <c r="BL219" s="7" t="str">
        <f>IFERROR(__xludf.DUMMYFUNCTION("GoogleTranslate(C219, ""en"", ""zu"")"),"I-SO2 (Sulphur dioxide)")</f>
        <v>I-SO2 (Sulphur dioxide)</v>
      </c>
    </row>
    <row r="220">
      <c r="A220" s="5" t="str">
        <f t="shared" si="1"/>
        <v>NO2_(Nitrogen_dioxide)</v>
      </c>
      <c r="B220" s="4" t="s">
        <v>264</v>
      </c>
      <c r="C220" s="4" t="s">
        <v>264</v>
      </c>
      <c r="D220" s="7" t="str">
        <f>IFERROR(__xludf.DUMMYFUNCTION("GoogleTranslate(C220, ""en"", ""es"")"),"NO2 (Dióxido de nitrógeno)")</f>
        <v>NO2 (Dióxido de nitrógeno)</v>
      </c>
      <c r="E220" s="7" t="str">
        <f>IFERROR(__xludf.DUMMYFUNCTION("GoogleTranslate(C220, ""en"", ""ar"")"),"NO2 (ثاني أكسيد النيتروجين)")</f>
        <v>NO2 (ثاني أكسيد النيتروجين)</v>
      </c>
      <c r="F220" s="7" t="str">
        <f>IFERROR(__xludf.DUMMYFUNCTION("GoogleTranslate(C220, ""en"", ""hy"")"),"NO2 (Ազոտի երկօքսիդ)")</f>
        <v>NO2 (Ազոտի երկօքսիդ)</v>
      </c>
      <c r="G220" s="7" t="str">
        <f>IFERROR(__xludf.DUMMYFUNCTION("GoogleTranslate(C220, ""en"", ""vi"")"),"NO2 (Nitơ dioxit)")</f>
        <v>NO2 (Nitơ dioxit)</v>
      </c>
      <c r="H220" s="7" t="str">
        <f>IFERROR(__xludf.DUMMYFUNCTION("GoogleTranslate(C220, ""en"", ""az"")"),"NO2 (Azot dioksidi)")</f>
        <v>NO2 (Azot dioksidi)</v>
      </c>
      <c r="I220" s="7" t="str">
        <f>IFERROR(__xludf.DUMMYFUNCTION("GoogleTranslate(C220, ""en"", ""eu"")"),"NO2 (nitrogeno dioxidoa)")</f>
        <v>NO2 (nitrogeno dioxidoa)</v>
      </c>
      <c r="J220" s="7" t="str">
        <f>IFERROR(__xludf.DUMMYFUNCTION("GoogleTranslate(C220, ""en"", ""be"")"),"NO2 (дыяксід азоту)")</f>
        <v>NO2 (дыяксід азоту)</v>
      </c>
      <c r="K220" s="7" t="str">
        <f>IFERROR(__xludf.DUMMYFUNCTION("GoogleTranslate(C220, ""en"", ""bn"")"),"NO2 (নাইট্রোজেন ডাই অক্সাইড)")</f>
        <v>NO2 (নাইট্রোজেন ডাই অক্সাইড)</v>
      </c>
      <c r="L220" s="7" t="str">
        <f>IFERROR(__xludf.DUMMYFUNCTION("GoogleTranslate(C220, ""en"", ""bg"")"),"NO2 (Азотен диоксид)")</f>
        <v>NO2 (Азотен диоксид)</v>
      </c>
      <c r="M220" s="7" t="str">
        <f>IFERROR(__xludf.DUMMYFUNCTION("GoogleTranslate(C220, ""en"", ""my"")"),"NO2 (နိုက်ထရိုဂျင်ဒိုင်အောက်ဆိုဒ်)")</f>
        <v>NO2 (နိုက်ထရိုဂျင်ဒိုင်အောက်ဆိုဒ်)</v>
      </c>
      <c r="N220" s="7" t="str">
        <f>IFERROR(__xludf.DUMMYFUNCTION("GoogleTranslate(C220, ""en"", ""ca"")"),"NO2 (diòxid de nitrogen)")</f>
        <v>NO2 (diòxid de nitrogen)</v>
      </c>
      <c r="O220" s="7" t="str">
        <f>IFERROR(__xludf.DUMMYFUNCTION("GoogleTranslate(C220, ""en"", ""zh-cn"")"),"NO2（二氧化氮）")</f>
        <v>NO2（二氧化氮）</v>
      </c>
      <c r="P220" s="7" t="str">
        <f>IFERROR(__xludf.DUMMYFUNCTION("GoogleTranslate(C220, ""en"", ""zh-TW"")"),"NO2（二氧化氮）")</f>
        <v>NO2（二氧化氮）</v>
      </c>
      <c r="Q220" s="7" t="str">
        <f>IFERROR(__xludf.DUMMYFUNCTION("GoogleTranslate(C220, ""en"", ""hr"")"),"NO2 (dušikov dioksid)")</f>
        <v>NO2 (dušikov dioksid)</v>
      </c>
      <c r="R220" s="7" t="str">
        <f>IFERROR(__xludf.DUMMYFUNCTION("GoogleTranslate(C220, ""en"", ""cs"")"),"NO2 (oxid dusičitý)")</f>
        <v>NO2 (oxid dusičitý)</v>
      </c>
      <c r="S220" s="7" t="str">
        <f>IFERROR(__xludf.DUMMYFUNCTION("GoogleTranslate(C220, ""en"", ""da"")"),"NO2 (nitrogendioxid)")</f>
        <v>NO2 (nitrogendioxid)</v>
      </c>
      <c r="T220" s="7" t="str">
        <f>IFERROR(__xludf.DUMMYFUNCTION("GoogleTranslate(C220, ""en"", ""nl"")"),"NO2 (stikstofdioxide)")</f>
        <v>NO2 (stikstofdioxide)</v>
      </c>
      <c r="U220" s="7" t="str">
        <f>IFERROR(__xludf.DUMMYFUNCTION("GoogleTranslate(C220, ""en"", ""et"")"),"NO2 (lämmastikdioksiid)")</f>
        <v>NO2 (lämmastikdioksiid)</v>
      </c>
      <c r="V220" s="5" t="str">
        <f t="shared" si="3"/>
        <v>NO2 (Nitrogen dioxide)</v>
      </c>
      <c r="W220" s="7" t="str">
        <f>IFERROR(__xludf.DUMMYFUNCTION("GoogleTranslate(C220, ""en"", ""fi"")"),"NO2 (typpidioksidi)")</f>
        <v>NO2 (typpidioksidi)</v>
      </c>
      <c r="X220" s="7" t="str">
        <f>IFERROR(__xludf.DUMMYFUNCTION("GoogleTranslate(C220, ""en"", ""fr"")"),"NO2 (Dioxyde d'azote)")</f>
        <v>NO2 (Dioxyde d'azote)</v>
      </c>
      <c r="Y220" s="7" t="str">
        <f>IFERROR(__xludf.DUMMYFUNCTION("GoogleTranslate(C220, ""en"", ""de"")"),"NO2 (Stickstoffdioxid)")</f>
        <v>NO2 (Stickstoffdioxid)</v>
      </c>
      <c r="Z220" s="7" t="str">
        <f>IFERROR(__xludf.DUMMYFUNCTION("GoogleTranslate(C220, ""en"", ""el"")"),"NO2 (διοξείδιο του αζώτου)")</f>
        <v>NO2 (διοξείδιο του αζώτου)</v>
      </c>
      <c r="AA220" s="7" t="str">
        <f>IFERROR(__xludf.DUMMYFUNCTION("GoogleTranslate(C220, ""en"", ""iw"")"),"NO2 (חנקן דו חמצני)")</f>
        <v>NO2 (חנקן דו חמצני)</v>
      </c>
      <c r="AB220" s="7" t="str">
        <f>IFERROR(__xludf.DUMMYFUNCTION("GoogleTranslate(C220, ""en"", ""hi"")"),"NO2 (नाइट्रोजन डाइऑक्साइड)")</f>
        <v>NO2 (नाइट्रोजन डाइऑक्साइड)</v>
      </c>
      <c r="AC220" s="7" t="str">
        <f>IFERROR(__xludf.DUMMYFUNCTION("GoogleTranslate(C220, ""en"", ""hu"")"),"NO2 (nitrogén-dioxid)")</f>
        <v>NO2 (nitrogén-dioxid)</v>
      </c>
      <c r="AD220" s="7" t="str">
        <f>IFERROR(__xludf.DUMMYFUNCTION("GoogleTranslate(C220, ""en"", ""is"")"),"NO2 (köfnunarefnisdíoxíð)")</f>
        <v>NO2 (köfnunarefnisdíoxíð)</v>
      </c>
      <c r="AE220" s="7" t="str">
        <f>IFERROR(__xludf.DUMMYFUNCTION("GoogleTranslate(C220, ""en"", ""id"")"),"NO2 (Nitrogen dioksida)")</f>
        <v>NO2 (Nitrogen dioksida)</v>
      </c>
      <c r="AF220" s="7" t="str">
        <f>IFERROR(__xludf.DUMMYFUNCTION("GoogleTranslate(C220, ""en"", ""in"")"),"NO2 (Nitrogen dioksida)")</f>
        <v>NO2 (Nitrogen dioksida)</v>
      </c>
      <c r="AG220" s="7" t="str">
        <f>IFERROR(__xludf.DUMMYFUNCTION("GoogleTranslate(C220, ""en"", ""it"")"),"NO2 (biossido di azoto)")</f>
        <v>NO2 (biossido di azoto)</v>
      </c>
      <c r="AH220" s="7" t="str">
        <f>IFERROR(__xludf.DUMMYFUNCTION("GoogleTranslate(C220, ""en"", ""ja"")"),"NO2（二酸化窒素）")</f>
        <v>NO2（二酸化窒素）</v>
      </c>
      <c r="AI220" s="7" t="str">
        <f>IFERROR(__xludf.DUMMYFUNCTION("GoogleTranslate(C220, ""en"", ""kn"")"),"NO2 (ನೈಟ್ರೋಜನ್ ಡೈಆಕ್ಸೈಡ್)")</f>
        <v>NO2 (ನೈಟ್ರೋಜನ್ ಡೈಆಕ್ಸೈಡ್)</v>
      </c>
      <c r="AJ220" s="7" t="str">
        <f>IFERROR(__xludf.DUMMYFUNCTION("GoogleTranslate(C220, ""en"", ""km"")"),"NO2 (អាសូតឌីអុកស៊ីត)")</f>
        <v>NO2 (អាសូតឌីអុកស៊ីត)</v>
      </c>
      <c r="AK220" s="7" t="str">
        <f>IFERROR(__xludf.DUMMYFUNCTION("GoogleTranslate(C220, ""en"", ""ko"")"),"NO2(이산화질소)")</f>
        <v>NO2(이산화질소)</v>
      </c>
      <c r="AL220" s="7" t="str">
        <f>IFERROR(__xludf.DUMMYFUNCTION("GoogleTranslate(C220, ""en"", ""lo"")"),"NO2 (ໄນໂຕຣເຈນໄດອອກໄຊ)")</f>
        <v>NO2 (ໄນໂຕຣເຈນໄດອອກໄຊ)</v>
      </c>
      <c r="AM220" s="7" t="str">
        <f>IFERROR(__xludf.DUMMYFUNCTION("GoogleTranslate(C220, ""en"", ""lv"")"),"NO2 (slāpekļa dioksīds)")</f>
        <v>NO2 (slāpekļa dioksīds)</v>
      </c>
      <c r="AN220" s="7" t="str">
        <f>IFERROR(__xludf.DUMMYFUNCTION("GoogleTranslate(C220, ""en"", ""lt"")"),"NO2 (azoto dioksidas)")</f>
        <v>NO2 (azoto dioksidas)</v>
      </c>
      <c r="AO220" s="7" t="str">
        <f>IFERROR(__xludf.DUMMYFUNCTION("GoogleTranslate(C220, ""en"", ""mk"")"),"NO2 (Азот диоксид)")</f>
        <v>NO2 (Азот диоксид)</v>
      </c>
      <c r="AP220" s="7" t="str">
        <f>IFERROR(__xludf.DUMMYFUNCTION("GoogleTranslate(C220, ""en"", ""ms"")"),"NO2 (Nitrogen dioksida)")</f>
        <v>NO2 (Nitrogen dioksida)</v>
      </c>
      <c r="AQ220" s="7" t="str">
        <f>IFERROR(__xludf.DUMMYFUNCTION("GoogleTranslate(C220, ""en"", ""ml"")"),"NO2 (നൈട്രജൻ ഡയോക്സൈഡ്)")</f>
        <v>NO2 (നൈട്രജൻ ഡയോക്സൈഡ്)</v>
      </c>
      <c r="AR220" s="7" t="str">
        <f>IFERROR(__xludf.DUMMYFUNCTION("GoogleTranslate(C220, ""en"", ""mr"")"),"NO2 (नायट्रोजन डायऑक्साइड)")</f>
        <v>NO2 (नायट्रोजन डायऑक्साइड)</v>
      </c>
      <c r="AS220" s="7" t="str">
        <f>IFERROR(__xludf.DUMMYFUNCTION("GoogleTranslate(C220, ""en"", ""mn"")"),"NO2 (Азотын давхар исэл)")</f>
        <v>NO2 (Азотын давхар исэл)</v>
      </c>
      <c r="AT220" s="7" t="str">
        <f>IFERROR(__xludf.DUMMYFUNCTION("GoogleTranslate(C220, ""en"", ""ne"")"),"NO2 (नाइट्रोजन डाइअक्साइड)")</f>
        <v>NO2 (नाइट्रोजन डाइअक्साइड)</v>
      </c>
      <c r="AU220" s="7" t="str">
        <f>IFERROR(__xludf.DUMMYFUNCTION("GoogleTranslate(C220, ""en"", ""nb"")"),"NO2 (nitrogendioksid)")</f>
        <v>NO2 (nitrogendioksid)</v>
      </c>
      <c r="AV220" s="7" t="str">
        <f>IFERROR(__xludf.DUMMYFUNCTION("GoogleTranslate(C220, ""en"", ""fa"")"),"NO2 (دی اکسید نیتروژن)")</f>
        <v>NO2 (دی اکسید نیتروژن)</v>
      </c>
      <c r="AW220" s="7" t="str">
        <f>IFERROR(__xludf.DUMMYFUNCTION("GoogleTranslate(C220, ""en"", ""pl"")"),"NO2 (dwutlenek azotu)")</f>
        <v>NO2 (dwutlenek azotu)</v>
      </c>
      <c r="AX220" s="7" t="str">
        <f>IFERROR(__xludf.DUMMYFUNCTION("GoogleTranslate(C220, ""en"", ""pt"")"),"NO2 (dióxido de nitrogênio)")</f>
        <v>NO2 (dióxido de nitrogênio)</v>
      </c>
      <c r="AY220" s="7" t="str">
        <f>IFERROR(__xludf.DUMMYFUNCTION("GoogleTranslate(C220, ""en"", ""ro"")"),"NO2 (dioxid de azot)")</f>
        <v>NO2 (dioxid de azot)</v>
      </c>
      <c r="AZ220" s="7" t="str">
        <f>IFERROR(__xludf.DUMMYFUNCTION("GoogleTranslate(C220, ""en"", ""ru"")"),"NO2 (Диоксид азота)")</f>
        <v>NO2 (Диоксид азота)</v>
      </c>
      <c r="BA220" s="7" t="str">
        <f>IFERROR(__xludf.DUMMYFUNCTION("GoogleTranslate(C220, ""en"", ""sr"")"),"НО2 (азот диоксид)")</f>
        <v>НО2 (азот диоксид)</v>
      </c>
      <c r="BB220" s="7" t="str">
        <f>IFERROR(__xludf.DUMMYFUNCTION("GoogleTranslate(C220, ""en"", ""si"")"),"NO2 (නයිට්‍රජන් ඩයොක්සයිඩ්)")</f>
        <v>NO2 (නයිට්‍රජන් ඩයොක්සයිඩ්)</v>
      </c>
      <c r="BC220" s="7" t="str">
        <f>IFERROR(__xludf.DUMMYFUNCTION("GoogleTranslate(C220, ""en"", ""sk"")"),"NO2 (oxid dusičitý)")</f>
        <v>NO2 (oxid dusičitý)</v>
      </c>
      <c r="BD220" s="7" t="str">
        <f>IFERROR(__xludf.DUMMYFUNCTION("GoogleTranslate(C220, ""en"", ""sl"")"),"NO2 (dušikov dioksid)")</f>
        <v>NO2 (dušikov dioksid)</v>
      </c>
      <c r="BE220" s="7" t="str">
        <f>IFERROR(__xludf.DUMMYFUNCTION("GoogleTranslate(C220, ""en"", ""es"")"),"NO2 (Dióxido de nitrógeno)")</f>
        <v>NO2 (Dióxido de nitrógeno)</v>
      </c>
      <c r="BF220" s="7" t="str">
        <f>IFERROR(__xludf.DUMMYFUNCTION("GoogleTranslate(C220, ""en"", ""sw"")"),"NO2 (Dioksidi ya nitrojeni)")</f>
        <v>NO2 (Dioksidi ya nitrojeni)</v>
      </c>
      <c r="BG220" s="7" t="str">
        <f>IFERROR(__xludf.DUMMYFUNCTION("GoogleTranslate(C220, ""en"", ""sv"")"),"NO2 (kvävedioxid)")</f>
        <v>NO2 (kvävedioxid)</v>
      </c>
      <c r="BH220" s="7" t="str">
        <f>IFERROR(__xludf.DUMMYFUNCTION("GoogleTranslate(C220, ""en"", ""te"")"),"NO2 (నైట్రోజన్ డయాక్సైడ్)")</f>
        <v>NO2 (నైట్రోజన్ డయాక్సైడ్)</v>
      </c>
      <c r="BI220" s="7" t="str">
        <f>IFERROR(__xludf.DUMMYFUNCTION("GoogleTranslate(C220, ""en"", ""th"")"),"NO2 (ไนโตรเจนไดออกไซด์)")</f>
        <v>NO2 (ไนโตรเจนไดออกไซด์)</v>
      </c>
      <c r="BJ220" s="7" t="str">
        <f>IFERROR(__xludf.DUMMYFUNCTION("GoogleTranslate(C220, ""en"", ""tr"")"),"NO2 (Azot dioksit)")</f>
        <v>NO2 (Azot dioksit)</v>
      </c>
      <c r="BK220" s="7" t="str">
        <f>IFERROR(__xludf.DUMMYFUNCTION("GoogleTranslate(C220, ""en"", ""uk"")"),"NO2 (діоксид азоту)")</f>
        <v>NO2 (діоксид азоту)</v>
      </c>
      <c r="BL220" s="7" t="str">
        <f>IFERROR(__xludf.DUMMYFUNCTION("GoogleTranslate(C220, ""en"", ""zu"")"),"I-NO2 (i-nitrogen dioxide)")</f>
        <v>I-NO2 (i-nitrogen dioxide)</v>
      </c>
    </row>
    <row r="221">
      <c r="A221" s="5" t="str">
        <f t="shared" si="1"/>
        <v>CO_(Carbon_monoxide)</v>
      </c>
      <c r="B221" s="4" t="s">
        <v>265</v>
      </c>
      <c r="C221" s="4" t="s">
        <v>265</v>
      </c>
      <c r="D221" s="7" t="str">
        <f>IFERROR(__xludf.DUMMYFUNCTION("GoogleTranslate(C221, ""en"", ""es"")"),"CO (monóxido de carbono)")</f>
        <v>CO (monóxido de carbono)</v>
      </c>
      <c r="E221" s="7" t="str">
        <f>IFERROR(__xludf.DUMMYFUNCTION("GoogleTranslate(C221, ""en"", ""ar"")"),"ثاني أكسيد الكربون (أول أكسيد الكربون)")</f>
        <v>ثاني أكسيد الكربون (أول أكسيد الكربون)</v>
      </c>
      <c r="F221" s="7" t="str">
        <f>IFERROR(__xludf.DUMMYFUNCTION("GoogleTranslate(C221, ""en"", ""hy"")"),"CO (ածխածնի երկօքսիդ)")</f>
        <v>CO (ածխածնի երկօքսիդ)</v>
      </c>
      <c r="G221" s="7" t="str">
        <f>IFERROR(__xludf.DUMMYFUNCTION("GoogleTranslate(C221, ""en"", ""vi"")"),"CO (Cacbon monoxit)")</f>
        <v>CO (Cacbon monoxit)</v>
      </c>
      <c r="H221" s="7" t="str">
        <f>IFERROR(__xludf.DUMMYFUNCTION("GoogleTranslate(C221, ""en"", ""az"")"),"CO (karbon monoksit)")</f>
        <v>CO (karbon monoksit)</v>
      </c>
      <c r="I221" s="7" t="str">
        <f>IFERROR(__xludf.DUMMYFUNCTION("GoogleTranslate(C221, ""en"", ""eu"")"),"CO (karbono monoxidoa)")</f>
        <v>CO (karbono monoxidoa)</v>
      </c>
      <c r="J221" s="7" t="str">
        <f>IFERROR(__xludf.DUMMYFUNCTION("GoogleTranslate(C221, ""en"", ""be"")"),"CO (вокіс вугляроду)")</f>
        <v>CO (вокіс вугляроду)</v>
      </c>
      <c r="K221" s="7" t="str">
        <f>IFERROR(__xludf.DUMMYFUNCTION("GoogleTranslate(C221, ""en"", ""bn"")"),"CO (কার্বন মনোক্সাইড)")</f>
        <v>CO (কার্বন মনোক্সাইড)</v>
      </c>
      <c r="L221" s="7" t="str">
        <f>IFERROR(__xludf.DUMMYFUNCTION("GoogleTranslate(C221, ""en"", ""bg"")"),"CO (въглероден окис)")</f>
        <v>CO (въглероден окис)</v>
      </c>
      <c r="M221" s="7" t="str">
        <f>IFERROR(__xludf.DUMMYFUNCTION("GoogleTranslate(C221, ""en"", ""my"")"),"CO (ကာဗွန်မိုနောက်ဆိုဒ်)")</f>
        <v>CO (ကာဗွန်မိုနောက်ဆိုဒ်)</v>
      </c>
      <c r="N221" s="7" t="str">
        <f>IFERROR(__xludf.DUMMYFUNCTION("GoogleTranslate(C221, ""en"", ""ca"")"),"CO (monòxid de carboni)")</f>
        <v>CO (monòxid de carboni)</v>
      </c>
      <c r="O221" s="7" t="str">
        <f>IFERROR(__xludf.DUMMYFUNCTION("GoogleTranslate(C221, ""en"", ""zh-cn"")"),"CO（一氧化碳）")</f>
        <v>CO（一氧化碳）</v>
      </c>
      <c r="P221" s="7" t="str">
        <f>IFERROR(__xludf.DUMMYFUNCTION("GoogleTranslate(C221, ""en"", ""zh-TW"")"),"CO（一氧化碳）")</f>
        <v>CO（一氧化碳）</v>
      </c>
      <c r="Q221" s="7" t="str">
        <f>IFERROR(__xludf.DUMMYFUNCTION("GoogleTranslate(C221, ""en"", ""hr"")"),"CO (ugljični monoksid)")</f>
        <v>CO (ugljični monoksid)</v>
      </c>
      <c r="R221" s="7" t="str">
        <f>IFERROR(__xludf.DUMMYFUNCTION("GoogleTranslate(C221, ""en"", ""cs"")"),"CO (oxid uhelnatý)")</f>
        <v>CO (oxid uhelnatý)</v>
      </c>
      <c r="S221" s="7" t="str">
        <f>IFERROR(__xludf.DUMMYFUNCTION("GoogleTranslate(C221, ""en"", ""da"")"),"CO (kulilte)")</f>
        <v>CO (kulilte)</v>
      </c>
      <c r="T221" s="7" t="str">
        <f>IFERROR(__xludf.DUMMYFUNCTION("GoogleTranslate(C221, ""en"", ""nl"")"),"CO (koolmonoxide)")</f>
        <v>CO (koolmonoxide)</v>
      </c>
      <c r="U221" s="7" t="str">
        <f>IFERROR(__xludf.DUMMYFUNCTION("GoogleTranslate(C221, ""en"", ""et"")"),"CO (süsinikmonooksiid)")</f>
        <v>CO (süsinikmonooksiid)</v>
      </c>
      <c r="V221" s="5" t="str">
        <f t="shared" si="3"/>
        <v>CO (Carbon monoxide)</v>
      </c>
      <c r="W221" s="7" t="str">
        <f>IFERROR(__xludf.DUMMYFUNCTION("GoogleTranslate(C221, ""en"", ""fi"")"),"CO (hiilimonoksidi)")</f>
        <v>CO (hiilimonoksidi)</v>
      </c>
      <c r="X221" s="7" t="str">
        <f>IFERROR(__xludf.DUMMYFUNCTION("GoogleTranslate(C221, ""en"", ""fr"")"),"CO (Monoxyde de carbone)")</f>
        <v>CO (Monoxyde de carbone)</v>
      </c>
      <c r="Y221" s="7" t="str">
        <f>IFERROR(__xludf.DUMMYFUNCTION("GoogleTranslate(C221, ""en"", ""de"")"),"CO (Kohlenmonoxid)")</f>
        <v>CO (Kohlenmonoxid)</v>
      </c>
      <c r="Z221" s="7" t="str">
        <f>IFERROR(__xludf.DUMMYFUNCTION("GoogleTranslate(C221, ""en"", ""el"")"),"CO (μονοξείδιο του άνθρακα)")</f>
        <v>CO (μονοξείδιο του άνθρακα)</v>
      </c>
      <c r="AA221" s="7" t="str">
        <f>IFERROR(__xludf.DUMMYFUNCTION("GoogleTranslate(C221, ""en"", ""iw"")"),"CO (פחמן חד חמצני)")</f>
        <v>CO (פחמן חד חמצני)</v>
      </c>
      <c r="AB221" s="7" t="str">
        <f>IFERROR(__xludf.DUMMYFUNCTION("GoogleTranslate(C221, ""en"", ""hi"")"),"CO (कार्बन मोनोऑक्साइड)")</f>
        <v>CO (कार्बन मोनोऑक्साइड)</v>
      </c>
      <c r="AC221" s="7" t="str">
        <f>IFERROR(__xludf.DUMMYFUNCTION("GoogleTranslate(C221, ""en"", ""hu"")"),"CO (szén-monoxid)")</f>
        <v>CO (szén-monoxid)</v>
      </c>
      <c r="AD221" s="7" t="str">
        <f>IFERROR(__xludf.DUMMYFUNCTION("GoogleTranslate(C221, ""en"", ""is"")"),"CO (kolmónoxíð)")</f>
        <v>CO (kolmónoxíð)</v>
      </c>
      <c r="AE221" s="7" t="str">
        <f>IFERROR(__xludf.DUMMYFUNCTION("GoogleTranslate(C221, ""en"", ""id"")"),"CO (Karbon monoksida)")</f>
        <v>CO (Karbon monoksida)</v>
      </c>
      <c r="AF221" s="7" t="str">
        <f>IFERROR(__xludf.DUMMYFUNCTION("GoogleTranslate(C221, ""en"", ""in"")"),"CO (Karbon monoksida)")</f>
        <v>CO (Karbon monoksida)</v>
      </c>
      <c r="AG221" s="7" t="str">
        <f>IFERROR(__xludf.DUMMYFUNCTION("GoogleTranslate(C221, ""en"", ""it"")"),"CO (monossido di carbonio)")</f>
        <v>CO (monossido di carbonio)</v>
      </c>
      <c r="AH221" s="7" t="str">
        <f>IFERROR(__xludf.DUMMYFUNCTION("GoogleTranslate(C221, ""en"", ""ja"")"),"CO（一酸化炭素）")</f>
        <v>CO（一酸化炭素）</v>
      </c>
      <c r="AI221" s="7" t="str">
        <f>IFERROR(__xludf.DUMMYFUNCTION("GoogleTranslate(C221, ""en"", ""kn"")"),"CO (ಕಾರ್ಬನ್ ಮಾನಾಕ್ಸೈಡ್)")</f>
        <v>CO (ಕಾರ್ಬನ್ ಮಾನಾಕ್ಸೈಡ್)</v>
      </c>
      <c r="AJ221" s="7" t="str">
        <f>IFERROR(__xludf.DUMMYFUNCTION("GoogleTranslate(C221, ""en"", ""km"")"),"កាបូនម៉ូណូអុកស៊ីត (CO)")</f>
        <v>កាបូនម៉ូណូអុកស៊ីត (CO)</v>
      </c>
      <c r="AK221" s="7" t="str">
        <f>IFERROR(__xludf.DUMMYFUNCTION("GoogleTranslate(C221, ""en"", ""ko"")"),"CO (일산화탄소)")</f>
        <v>CO (일산화탄소)</v>
      </c>
      <c r="AL221" s="7" t="str">
        <f>IFERROR(__xludf.DUMMYFUNCTION("GoogleTranslate(C221, ""en"", ""lo"")"),"CO (ຄາບອນໂມໂນໄຊ)")</f>
        <v>CO (ຄາບອນໂມໂນໄຊ)</v>
      </c>
      <c r="AM221" s="7" t="str">
        <f>IFERROR(__xludf.DUMMYFUNCTION("GoogleTranslate(C221, ""en"", ""lv"")"),"CO (oglekļa monoksīds)")</f>
        <v>CO (oglekļa monoksīds)</v>
      </c>
      <c r="AN221" s="7" t="str">
        <f>IFERROR(__xludf.DUMMYFUNCTION("GoogleTranslate(C221, ""en"", ""lt"")"),"CO (anglies monoksidas)")</f>
        <v>CO (anglies monoksidas)</v>
      </c>
      <c r="AO221" s="7" t="str">
        <f>IFERROR(__xludf.DUMMYFUNCTION("GoogleTranslate(C221, ""en"", ""mk"")"),"CO (јаглерод моноксид)")</f>
        <v>CO (јаглерод моноксид)</v>
      </c>
      <c r="AP221" s="7" t="str">
        <f>IFERROR(__xludf.DUMMYFUNCTION("GoogleTranslate(C221, ""en"", ""ms"")"),"CO (Karbon monoksida)")</f>
        <v>CO (Karbon monoksida)</v>
      </c>
      <c r="AQ221" s="7" t="str">
        <f>IFERROR(__xludf.DUMMYFUNCTION("GoogleTranslate(C221, ""en"", ""ml"")"),"CO (കാർബൺ മോണോക്സൈഡ്)")</f>
        <v>CO (കാർബൺ മോണോക്സൈഡ്)</v>
      </c>
      <c r="AR221" s="7" t="str">
        <f>IFERROR(__xludf.DUMMYFUNCTION("GoogleTranslate(C221, ""en"", ""mr"")"),"CO (कार्बन मोनोऑक्साइड)")</f>
        <v>CO (कार्बन मोनोऑक्साइड)</v>
      </c>
      <c r="AS221" s="7" t="str">
        <f>IFERROR(__xludf.DUMMYFUNCTION("GoogleTranslate(C221, ""en"", ""mn"")"),"CO (нүүрстөрөгчийн дутуу исэл)")</f>
        <v>CO (нүүрстөрөгчийн дутуу исэл)</v>
      </c>
      <c r="AT221" s="7" t="str">
        <f>IFERROR(__xludf.DUMMYFUNCTION("GoogleTranslate(C221, ""en"", ""ne"")"),"CO (कार्बन मोनोअक्साइड)")</f>
        <v>CO (कार्बन मोनोअक्साइड)</v>
      </c>
      <c r="AU221" s="7" t="str">
        <f>IFERROR(__xludf.DUMMYFUNCTION("GoogleTranslate(C221, ""en"", ""nb"")"),"CO (karbonmonoksid)")</f>
        <v>CO (karbonmonoksid)</v>
      </c>
      <c r="AV221" s="7" t="str">
        <f>IFERROR(__xludf.DUMMYFUNCTION("GoogleTranslate(C221, ""en"", ""fa"")"),"CO (مونوکسید کربن)")</f>
        <v>CO (مونوکسید کربن)</v>
      </c>
      <c r="AW221" s="7" t="str">
        <f>IFERROR(__xludf.DUMMYFUNCTION("GoogleTranslate(C221, ""en"", ""pl"")"),"CO (tlenek węgla)")</f>
        <v>CO (tlenek węgla)</v>
      </c>
      <c r="AX221" s="7" t="str">
        <f>IFERROR(__xludf.DUMMYFUNCTION("GoogleTranslate(C221, ""en"", ""pt"")"),"CO (monóxido de carbono)")</f>
        <v>CO (monóxido de carbono)</v>
      </c>
      <c r="AY221" s="7" t="str">
        <f>IFERROR(__xludf.DUMMYFUNCTION("GoogleTranslate(C221, ""en"", ""ro"")"),"CO (monoxid de carbon)")</f>
        <v>CO (monoxid de carbon)</v>
      </c>
      <c r="AZ221" s="7" t="str">
        <f>IFERROR(__xludf.DUMMYFUNCTION("GoogleTranslate(C221, ""en"", ""ru"")"),"CO (окись углерода)")</f>
        <v>CO (окись углерода)</v>
      </c>
      <c r="BA221" s="7" t="str">
        <f>IFERROR(__xludf.DUMMYFUNCTION("GoogleTranslate(C221, ""en"", ""sr"")"),"ЦО (угљен моноксид)")</f>
        <v>ЦО (угљен моноксид)</v>
      </c>
      <c r="BB221" s="7" t="str">
        <f>IFERROR(__xludf.DUMMYFUNCTION("GoogleTranslate(C221, ""en"", ""si"")"),"CO (කාබන් මොනොක්සයිඩ්)")</f>
        <v>CO (කාබන් මොනොක්සයිඩ්)</v>
      </c>
      <c r="BC221" s="7" t="str">
        <f>IFERROR(__xludf.DUMMYFUNCTION("GoogleTranslate(C221, ""en"", ""sk"")"),"CO (oxid uhoľnatý)")</f>
        <v>CO (oxid uhoľnatý)</v>
      </c>
      <c r="BD221" s="7" t="str">
        <f>IFERROR(__xludf.DUMMYFUNCTION("GoogleTranslate(C221, ""en"", ""sl"")"),"CO (ogljikov monoksid)")</f>
        <v>CO (ogljikov monoksid)</v>
      </c>
      <c r="BE221" s="7" t="str">
        <f>IFERROR(__xludf.DUMMYFUNCTION("GoogleTranslate(C221, ""en"", ""es"")"),"CO (monóxido de carbono)")</f>
        <v>CO (monóxido de carbono)</v>
      </c>
      <c r="BF221" s="7" t="str">
        <f>IFERROR(__xludf.DUMMYFUNCTION("GoogleTranslate(C221, ""en"", ""sw"")"),"CO (monoxide ya kaboni)")</f>
        <v>CO (monoxide ya kaboni)</v>
      </c>
      <c r="BG221" s="7" t="str">
        <f>IFERROR(__xludf.DUMMYFUNCTION("GoogleTranslate(C221, ""en"", ""sv"")"),"CO (kolmonoxid)")</f>
        <v>CO (kolmonoxid)</v>
      </c>
      <c r="BH221" s="7" t="str">
        <f>IFERROR(__xludf.DUMMYFUNCTION("GoogleTranslate(C221, ""en"", ""te"")"),"CO (కార్బన్ మోనాక్సైడ్)")</f>
        <v>CO (కార్బన్ మోనాక్సైడ్)</v>
      </c>
      <c r="BI221" s="7" t="str">
        <f>IFERROR(__xludf.DUMMYFUNCTION("GoogleTranslate(C221, ""en"", ""th"")"),"CO (คาร์บอนมอนอกไซด์)")</f>
        <v>CO (คาร์บอนมอนอกไซด์)</v>
      </c>
      <c r="BJ221" s="7" t="str">
        <f>IFERROR(__xludf.DUMMYFUNCTION("GoogleTranslate(C221, ""en"", ""tr"")"),"CO (Karbon monoksit)")</f>
        <v>CO (Karbon monoksit)</v>
      </c>
      <c r="BK221" s="7" t="str">
        <f>IFERROR(__xludf.DUMMYFUNCTION("GoogleTranslate(C221, ""en"", ""uk"")"),"CO (окис вуглецю)")</f>
        <v>CO (окис вуглецю)</v>
      </c>
      <c r="BL221" s="7" t="str">
        <f>IFERROR(__xludf.DUMMYFUNCTION("GoogleTranslate(C221, ""en"", ""zu"")"),"I-CO (Carbon monoxide)")</f>
        <v>I-CO (Carbon monoxide)</v>
      </c>
    </row>
    <row r="222">
      <c r="A222" s="5" t="str">
        <f t="shared" si="1"/>
        <v>Pb_(Lead)</v>
      </c>
      <c r="B222" s="4" t="s">
        <v>266</v>
      </c>
      <c r="C222" s="4" t="s">
        <v>266</v>
      </c>
      <c r="D222" s="7" t="str">
        <f>IFERROR(__xludf.DUMMYFUNCTION("GoogleTranslate(C222, ""en"", ""es"")"),"Pb (plomo)")</f>
        <v>Pb (plomo)</v>
      </c>
      <c r="E222" s="7" t="str">
        <f>IFERROR(__xludf.DUMMYFUNCTION("GoogleTranslate(C222, ""en"", ""ar"")"),"الرصاص (الرصاص)")</f>
        <v>الرصاص (الرصاص)</v>
      </c>
      <c r="F222" s="7" t="str">
        <f>IFERROR(__xludf.DUMMYFUNCTION("GoogleTranslate(C222, ""en"", ""hy"")"),"Pb (կապար)")</f>
        <v>Pb (կապար)</v>
      </c>
      <c r="G222" s="7" t="str">
        <f>IFERROR(__xludf.DUMMYFUNCTION("GoogleTranslate(C222, ""en"", ""vi"")"),"Pb (Chì)")</f>
        <v>Pb (Chì)</v>
      </c>
      <c r="H222" s="7" t="str">
        <f>IFERROR(__xludf.DUMMYFUNCTION("GoogleTranslate(C222, ""en"", ""az"")"),"Pb (Aparıcı)")</f>
        <v>Pb (Aparıcı)</v>
      </c>
      <c r="I222" s="7" t="str">
        <f>IFERROR(__xludf.DUMMYFUNCTION("GoogleTranslate(C222, ""en"", ""eu"")"),"Pb (beruna)")</f>
        <v>Pb (beruna)</v>
      </c>
      <c r="J222" s="7" t="str">
        <f>IFERROR(__xludf.DUMMYFUNCTION("GoogleTranslate(C222, ""en"", ""be"")"),"Pb (свінец)")</f>
        <v>Pb (свінец)</v>
      </c>
      <c r="K222" s="7" t="str">
        <f>IFERROR(__xludf.DUMMYFUNCTION("GoogleTranslate(C222, ""en"", ""bn"")"),"পিবি (লিড)")</f>
        <v>পিবি (লিড)</v>
      </c>
      <c r="L222" s="7" t="str">
        <f>IFERROR(__xludf.DUMMYFUNCTION("GoogleTranslate(C222, ""en"", ""bg"")"),"Pb (олово)")</f>
        <v>Pb (олово)</v>
      </c>
      <c r="M222" s="7" t="str">
        <f>IFERROR(__xludf.DUMMYFUNCTION("GoogleTranslate(C222, ""en"", ""my"")"),"Pb (ခဲ)")</f>
        <v>Pb (ခဲ)</v>
      </c>
      <c r="N222" s="7" t="str">
        <f>IFERROR(__xludf.DUMMYFUNCTION("GoogleTranslate(C222, ""en"", ""ca"")"),"Pb (Plom)")</f>
        <v>Pb (Plom)</v>
      </c>
      <c r="O222" s="7" t="str">
        <f>IFERROR(__xludf.DUMMYFUNCTION("GoogleTranslate(C222, ""en"", ""zh-cn"")"),"铅（铅）")</f>
        <v>铅（铅）</v>
      </c>
      <c r="P222" s="7" t="str">
        <f>IFERROR(__xludf.DUMMYFUNCTION("GoogleTranslate(C222, ""en"", ""zh-TW"")"),"鉛（鉛）")</f>
        <v>鉛（鉛）</v>
      </c>
      <c r="Q222" s="7" t="str">
        <f>IFERROR(__xludf.DUMMYFUNCTION("GoogleTranslate(C222, ""en"", ""hr"")"),"Pb (olovo)")</f>
        <v>Pb (olovo)</v>
      </c>
      <c r="R222" s="7" t="str">
        <f>IFERROR(__xludf.DUMMYFUNCTION("GoogleTranslate(C222, ""en"", ""cs"")"),"Pb (olovo)")</f>
        <v>Pb (olovo)</v>
      </c>
      <c r="S222" s="7" t="str">
        <f>IFERROR(__xludf.DUMMYFUNCTION("GoogleTranslate(C222, ""en"", ""da"")"),"Pb (Lead)")</f>
        <v>Pb (Lead)</v>
      </c>
      <c r="T222" s="7" t="str">
        <f>IFERROR(__xludf.DUMMYFUNCTION("GoogleTranslate(C222, ""en"", ""nl"")"),"Pb (leider)")</f>
        <v>Pb (leider)</v>
      </c>
      <c r="U222" s="7" t="str">
        <f>IFERROR(__xludf.DUMMYFUNCTION("GoogleTranslate(C222, ""en"", ""et"")"),"Pb (plii)")</f>
        <v>Pb (plii)</v>
      </c>
      <c r="V222" s="5" t="str">
        <f t="shared" si="3"/>
        <v>Pb (Lead)</v>
      </c>
      <c r="W222" s="7" t="str">
        <f>IFERROR(__xludf.DUMMYFUNCTION("GoogleTranslate(C222, ""en"", ""fi"")"),"Pb (lyijy)")</f>
        <v>Pb (lyijy)</v>
      </c>
      <c r="X222" s="7" t="str">
        <f>IFERROR(__xludf.DUMMYFUNCTION("GoogleTranslate(C222, ""en"", ""fr"")"),"Pb (Plomb)")</f>
        <v>Pb (Plomb)</v>
      </c>
      <c r="Y222" s="7" t="str">
        <f>IFERROR(__xludf.DUMMYFUNCTION("GoogleTranslate(C222, ""en"", ""de"")"),"Pb (Blei)")</f>
        <v>Pb (Blei)</v>
      </c>
      <c r="Z222" s="7" t="str">
        <f>IFERROR(__xludf.DUMMYFUNCTION("GoogleTranslate(C222, ""en"", ""el"")"),"Pb (μόλυβδος)")</f>
        <v>Pb (μόλυβδος)</v>
      </c>
      <c r="AA222" s="7" t="str">
        <f>IFERROR(__xludf.DUMMYFUNCTION("GoogleTranslate(C222, ""en"", ""iw"")"),"Pb (עופרת)")</f>
        <v>Pb (עופרת)</v>
      </c>
      <c r="AB222" s="7" t="str">
        <f>IFERROR(__xludf.DUMMYFUNCTION("GoogleTranslate(C222, ""en"", ""hi"")"),"पंजाब (लीड)")</f>
        <v>पंजाब (लीड)</v>
      </c>
      <c r="AC222" s="7" t="str">
        <f>IFERROR(__xludf.DUMMYFUNCTION("GoogleTranslate(C222, ""en"", ""hu"")"),"Pb (ólom)")</f>
        <v>Pb (ólom)</v>
      </c>
      <c r="AD222" s="7" t="str">
        <f>IFERROR(__xludf.DUMMYFUNCTION("GoogleTranslate(C222, ""en"", ""is"")"),"Pb (Blý)")</f>
        <v>Pb (Blý)</v>
      </c>
      <c r="AE222" s="7" t="str">
        <f>IFERROR(__xludf.DUMMYFUNCTION("GoogleTranslate(C222, ""en"", ""id"")"),"Pb (Memimpin)")</f>
        <v>Pb (Memimpin)</v>
      </c>
      <c r="AF222" s="7" t="str">
        <f>IFERROR(__xludf.DUMMYFUNCTION("GoogleTranslate(C222, ""en"", ""in"")"),"Pb (Memimpin)")</f>
        <v>Pb (Memimpin)</v>
      </c>
      <c r="AG222" s="7" t="str">
        <f>IFERROR(__xludf.DUMMYFUNCTION("GoogleTranslate(C222, ""en"", ""it"")"),"Pb (piombo)")</f>
        <v>Pb (piombo)</v>
      </c>
      <c r="AH222" s="7" t="str">
        <f>IFERROR(__xludf.DUMMYFUNCTION("GoogleTranslate(C222, ""en"", ""ja"")"),"Pb（鉛）")</f>
        <v>Pb（鉛）</v>
      </c>
      <c r="AI222" s="7" t="str">
        <f>IFERROR(__xludf.DUMMYFUNCTION("GoogleTranslate(C222, ""en"", ""kn"")"),"Pb (ಲೀಡ್)")</f>
        <v>Pb (ಲೀಡ್)</v>
      </c>
      <c r="AJ222" s="7" t="str">
        <f>IFERROR(__xludf.DUMMYFUNCTION("GoogleTranslate(C222, ""en"", ""km"")"),"Pb (នាំមុខ)")</f>
        <v>Pb (នាំមុខ)</v>
      </c>
      <c r="AK222" s="7" t="str">
        <f>IFERROR(__xludf.DUMMYFUNCTION("GoogleTranslate(C222, ""en"", ""ko"")"),"납(납)")</f>
        <v>납(납)</v>
      </c>
      <c r="AL222" s="7" t="str">
        <f>IFERROR(__xludf.DUMMYFUNCTION("GoogleTranslate(C222, ""en"", ""lo"")"),"Pb (ນໍາ)")</f>
        <v>Pb (ນໍາ)</v>
      </c>
      <c r="AM222" s="7" t="str">
        <f>IFERROR(__xludf.DUMMYFUNCTION("GoogleTranslate(C222, ""en"", ""lv"")"),"Pb (svins)")</f>
        <v>Pb (svins)</v>
      </c>
      <c r="AN222" s="7" t="str">
        <f>IFERROR(__xludf.DUMMYFUNCTION("GoogleTranslate(C222, ""en"", ""lt"")"),"Pb (švinas)")</f>
        <v>Pb (švinas)</v>
      </c>
      <c r="AO222" s="7" t="str">
        <f>IFERROR(__xludf.DUMMYFUNCTION("GoogleTranslate(C222, ""en"", ""mk"")"),"Pb (оловно)")</f>
        <v>Pb (оловно)</v>
      </c>
      <c r="AP222" s="7" t="str">
        <f>IFERROR(__xludf.DUMMYFUNCTION("GoogleTranslate(C222, ""en"", ""ms"")"),"Pb (Plumbum)")</f>
        <v>Pb (Plumbum)</v>
      </c>
      <c r="AQ222" s="7" t="str">
        <f>IFERROR(__xludf.DUMMYFUNCTION("GoogleTranslate(C222, ""en"", ""ml"")"),"പിബി (ലീഡ്)")</f>
        <v>പിബി (ലീഡ്)</v>
      </c>
      <c r="AR222" s="7" t="str">
        <f>IFERROR(__xludf.DUMMYFUNCTION("GoogleTranslate(C222, ""en"", ""mr"")"),"Pb (लीड)")</f>
        <v>Pb (लीड)</v>
      </c>
      <c r="AS222" s="7" t="str">
        <f>IFERROR(__xludf.DUMMYFUNCTION("GoogleTranslate(C222, ""en"", ""mn"")"),"Pb (Хар тугалга)")</f>
        <v>Pb (Хар тугалга)</v>
      </c>
      <c r="AT222" s="7" t="str">
        <f>IFERROR(__xludf.DUMMYFUNCTION("GoogleTranslate(C222, ""en"", ""ne"")"),"Pb (लीड)")</f>
        <v>Pb (लीड)</v>
      </c>
      <c r="AU222" s="7" t="str">
        <f>IFERROR(__xludf.DUMMYFUNCTION("GoogleTranslate(C222, ""en"", ""nb"")"),"Pb (Lead)")</f>
        <v>Pb (Lead)</v>
      </c>
      <c r="AV222" s="7" t="str">
        <f>IFERROR(__xludf.DUMMYFUNCTION("GoogleTranslate(C222, ""en"", ""fa"")"),"سرب (سرب)")</f>
        <v>سرب (سرب)</v>
      </c>
      <c r="AW222" s="7" t="str">
        <f>IFERROR(__xludf.DUMMYFUNCTION("GoogleTranslate(C222, ""en"", ""pl"")"),"Pb (ołów)")</f>
        <v>Pb (ołów)</v>
      </c>
      <c r="AX222" s="7" t="str">
        <f>IFERROR(__xludf.DUMMYFUNCTION("GoogleTranslate(C222, ""en"", ""pt"")"),"Pb (chumbo)")</f>
        <v>Pb (chumbo)</v>
      </c>
      <c r="AY222" s="7" t="str">
        <f>IFERROR(__xludf.DUMMYFUNCTION("GoogleTranslate(C222, ""en"", ""ro"")"),"Pb (plumb)")</f>
        <v>Pb (plumb)</v>
      </c>
      <c r="AZ222" s="7" t="str">
        <f>IFERROR(__xludf.DUMMYFUNCTION("GoogleTranslate(C222, ""en"", ""ru"")"),"Pb (Свинец)")</f>
        <v>Pb (Свинец)</v>
      </c>
      <c r="BA222" s="7" t="str">
        <f>IFERROR(__xludf.DUMMYFUNCTION("GoogleTranslate(C222, ""en"", ""sr"")"),"Пб (олово)")</f>
        <v>Пб (олово)</v>
      </c>
      <c r="BB222" s="7" t="str">
        <f>IFERROR(__xludf.DUMMYFUNCTION("GoogleTranslate(C222, ""en"", ""si"")"),"Pb (ඊයම්)")</f>
        <v>Pb (ඊයම්)</v>
      </c>
      <c r="BC222" s="7" t="str">
        <f>IFERROR(__xludf.DUMMYFUNCTION("GoogleTranslate(C222, ""en"", ""sk"")"),"Pb (olovo)")</f>
        <v>Pb (olovo)</v>
      </c>
      <c r="BD222" s="7" t="str">
        <f>IFERROR(__xludf.DUMMYFUNCTION("GoogleTranslate(C222, ""en"", ""sl"")"),"Pb (svinec)")</f>
        <v>Pb (svinec)</v>
      </c>
      <c r="BE222" s="7" t="str">
        <f>IFERROR(__xludf.DUMMYFUNCTION("GoogleTranslate(C222, ""en"", ""es"")"),"Pb (plomo)")</f>
        <v>Pb (plomo)</v>
      </c>
      <c r="BF222" s="7" t="str">
        <f>IFERROR(__xludf.DUMMYFUNCTION("GoogleTranslate(C222, ""en"", ""sw"")"),"Pb (Kuongoza)")</f>
        <v>Pb (Kuongoza)</v>
      </c>
      <c r="BG222" s="7" t="str">
        <f>IFERROR(__xludf.DUMMYFUNCTION("GoogleTranslate(C222, ""en"", ""sv"")"),"Pb (Lead)")</f>
        <v>Pb (Lead)</v>
      </c>
      <c r="BH222" s="7" t="str">
        <f>IFERROR(__xludf.DUMMYFUNCTION("GoogleTranslate(C222, ""en"", ""te"")"),"Pb (లీడ్)")</f>
        <v>Pb (లీడ్)</v>
      </c>
      <c r="BI222" s="7" t="str">
        <f>IFERROR(__xludf.DUMMYFUNCTION("GoogleTranslate(C222, ""en"", ""th"")"),"Pb (ตะกั่ว)")</f>
        <v>Pb (ตะกั่ว)</v>
      </c>
      <c r="BJ222" s="7" t="str">
        <f>IFERROR(__xludf.DUMMYFUNCTION("GoogleTranslate(C222, ""en"", ""tr"")"),"Pb (Kurşun)")</f>
        <v>Pb (Kurşun)</v>
      </c>
      <c r="BK222" s="7" t="str">
        <f>IFERROR(__xludf.DUMMYFUNCTION("GoogleTranslate(C222, ""en"", ""uk"")"),"Pb (свинець)")</f>
        <v>Pb (свинець)</v>
      </c>
      <c r="BL222" s="7" t="str">
        <f>IFERROR(__xludf.DUMMYFUNCTION("GoogleTranslate(C222, ""en"", ""zu"")"),"Pb (Okuholayo)")</f>
        <v>Pb (Okuholayo)</v>
      </c>
    </row>
    <row r="223">
      <c r="A223" s="5" t="str">
        <f t="shared" si="1"/>
        <v>NH3_(Ammonia)</v>
      </c>
      <c r="B223" s="4" t="s">
        <v>267</v>
      </c>
      <c r="C223" s="4" t="s">
        <v>267</v>
      </c>
      <c r="D223" s="7" t="str">
        <f>IFERROR(__xludf.DUMMYFUNCTION("GoogleTranslate(C223, ""en"", ""es"")"),"NH3 (Amoníaco)")</f>
        <v>NH3 (Amoníaco)</v>
      </c>
      <c r="E223" s="7" t="str">
        <f>IFERROR(__xludf.DUMMYFUNCTION("GoogleTranslate(C223, ""en"", ""ar"")"),"NH3 (الأمونيا)")</f>
        <v>NH3 (الأمونيا)</v>
      </c>
      <c r="F223" s="7" t="str">
        <f>IFERROR(__xludf.DUMMYFUNCTION("GoogleTranslate(C223, ""en"", ""hy"")"),"NH3 (ամոնիակ)")</f>
        <v>NH3 (ամոնիակ)</v>
      </c>
      <c r="G223" s="7" t="str">
        <f>IFERROR(__xludf.DUMMYFUNCTION("GoogleTranslate(C223, ""en"", ""vi"")"),"NH3 (Amoniac)")</f>
        <v>NH3 (Amoniac)</v>
      </c>
      <c r="H223" s="7" t="str">
        <f>IFERROR(__xludf.DUMMYFUNCTION("GoogleTranslate(C223, ""en"", ""az"")"),"NH3 (ammonyak)")</f>
        <v>NH3 (ammonyak)</v>
      </c>
      <c r="I223" s="7" t="str">
        <f>IFERROR(__xludf.DUMMYFUNCTION("GoogleTranslate(C223, ""en"", ""eu"")"),"NH3 (amoniakoa)")</f>
        <v>NH3 (amoniakoa)</v>
      </c>
      <c r="J223" s="7" t="str">
        <f>IFERROR(__xludf.DUMMYFUNCTION("GoogleTranslate(C223, ""en"", ""be"")"),"NH3 (аміяк)")</f>
        <v>NH3 (аміяк)</v>
      </c>
      <c r="K223" s="7" t="str">
        <f>IFERROR(__xludf.DUMMYFUNCTION("GoogleTranslate(C223, ""en"", ""bn"")"),"NH3 (অ্যামোনিয়া)")</f>
        <v>NH3 (অ্যামোনিয়া)</v>
      </c>
      <c r="L223" s="7" t="str">
        <f>IFERROR(__xludf.DUMMYFUNCTION("GoogleTranslate(C223, ""en"", ""bg"")"),"NH3 (амоняк)")</f>
        <v>NH3 (амоняк)</v>
      </c>
      <c r="M223" s="7" t="str">
        <f>IFERROR(__xludf.DUMMYFUNCTION("GoogleTranslate(C223, ""en"", ""my"")"),"NH3 (အမိုးနီးယား)")</f>
        <v>NH3 (အမိုးနီးယား)</v>
      </c>
      <c r="N223" s="7" t="str">
        <f>IFERROR(__xludf.DUMMYFUNCTION("GoogleTranslate(C223, ""en"", ""ca"")"),"NH3 (amoníac)")</f>
        <v>NH3 (amoníac)</v>
      </c>
      <c r="O223" s="7" t="str">
        <f>IFERROR(__xludf.DUMMYFUNCTION("GoogleTranslate(C223, ""en"", ""zh-cn"")"),"NH3（氨）")</f>
        <v>NH3（氨）</v>
      </c>
      <c r="P223" s="7" t="str">
        <f>IFERROR(__xludf.DUMMYFUNCTION("GoogleTranslate(C223, ""en"", ""zh-TW"")"),"NH3（氨）")</f>
        <v>NH3（氨）</v>
      </c>
      <c r="Q223" s="7" t="str">
        <f>IFERROR(__xludf.DUMMYFUNCTION("GoogleTranslate(C223, ""en"", ""hr"")"),"NH3 (amonijak)")</f>
        <v>NH3 (amonijak)</v>
      </c>
      <c r="R223" s="7" t="str">
        <f>IFERROR(__xludf.DUMMYFUNCTION("GoogleTranslate(C223, ""en"", ""cs"")"),"NH3 (amoniak)")</f>
        <v>NH3 (amoniak)</v>
      </c>
      <c r="S223" s="7" t="str">
        <f>IFERROR(__xludf.DUMMYFUNCTION("GoogleTranslate(C223, ""en"", ""da"")"),"NH3 (ammoniak)")</f>
        <v>NH3 (ammoniak)</v>
      </c>
      <c r="T223" s="7" t="str">
        <f>IFERROR(__xludf.DUMMYFUNCTION("GoogleTranslate(C223, ""en"", ""nl"")"),"NH3 (Ammoniak)")</f>
        <v>NH3 (Ammoniak)</v>
      </c>
      <c r="U223" s="7" t="str">
        <f>IFERROR(__xludf.DUMMYFUNCTION("GoogleTranslate(C223, ""en"", ""et"")"),"NH3 (ammoonium)")</f>
        <v>NH3 (ammoonium)</v>
      </c>
      <c r="V223" s="5" t="str">
        <f t="shared" si="3"/>
        <v>NH3 (Ammonia)</v>
      </c>
      <c r="W223" s="7" t="str">
        <f>IFERROR(__xludf.DUMMYFUNCTION("GoogleTranslate(C223, ""en"", ""fi"")"),"NH3 (ammoniakki)")</f>
        <v>NH3 (ammoniakki)</v>
      </c>
      <c r="X223" s="7" t="str">
        <f>IFERROR(__xludf.DUMMYFUNCTION("GoogleTranslate(C223, ""en"", ""fr"")"),"NH3 (Ammoniac)")</f>
        <v>NH3 (Ammoniac)</v>
      </c>
      <c r="Y223" s="7" t="str">
        <f>IFERROR(__xludf.DUMMYFUNCTION("GoogleTranslate(C223, ""en"", ""de"")"),"NH3 (Ammoniak)")</f>
        <v>NH3 (Ammoniak)</v>
      </c>
      <c r="Z223" s="7" t="str">
        <f>IFERROR(__xludf.DUMMYFUNCTION("GoogleTranslate(C223, ""en"", ""el"")"),"NH3 (αμμωνία)")</f>
        <v>NH3 (αμμωνία)</v>
      </c>
      <c r="AA223" s="7" t="str">
        <f>IFERROR(__xludf.DUMMYFUNCTION("GoogleTranslate(C223, ""en"", ""iw"")"),"NH3 (אמוניה)")</f>
        <v>NH3 (אמוניה)</v>
      </c>
      <c r="AB223" s="7" t="str">
        <f>IFERROR(__xludf.DUMMYFUNCTION("GoogleTranslate(C223, ""en"", ""hi"")"),"NH3 (अमोनिया)")</f>
        <v>NH3 (अमोनिया)</v>
      </c>
      <c r="AC223" s="7" t="str">
        <f>IFERROR(__xludf.DUMMYFUNCTION("GoogleTranslate(C223, ""en"", ""hu"")"),"NH3 (ammónia)")</f>
        <v>NH3 (ammónia)</v>
      </c>
      <c r="AD223" s="7" t="str">
        <f>IFERROR(__xludf.DUMMYFUNCTION("GoogleTranslate(C223, ""en"", ""is"")"),"NH3 (ammoníak)")</f>
        <v>NH3 (ammoníak)</v>
      </c>
      <c r="AE223" s="7" t="str">
        <f>IFERROR(__xludf.DUMMYFUNCTION("GoogleTranslate(C223, ""en"", ""id"")"),"NH3 (Amonia)")</f>
        <v>NH3 (Amonia)</v>
      </c>
      <c r="AF223" s="7" t="str">
        <f>IFERROR(__xludf.DUMMYFUNCTION("GoogleTranslate(C223, ""en"", ""in"")"),"NH3 (Amonia)")</f>
        <v>NH3 (Amonia)</v>
      </c>
      <c r="AG223" s="7" t="str">
        <f>IFERROR(__xludf.DUMMYFUNCTION("GoogleTranslate(C223, ""en"", ""it"")"),"NH3 (ammoniaca)")</f>
        <v>NH3 (ammoniaca)</v>
      </c>
      <c r="AH223" s="7" t="str">
        <f>IFERROR(__xludf.DUMMYFUNCTION("GoogleTranslate(C223, ""en"", ""ja"")"),"NH3 (アンモニア)")</f>
        <v>NH3 (アンモニア)</v>
      </c>
      <c r="AI223" s="7" t="str">
        <f>IFERROR(__xludf.DUMMYFUNCTION("GoogleTranslate(C223, ""en"", ""kn"")"),"NH3 (ಅಮೋನಿಯಾ)")</f>
        <v>NH3 (ಅಮೋನಿಯಾ)</v>
      </c>
      <c r="AJ223" s="7" t="str">
        <f>IFERROR(__xludf.DUMMYFUNCTION("GoogleTranslate(C223, ""en"", ""km"")"),"NH3 (អាម៉ូញាក់)")</f>
        <v>NH3 (អាម៉ូញាក់)</v>
      </c>
      <c r="AK223" s="7" t="str">
        <f>IFERROR(__xludf.DUMMYFUNCTION("GoogleTranslate(C223, ""en"", ""ko"")"),"NH3(암모니아)")</f>
        <v>NH3(암모니아)</v>
      </c>
      <c r="AL223" s="7" t="str">
        <f>IFERROR(__xludf.DUMMYFUNCTION("GoogleTranslate(C223, ""en"", ""lo"")"),"NH3 (ແອມໂມເນຍ)")</f>
        <v>NH3 (ແອມໂມເນຍ)</v>
      </c>
      <c r="AM223" s="7" t="str">
        <f>IFERROR(__xludf.DUMMYFUNCTION("GoogleTranslate(C223, ""en"", ""lv"")"),"NH3 (amonjaks)")</f>
        <v>NH3 (amonjaks)</v>
      </c>
      <c r="AN223" s="7" t="str">
        <f>IFERROR(__xludf.DUMMYFUNCTION("GoogleTranslate(C223, ""en"", ""lt"")"),"NH3 (amoniakas)")</f>
        <v>NH3 (amoniakas)</v>
      </c>
      <c r="AO223" s="7" t="str">
        <f>IFERROR(__xludf.DUMMYFUNCTION("GoogleTranslate(C223, ""en"", ""mk"")"),"NH3 (амонијак)")</f>
        <v>NH3 (амонијак)</v>
      </c>
      <c r="AP223" s="7" t="str">
        <f>IFERROR(__xludf.DUMMYFUNCTION("GoogleTranslate(C223, ""en"", ""ms"")"),"NH3 (Amoniak)")</f>
        <v>NH3 (Amoniak)</v>
      </c>
      <c r="AQ223" s="7" t="str">
        <f>IFERROR(__xludf.DUMMYFUNCTION("GoogleTranslate(C223, ""en"", ""ml"")"),"NH3 (അമോണിയ)")</f>
        <v>NH3 (അമോണിയ)</v>
      </c>
      <c r="AR223" s="7" t="str">
        <f>IFERROR(__xludf.DUMMYFUNCTION("GoogleTranslate(C223, ""en"", ""mr"")"),"NH3 (अमोनिया)")</f>
        <v>NH3 (अमोनिया)</v>
      </c>
      <c r="AS223" s="7" t="str">
        <f>IFERROR(__xludf.DUMMYFUNCTION("GoogleTranslate(C223, ""en"", ""mn"")"),"NH3 (аммиак)")</f>
        <v>NH3 (аммиак)</v>
      </c>
      <c r="AT223" s="7" t="str">
        <f>IFERROR(__xludf.DUMMYFUNCTION("GoogleTranslate(C223, ""en"", ""ne"")"),"NH3 (अमोनिया)")</f>
        <v>NH3 (अमोनिया)</v>
      </c>
      <c r="AU223" s="7" t="str">
        <f>IFERROR(__xludf.DUMMYFUNCTION("GoogleTranslate(C223, ""en"", ""nb"")"),"NH3 (ammoniakk)")</f>
        <v>NH3 (ammoniakk)</v>
      </c>
      <c r="AV223" s="7" t="str">
        <f>IFERROR(__xludf.DUMMYFUNCTION("GoogleTranslate(C223, ""en"", ""fa"")"),"NH3 (آمونیاک)")</f>
        <v>NH3 (آمونیاک)</v>
      </c>
      <c r="AW223" s="7" t="str">
        <f>IFERROR(__xludf.DUMMYFUNCTION("GoogleTranslate(C223, ""en"", ""pl"")"),"NH3 (amoniak)")</f>
        <v>NH3 (amoniak)</v>
      </c>
      <c r="AX223" s="7" t="str">
        <f>IFERROR(__xludf.DUMMYFUNCTION("GoogleTranslate(C223, ""en"", ""pt"")"),"NH3 (amônia)")</f>
        <v>NH3 (amônia)</v>
      </c>
      <c r="AY223" s="7" t="str">
        <f>IFERROR(__xludf.DUMMYFUNCTION("GoogleTranslate(C223, ""en"", ""ro"")"),"NH3 (amoniac)")</f>
        <v>NH3 (amoniac)</v>
      </c>
      <c r="AZ223" s="7" t="str">
        <f>IFERROR(__xludf.DUMMYFUNCTION("GoogleTranslate(C223, ""en"", ""ru"")"),"NH3 (аммиак)")</f>
        <v>NH3 (аммиак)</v>
      </c>
      <c r="BA223" s="7" t="str">
        <f>IFERROR(__xludf.DUMMYFUNCTION("GoogleTranslate(C223, ""en"", ""sr"")"),"НХ3 (амонијак)")</f>
        <v>НХ3 (амонијак)</v>
      </c>
      <c r="BB223" s="7" t="str">
        <f>IFERROR(__xludf.DUMMYFUNCTION("GoogleTranslate(C223, ""en"", ""si"")"),"NH3 (ඇමෝනියා)")</f>
        <v>NH3 (ඇමෝනියා)</v>
      </c>
      <c r="BC223" s="7" t="str">
        <f>IFERROR(__xludf.DUMMYFUNCTION("GoogleTranslate(C223, ""en"", ""sk"")"),"NH3 (amoniak)")</f>
        <v>NH3 (amoniak)</v>
      </c>
      <c r="BD223" s="7" t="str">
        <f>IFERROR(__xludf.DUMMYFUNCTION("GoogleTranslate(C223, ""en"", ""sl"")"),"NH3 (amoniak)")</f>
        <v>NH3 (amoniak)</v>
      </c>
      <c r="BE223" s="7" t="str">
        <f>IFERROR(__xludf.DUMMYFUNCTION("GoogleTranslate(C223, ""en"", ""es"")"),"NH3 (Amoníaco)")</f>
        <v>NH3 (Amoníaco)</v>
      </c>
      <c r="BF223" s="7" t="str">
        <f>IFERROR(__xludf.DUMMYFUNCTION("GoogleTranslate(C223, ""en"", ""sw"")"),"NH3 (Amonia)")</f>
        <v>NH3 (Amonia)</v>
      </c>
      <c r="BG223" s="7" t="str">
        <f>IFERROR(__xludf.DUMMYFUNCTION("GoogleTranslate(C223, ""en"", ""sv"")"),"NH3 (ammoniak)")</f>
        <v>NH3 (ammoniak)</v>
      </c>
      <c r="BH223" s="7" t="str">
        <f>IFERROR(__xludf.DUMMYFUNCTION("GoogleTranslate(C223, ""en"", ""te"")"),"NH3 (అమోనియా)")</f>
        <v>NH3 (అమోనియా)</v>
      </c>
      <c r="BI223" s="7" t="str">
        <f>IFERROR(__xludf.DUMMYFUNCTION("GoogleTranslate(C223, ""en"", ""th"")"),"NH3 (แอมโมเนีย)")</f>
        <v>NH3 (แอมโมเนีย)</v>
      </c>
      <c r="BJ223" s="7" t="str">
        <f>IFERROR(__xludf.DUMMYFUNCTION("GoogleTranslate(C223, ""en"", ""tr"")"),"NH3 (Amonyak)")</f>
        <v>NH3 (Amonyak)</v>
      </c>
      <c r="BK223" s="7" t="str">
        <f>IFERROR(__xludf.DUMMYFUNCTION("GoogleTranslate(C223, ""en"", ""uk"")"),"NH3 (аміак)")</f>
        <v>NH3 (аміак)</v>
      </c>
      <c r="BL223" s="7" t="str">
        <f>IFERROR(__xludf.DUMMYFUNCTION("GoogleTranslate(C223, ""en"", ""zu"")"),"I-NH3 (Amonia)")</f>
        <v>I-NH3 (Amonia)</v>
      </c>
    </row>
    <row r="224">
      <c r="A224" s="5" t="str">
        <f t="shared" si="1"/>
        <v>PM10_(Particles_matter_under_10μm)</v>
      </c>
      <c r="B224" s="4" t="s">
        <v>268</v>
      </c>
      <c r="C224" s="4" t="s">
        <v>268</v>
      </c>
      <c r="D224" s="7" t="str">
        <f>IFERROR(__xludf.DUMMYFUNCTION("GoogleTranslate(C224, ""en"", ""es"")"),"PM10 (partículas de menos de 10μm)")</f>
        <v>PM10 (partículas de menos de 10μm)</v>
      </c>
      <c r="E224" s="7" t="str">
        <f>IFERROR(__xludf.DUMMYFUNCTION("GoogleTranslate(C224, ""en"", ""ar"")"),"PM10 (الجسيمات ذات حجم أقل من 10 ميكرومتر)")</f>
        <v>PM10 (الجسيمات ذات حجم أقل من 10 ميكرومتر)</v>
      </c>
      <c r="F224" s="7" t="str">
        <f>IFERROR(__xludf.DUMMYFUNCTION("GoogleTranslate(C224, ""en"", ""hy"")"),"PM10 (10 մկմ-ից ցածր մասնիկները)")</f>
        <v>PM10 (10 մկմ-ից ցածր մասնիկները)</v>
      </c>
      <c r="G224" s="7" t="str">
        <f>IFERROR(__xludf.DUMMYFUNCTION("GoogleTranslate(C224, ""en"", ""vi"")"),"PM10 (Các hạt nhỏ dưới 10μm)")</f>
        <v>PM10 (Các hạt nhỏ dưới 10μm)</v>
      </c>
      <c r="H224" s="7" t="str">
        <f>IFERROR(__xludf.DUMMYFUNCTION("GoogleTranslate(C224, ""en"", ""az"")"),"PM10 (10μm-dən aşağı hissəciklər)")</f>
        <v>PM10 (10μm-dən aşağı hissəciklər)</v>
      </c>
      <c r="I224" s="7" t="str">
        <f>IFERROR(__xludf.DUMMYFUNCTION("GoogleTranslate(C224, ""en"", ""eu"")"),"PM10 (Partikulek 10μm-tik beherako materia)")</f>
        <v>PM10 (Partikulek 10μm-tik beherako materia)</v>
      </c>
      <c r="J224" s="7" t="str">
        <f>IFERROR(__xludf.DUMMYFUNCTION("GoogleTranslate(C224, ""en"", ""be"")"),"PM10 (часціцы менш за 10 мкм)")</f>
        <v>PM10 (часціцы менш за 10 мкм)</v>
      </c>
      <c r="K224" s="7" t="str">
        <f>IFERROR(__xludf.DUMMYFUNCTION("GoogleTranslate(C224, ""en"", ""bn"")"),"PM10 (10μm এর নিচে কণার ব্যাপার)")</f>
        <v>PM10 (10μm এর নিচে কণার ব্যাপার)</v>
      </c>
      <c r="L224" s="7" t="str">
        <f>IFERROR(__xludf.DUMMYFUNCTION("GoogleTranslate(C224, ""en"", ""bg"")"),"PM10 (Частици под 10 μm)")</f>
        <v>PM10 (Частици под 10 μm)</v>
      </c>
      <c r="M224" s="7" t="str">
        <f>IFERROR(__xludf.DUMMYFUNCTION("GoogleTranslate(C224, ""en"", ""my"")"),"PM10 (အမှုန်များသည် 10μm အောက်)၊")</f>
        <v>PM10 (အမှုန်များသည် 10μm အောက်)၊</v>
      </c>
      <c r="N224" s="7" t="str">
        <f>IFERROR(__xludf.DUMMYFUNCTION("GoogleTranslate(C224, ""en"", ""ca"")"),"PM10 (les partícules importen per sota de 10 μm)")</f>
        <v>PM10 (les partícules importen per sota de 10 μm)</v>
      </c>
      <c r="O224" s="7" t="str">
        <f>IFERROR(__xludf.DUMMYFUNCTION("GoogleTranslate(C224, ""en"", ""zh-cn"")"),"PM10（10μm以下颗粒物）")</f>
        <v>PM10（10μm以下颗粒物）</v>
      </c>
      <c r="P224" s="7" t="str">
        <f>IFERROR(__xludf.DUMMYFUNCTION("GoogleTranslate(C224, ""en"", ""zh-TW"")"),"PM10（10μm以下顆粒物）")</f>
        <v>PM10（10μm以下顆粒物）</v>
      </c>
      <c r="Q224" s="7" t="str">
        <f>IFERROR(__xludf.DUMMYFUNCTION("GoogleTranslate(C224, ""en"", ""hr"")"),"PM10 (čestice materije ispod 10 μm)")</f>
        <v>PM10 (čestice materije ispod 10 μm)</v>
      </c>
      <c r="R224" s="7" t="str">
        <f>IFERROR(__xludf.DUMMYFUNCTION("GoogleTranslate(C224, ""en"", ""cs"")"),"PM10 (částice o velikosti pod 10 μm)")</f>
        <v>PM10 (částice o velikosti pod 10 μm)</v>
      </c>
      <c r="S224" s="7" t="str">
        <f>IFERROR(__xludf.DUMMYFUNCTION("GoogleTranslate(C224, ""en"", ""da"")"),"PM10 (partikler stof under 10μm)")</f>
        <v>PM10 (partikler stof under 10μm)</v>
      </c>
      <c r="T224" s="7" t="str">
        <f>IFERROR(__xludf.DUMMYFUNCTION("GoogleTranslate(C224, ""en"", ""nl"")"),"PM10 (deeltjes zijn kleiner dan 10 μm)")</f>
        <v>PM10 (deeltjes zijn kleiner dan 10 μm)</v>
      </c>
      <c r="U224" s="7" t="str">
        <f>IFERROR(__xludf.DUMMYFUNCTION("GoogleTranslate(C224, ""en"", ""et"")"),"PM10 (osakesed on alla 10 μm)")</f>
        <v>PM10 (osakesed on alla 10 μm)</v>
      </c>
      <c r="V224" s="5" t="str">
        <f t="shared" si="3"/>
        <v>PM10 (Particles matter under 10μm)</v>
      </c>
      <c r="W224" s="7" t="str">
        <f>IFERROR(__xludf.DUMMYFUNCTION("GoogleTranslate(C224, ""en"", ""fi"")"),"PM10 (hiukkasten materiaali on alle 10 μm)")</f>
        <v>PM10 (hiukkasten materiaali on alle 10 μm)</v>
      </c>
      <c r="X224" s="7" t="str">
        <f>IFERROR(__xludf.DUMMYFUNCTION("GoogleTranslate(C224, ""en"", ""fr"")"),"PM10 (les particules comptent moins de 10 μm)")</f>
        <v>PM10 (les particules comptent moins de 10 μm)</v>
      </c>
      <c r="Y224" s="7" t="str">
        <f>IFERROR(__xludf.DUMMYFUNCTION("GoogleTranslate(C224, ""en"", ""de"")"),"PM10 (Partikel unter 10 μm)")</f>
        <v>PM10 (Partikel unter 10 μm)</v>
      </c>
      <c r="Z224" s="7" t="str">
        <f>IFERROR(__xludf.DUMMYFUNCTION("GoogleTranslate(C224, ""en"", ""el"")"),"PM10 (Τα σωματίδια κάτω από 10μm)")</f>
        <v>PM10 (Τα σωματίδια κάτω από 10μm)</v>
      </c>
      <c r="AA224" s="7" t="str">
        <f>IFERROR(__xludf.DUMMYFUNCTION("GoogleTranslate(C224, ""en"", ""iw"")"),"PM10 (חלקיקים חומרים מתחת ל-10 מיקרומטר)")</f>
        <v>PM10 (חלקיקים חומרים מתחת ל-10 מיקרומטר)</v>
      </c>
      <c r="AB224" s="7" t="str">
        <f>IFERROR(__xludf.DUMMYFUNCTION("GoogleTranslate(C224, ""en"", ""hi"")"),"PM10 (कण 10μm से कम मायने रखते हैं)")</f>
        <v>PM10 (कण 10μm से कम मायने रखते हैं)</v>
      </c>
      <c r="AC224" s="7" t="str">
        <f>IFERROR(__xludf.DUMMYFUNCTION("GoogleTranslate(C224, ""en"", ""hu"")"),"PM10 (10 μm alatti részecskék)")</f>
        <v>PM10 (10 μm alatti részecskék)</v>
      </c>
      <c r="AD224" s="7" t="str">
        <f>IFERROR(__xludf.DUMMYFUNCTION("GoogleTranslate(C224, ""en"", ""is"")"),"PM10 (agnir undir 10μm)")</f>
        <v>PM10 (agnir undir 10μm)</v>
      </c>
      <c r="AE224" s="7" t="str">
        <f>IFERROR(__xludf.DUMMYFUNCTION("GoogleTranslate(C224, ""en"", ""id"")"),"PM10 (Partikel penting di bawah 10μm)")</f>
        <v>PM10 (Partikel penting di bawah 10μm)</v>
      </c>
      <c r="AF224" s="7" t="str">
        <f>IFERROR(__xludf.DUMMYFUNCTION("GoogleTranslate(C224, ""en"", ""in"")"),"PM10 (Partikel penting di bawah 10μm)")</f>
        <v>PM10 (Partikel penting di bawah 10μm)</v>
      </c>
      <c r="AG224" s="7" t="str">
        <f>IFERROR(__xludf.DUMMYFUNCTION("GoogleTranslate(C224, ""en"", ""it"")"),"PM10 (Le particelle contano sotto i 10μm)")</f>
        <v>PM10 (Le particelle contano sotto i 10μm)</v>
      </c>
      <c r="AH224" s="7" t="str">
        <f>IFERROR(__xludf.DUMMYFUNCTION("GoogleTranslate(C224, ""en"", ""ja"")"),"PM10（10μm以下の粒子状物質）")</f>
        <v>PM10（10μm以下の粒子状物質）</v>
      </c>
      <c r="AI224" s="7" t="str">
        <f>IFERROR(__xludf.DUMMYFUNCTION("GoogleTranslate(C224, ""en"", ""kn"")"),"PM10 (10μm ಗಿಂತ ಕಡಿಮೆ ಇರುವ ಕಣಗಳು)")</f>
        <v>PM10 (10μm ಗಿಂತ ಕಡಿಮೆ ಇರುವ ಕಣಗಳು)</v>
      </c>
      <c r="AJ224" s="7" t="str">
        <f>IFERROR(__xludf.DUMMYFUNCTION("GoogleTranslate(C224, ""en"", ""km"")"),"PM10 (ភាគល្អិត​មាន​ទំហំ​ក្រោម 10μm)")</f>
        <v>PM10 (ភាគល្អិត​មាន​ទំហំ​ក្រោម 10μm)</v>
      </c>
      <c r="AK224" s="7" t="str">
        <f>IFERROR(__xludf.DUMMYFUNCTION("GoogleTranslate(C224, ""en"", ""ko"")"),"PM10(10μm 이하의 입자 물질)")</f>
        <v>PM10(10μm 이하의 입자 물질)</v>
      </c>
      <c r="AL224" s="7" t="str">
        <f>IFERROR(__xludf.DUMMYFUNCTION("GoogleTranslate(C224, ""en"", ""lo"")"),"PM10 (ອະນຸພາກສຳຄັນກວ່າ 10μm)")</f>
        <v>PM10 (ອະນຸພາກສຳຄັນກວ່າ 10μm)</v>
      </c>
      <c r="AM224" s="7" t="str">
        <f>IFERROR(__xludf.DUMMYFUNCTION("GoogleTranslate(C224, ""en"", ""lv"")"),"PM10 (daļiņas ir mazākas par 10 μm)")</f>
        <v>PM10 (daļiņas ir mazākas par 10 μm)</v>
      </c>
      <c r="AN224" s="7" t="str">
        <f>IFERROR(__xludf.DUMMYFUNCTION("GoogleTranslate(C224, ""en"", ""lt"")"),"PM10 (dalelės mažesnės nei 10 μm)")</f>
        <v>PM10 (dalelės mažesnės nei 10 μm)</v>
      </c>
      <c r="AO224" s="7" t="str">
        <f>IFERROR(__xludf.DUMMYFUNCTION("GoogleTranslate(C224, ""en"", ""mk"")"),"PM10 (Честички материја под 10μm)")</f>
        <v>PM10 (Честички материја под 10μm)</v>
      </c>
      <c r="AP224" s="7" t="str">
        <f>IFERROR(__xludf.DUMMYFUNCTION("GoogleTranslate(C224, ""en"", ""ms"")"),"PM10 (zarah jirim di bawah 10μm)")</f>
        <v>PM10 (zarah jirim di bawah 10μm)</v>
      </c>
      <c r="AQ224" s="7" t="str">
        <f>IFERROR(__xludf.DUMMYFUNCTION("GoogleTranslate(C224, ""en"", ""ml"")"),"PM10 (10μm-ൽ താഴെയുള്ള കണികകൾ)")</f>
        <v>PM10 (10μm-ൽ താഴെയുള്ള കണികകൾ)</v>
      </c>
      <c r="AR224" s="7" t="str">
        <f>IFERROR(__xludf.DUMMYFUNCTION("GoogleTranslate(C224, ""en"", ""mr"")"),"PM10 (10μm पेक्षा कमी कण)")</f>
        <v>PM10 (10μm पेक्षा कमी कण)</v>
      </c>
      <c r="AS224" s="7" t="str">
        <f>IFERROR(__xludf.DUMMYFUNCTION("GoogleTranslate(C224, ""en"", ""mn"")"),"PM10 (10μм-ээс бага хэмжээтэй тоосонцор)")</f>
        <v>PM10 (10μм-ээс бага хэмжээтэй тоосонцор)</v>
      </c>
      <c r="AT224" s="7" t="str">
        <f>IFERROR(__xludf.DUMMYFUNCTION("GoogleTranslate(C224, ""en"", ""ne"")"),"PM10 (10μm भन्दा कम कणहरू)")</f>
        <v>PM10 (10μm भन्दा कम कणहरू)</v>
      </c>
      <c r="AU224" s="7" t="str">
        <f>IFERROR(__xludf.DUMMYFUNCTION("GoogleTranslate(C224, ""en"", ""nb"")"),"PM10 (partikler er mindre enn 10 μm)")</f>
        <v>PM10 (partikler er mindre enn 10 μm)</v>
      </c>
      <c r="AV224" s="7" t="str">
        <f>IFERROR(__xludf.DUMMYFUNCTION("GoogleTranslate(C224, ""en"", ""fa"")"),"PM10 (ذرات زیر 10 میکرومتر)")</f>
        <v>PM10 (ذرات زیر 10 میکرومتر)</v>
      </c>
      <c r="AW224" s="7" t="str">
        <f>IFERROR(__xludf.DUMMYFUNCTION("GoogleTranslate(C224, ""en"", ""pl"")"),"PM10 (Cząsteczki mają znaczenie poniżej 10 μm)")</f>
        <v>PM10 (Cząsteczki mają znaczenie poniżej 10 μm)</v>
      </c>
      <c r="AX224" s="7" t="str">
        <f>IFERROR(__xludf.DUMMYFUNCTION("GoogleTranslate(C224, ""en"", ""pt"")"),"PM10 (partículas importam abaixo de 10μm)")</f>
        <v>PM10 (partículas importam abaixo de 10μm)</v>
      </c>
      <c r="AY224" s="7" t="str">
        <f>IFERROR(__xludf.DUMMYFUNCTION("GoogleTranslate(C224, ""en"", ""ro"")"),"PM10 (Particulele contează sub 10μm)")</f>
        <v>PM10 (Particulele contează sub 10μm)</v>
      </c>
      <c r="AZ224" s="7" t="str">
        <f>IFERROR(__xludf.DUMMYFUNCTION("GoogleTranslate(C224, ""en"", ""ru"")"),"PM10 (частицы размером менее 10 мкм)")</f>
        <v>PM10 (частицы размером менее 10 мкм)</v>
      </c>
      <c r="BA224" s="7" t="str">
        <f>IFERROR(__xludf.DUMMYFUNCTION("GoogleTranslate(C224, ""en"", ""sr"")"),"ПМ10 (честице материје испод 10 μм)")</f>
        <v>ПМ10 (честице материје испод 10 μм)</v>
      </c>
      <c r="BB224" s="7" t="str">
        <f>IFERROR(__xludf.DUMMYFUNCTION("GoogleTranslate(C224, ""en"", ""si"")"),"PM10 (අංශු 10μm ට අඩු පදාර්ථ)")</f>
        <v>PM10 (අංශු 10μm ට අඩු පදාර්ථ)</v>
      </c>
      <c r="BC224" s="7" t="str">
        <f>IFERROR(__xludf.DUMMYFUNCTION("GoogleTranslate(C224, ""en"", ""sk"")"),"PM10 (častice s veľkosťou pod 10 μm)")</f>
        <v>PM10 (častice s veľkosťou pod 10 μm)</v>
      </c>
      <c r="BD224" s="7" t="str">
        <f>IFERROR(__xludf.DUMMYFUNCTION("GoogleTranslate(C224, ""en"", ""sl"")"),"PM10 (delci pod 10 μm)")</f>
        <v>PM10 (delci pod 10 μm)</v>
      </c>
      <c r="BE224" s="7" t="str">
        <f>IFERROR(__xludf.DUMMYFUNCTION("GoogleTranslate(C224, ""en"", ""es"")"),"PM10 (partículas de menos de 10μm)")</f>
        <v>PM10 (partículas de menos de 10μm)</v>
      </c>
      <c r="BF224" s="7" t="str">
        <f>IFERROR(__xludf.DUMMYFUNCTION("GoogleTranslate(C224, ""en"", ""sw"")"),"PM10 (Chembe ni muhimu chini ya 10μm)")</f>
        <v>PM10 (Chembe ni muhimu chini ya 10μm)</v>
      </c>
      <c r="BG224" s="7" t="str">
        <f>IFERROR(__xludf.DUMMYFUNCTION("GoogleTranslate(C224, ""en"", ""sv"")"),"PM10 (partiklar är mindre än 10 μm)")</f>
        <v>PM10 (partiklar är mindre än 10 μm)</v>
      </c>
      <c r="BH224" s="7" t="str">
        <f>IFERROR(__xludf.DUMMYFUNCTION("GoogleTranslate(C224, ""en"", ""te"")"),"PM10 (10μm లోపు కణాలు పదార్థం)")</f>
        <v>PM10 (10μm లోపు కణాలు పదార్థం)</v>
      </c>
      <c r="BI224" s="7" t="str">
        <f>IFERROR(__xludf.DUMMYFUNCTION("GoogleTranslate(C224, ""en"", ""th"")"),"PM10 (อนุภาคมีขนาดไม่เกิน 10μm)")</f>
        <v>PM10 (อนุภาคมีขนาดไม่เกิน 10μm)</v>
      </c>
      <c r="BJ224" s="7" t="str">
        <f>IFERROR(__xludf.DUMMYFUNCTION("GoogleTranslate(C224, ""en"", ""tr"")"),"PM10 (10μm'nin altındaki parçacıklar önemlidir)")</f>
        <v>PM10 (10μm'nin altındaki parçacıklar önemlidir)</v>
      </c>
      <c r="BK224" s="7" t="str">
        <f>IFERROR(__xludf.DUMMYFUNCTION("GoogleTranslate(C224, ""en"", ""uk"")"),"PM10 (частинки менше 10 мкм)")</f>
        <v>PM10 (частинки менше 10 мкм)</v>
      </c>
      <c r="BL224" s="7" t="str">
        <f>IFERROR(__xludf.DUMMYFUNCTION("GoogleTranslate(C224, ""en"", ""zu"")"),"PM10 (Izinhlayiya zibalulekile ngaphansi kuka-10μm)")</f>
        <v>PM10 (Izinhlayiya zibalulekile ngaphansi kuka-10μm)</v>
      </c>
    </row>
    <row r="225">
      <c r="A225" s="5" t="str">
        <f t="shared" si="1"/>
        <v>PM2.5_(Particles_matter_under_2.5μm)</v>
      </c>
      <c r="B225" s="4" t="s">
        <v>200</v>
      </c>
      <c r="C225" s="4" t="s">
        <v>200</v>
      </c>
      <c r="D225" s="7" t="str">
        <f>IFERROR(__xludf.DUMMYFUNCTION("GoogleTranslate(C225, ""en"", ""es"")"),"PM2.5 (partículas importantes por debajo de 2,5 μm)")</f>
        <v>PM2.5 (partículas importantes por debajo de 2,5 μm)</v>
      </c>
      <c r="E225" s="7" t="str">
        <f>IFERROR(__xludf.DUMMYFUNCTION("GoogleTranslate(C225, ""en"", ""ar"")"),"PM2.5 (الجسيمات أقل من 2.5 ميكرومتر)")</f>
        <v>PM2.5 (الجسيمات أقل من 2.5 ميكرومتر)</v>
      </c>
      <c r="F225" s="7" t="str">
        <f>IFERROR(__xludf.DUMMYFUNCTION("GoogleTranslate(C225, ""en"", ""hy"")"),"PM2.5 (2,5 մկմ-ից ցածր մասնիկները)")</f>
        <v>PM2.5 (2,5 մկմ-ից ցածր մասնիկները)</v>
      </c>
      <c r="G225" s="7" t="str">
        <f>IFERROR(__xludf.DUMMYFUNCTION("GoogleTranslate(C225, ""en"", ""vi"")"),"PM2.5 (Các hạt nhỏ dưới 2,5μm)")</f>
        <v>PM2.5 (Các hạt nhỏ dưới 2,5μm)</v>
      </c>
      <c r="H225" s="7" t="str">
        <f>IFERROR(__xludf.DUMMYFUNCTION("GoogleTranslate(C225, ""en"", ""az"")"),"PM2.5 (2.5μm-dən aşağı hissəciklər)")</f>
        <v>PM2.5 (2.5μm-dən aşağı hissəciklər)</v>
      </c>
      <c r="I225" s="7" t="str">
        <f>IFERROR(__xludf.DUMMYFUNCTION("GoogleTranslate(C225, ""en"", ""eu"")"),"PM2,5 (partikulek 2,5 μm-tik beherako materia)")</f>
        <v>PM2,5 (partikulek 2,5 μm-tik beherako materia)</v>
      </c>
      <c r="J225" s="7" t="str">
        <f>IFERROR(__xludf.DUMMYFUNCTION("GoogleTranslate(C225, ""en"", ""be"")"),"PM2,5 (часціцы менш за 2,5 мкм)")</f>
        <v>PM2,5 (часціцы менш за 2,5 мкм)</v>
      </c>
      <c r="K225" s="7" t="str">
        <f>IFERROR(__xludf.DUMMYFUNCTION("GoogleTranslate(C225, ""en"", ""bn"")"),"PM2.5 (2.5μm এর নিচে কণার ব্যাপার)")</f>
        <v>PM2.5 (2.5μm এর নিচে কণার ব্যাপার)</v>
      </c>
      <c r="L225" s="7" t="str">
        <f>IFERROR(__xludf.DUMMYFUNCTION("GoogleTranslate(C225, ""en"", ""bg"")"),"PM2.5 (Материални частици под 2,5 μm)")</f>
        <v>PM2.5 (Материални частици под 2,5 μm)</v>
      </c>
      <c r="M225" s="7" t="str">
        <f>IFERROR(__xludf.DUMMYFUNCTION("GoogleTranslate(C225, ""en"", ""my"")"),"PM2.5 (အမှုန်အမွှားများသည် 2.5μm အောက်)၊")</f>
        <v>PM2.5 (အမှုန်အမွှားများသည် 2.5μm အောက်)၊</v>
      </c>
      <c r="N225" s="7" t="str">
        <f>IFERROR(__xludf.DUMMYFUNCTION("GoogleTranslate(C225, ""en"", ""ca"")"),"PM2,5 (les partícules importen per sota de 2,5 μm)")</f>
        <v>PM2,5 (les partícules importen per sota de 2,5 μm)</v>
      </c>
      <c r="O225" s="7" t="str">
        <f>IFERROR(__xludf.DUMMYFUNCTION("GoogleTranslate(C225, ""en"", ""zh-cn"")"),"PM2.5（2.5μm以下颗粒物）")</f>
        <v>PM2.5（2.5μm以下颗粒物）</v>
      </c>
      <c r="P225" s="7" t="str">
        <f>IFERROR(__xludf.DUMMYFUNCTION("GoogleTranslate(C225, ""en"", ""zh-TW"")"),"PM2.5（2.5μm以下粒狀物）")</f>
        <v>PM2.5（2.5μm以下粒狀物）</v>
      </c>
      <c r="Q225" s="7" t="str">
        <f>IFERROR(__xludf.DUMMYFUNCTION("GoogleTranslate(C225, ""en"", ""hr"")"),"PM2,5 (čestice materije ispod 2,5 μm)")</f>
        <v>PM2,5 (čestice materije ispod 2,5 μm)</v>
      </c>
      <c r="R225" s="7" t="str">
        <f>IFERROR(__xludf.DUMMYFUNCTION("GoogleTranslate(C225, ""en"", ""cs"")"),"PM2,5 (částice o velikosti menší než 2,5 μm)")</f>
        <v>PM2,5 (částice o velikosti menší než 2,5 μm)</v>
      </c>
      <c r="S225" s="7" t="str">
        <f>IFERROR(__xludf.DUMMYFUNCTION("GoogleTranslate(C225, ""en"", ""da"")"),"PM2.5 (partikler er mindre end 2,5 μm)")</f>
        <v>PM2.5 (partikler er mindre end 2,5 μm)</v>
      </c>
      <c r="T225" s="7" t="str">
        <f>IFERROR(__xludf.DUMMYFUNCTION("GoogleTranslate(C225, ""en"", ""nl"")"),"PM2,5 (deeltjes zijn kleiner dan 2,5 μm)")</f>
        <v>PM2,5 (deeltjes zijn kleiner dan 2,5 μm)</v>
      </c>
      <c r="U225" s="7" t="str">
        <f>IFERROR(__xludf.DUMMYFUNCTION("GoogleTranslate(C225, ""en"", ""et"")"),"PM2,5 (osakesed on alla 2,5 μm)")</f>
        <v>PM2,5 (osakesed on alla 2,5 μm)</v>
      </c>
      <c r="V225" s="5" t="str">
        <f t="shared" si="3"/>
        <v>PM2.5 (Particles matter under 2.5μm)</v>
      </c>
      <c r="W225" s="7" t="str">
        <f>IFERROR(__xludf.DUMMYFUNCTION("GoogleTranslate(C225, ""en"", ""fi"")"),"PM2,5 (hiukkasten materiaali on alle 2,5 μm)")</f>
        <v>PM2,5 (hiukkasten materiaali on alle 2,5 μm)</v>
      </c>
      <c r="X225" s="7" t="str">
        <f>IFERROR(__xludf.DUMMYFUNCTION("GoogleTranslate(C225, ""en"", ""fr"")"),"PM2,5 (les particules comptent moins de 2,5 μm)")</f>
        <v>PM2,5 (les particules comptent moins de 2,5 μm)</v>
      </c>
      <c r="Y225" s="7" t="str">
        <f>IFERROR(__xludf.DUMMYFUNCTION("GoogleTranslate(C225, ""en"", ""de"")"),"PM2,5 (Partikel sind kleiner als 2,5 μm)")</f>
        <v>PM2,5 (Partikel sind kleiner als 2,5 μm)</v>
      </c>
      <c r="Z225" s="7" t="str">
        <f>IFERROR(__xludf.DUMMYFUNCTION("GoogleTranslate(C225, ""en"", ""el"")"),"PM2,5 (Τα σωματίδια κάτω από 2,5 μm)")</f>
        <v>PM2,5 (Τα σωματίδια κάτω από 2,5 μm)</v>
      </c>
      <c r="AA225" s="7" t="str">
        <f>IFERROR(__xludf.DUMMYFUNCTION("GoogleTranslate(C225, ""en"", ""iw"")"),"PM2.5 (חלקיקים חומרים מתחת ל-2.5μm)")</f>
        <v>PM2.5 (חלקיקים חומרים מתחת ל-2.5μm)</v>
      </c>
      <c r="AB225" s="7" t="str">
        <f>IFERROR(__xludf.DUMMYFUNCTION("GoogleTranslate(C225, ""en"", ""hi"")"),"PM2.5 (2.5μm से कम के कण मायने रखते हैं)")</f>
        <v>PM2.5 (2.5μm से कम के कण मायने रखते हैं)</v>
      </c>
      <c r="AC225" s="7" t="str">
        <f>IFERROR(__xludf.DUMMYFUNCTION("GoogleTranslate(C225, ""en"", ""hu"")"),"PM2,5 (2,5 μm alatti részecskék)")</f>
        <v>PM2,5 (2,5 μm alatti részecskék)</v>
      </c>
      <c r="AD225" s="7" t="str">
        <f>IFERROR(__xludf.DUMMYFUNCTION("GoogleTranslate(C225, ""en"", ""is"")"),"PM2.5 (agnir skipta minna en 2.5μm)")</f>
        <v>PM2.5 (agnir skipta minna en 2.5μm)</v>
      </c>
      <c r="AE225" s="7" t="str">
        <f>IFERROR(__xludf.DUMMYFUNCTION("GoogleTranslate(C225, ""en"", ""id"")"),"PM2.5 (Partikel penting di bawah 2,5μm)")</f>
        <v>PM2.5 (Partikel penting di bawah 2,5μm)</v>
      </c>
      <c r="AF225" s="7" t="str">
        <f>IFERROR(__xludf.DUMMYFUNCTION("GoogleTranslate(C225, ""en"", ""in"")"),"PM2.5 (Partikel penting di bawah 2,5μm)")</f>
        <v>PM2.5 (Partikel penting di bawah 2,5μm)</v>
      </c>
      <c r="AG225" s="7" t="str">
        <f>IFERROR(__xludf.DUMMYFUNCTION("GoogleTranslate(C225, ""en"", ""it"")"),"PM2.5 (Le particelle contano sotto i 2,5μm)")</f>
        <v>PM2.5 (Le particelle contano sotto i 2,5μm)</v>
      </c>
      <c r="AH225" s="7" t="str">
        <f>IFERROR(__xludf.DUMMYFUNCTION("GoogleTranslate(C225, ""en"", ""ja"")"),"PM2.5（2.5μm以下の粒子状物質）")</f>
        <v>PM2.5（2.5μm以下の粒子状物質）</v>
      </c>
      <c r="AI225" s="7" t="str">
        <f>IFERROR(__xludf.DUMMYFUNCTION("GoogleTranslate(C225, ""en"", ""kn"")"),"PM2.5 (2.5μm ಗಿಂತ ಕಡಿಮೆ ಇರುವ ಕಣಗಳು)")</f>
        <v>PM2.5 (2.5μm ಗಿಂತ ಕಡಿಮೆ ಇರುವ ಕಣಗಳು)</v>
      </c>
      <c r="AJ225" s="7" t="str">
        <f>IFERROR(__xludf.DUMMYFUNCTION("GoogleTranslate(C225, ""en"", ""km"")"),"PM2.5 (ភាគល្អិតមានទម្ងន់ក្រោម 2.5μm)")</f>
        <v>PM2.5 (ភាគល្អិតមានទម្ងន់ក្រោម 2.5μm)</v>
      </c>
      <c r="AK225" s="7" t="str">
        <f>IFERROR(__xludf.DUMMYFUNCTION("GoogleTranslate(C225, ""en"", ""ko"")"),"PM2.5(2.5μm 이하의 입자 물질)")</f>
        <v>PM2.5(2.5μm 이하의 입자 물질)</v>
      </c>
      <c r="AL225" s="7" t="str">
        <f>IFERROR(__xludf.DUMMYFUNCTION("GoogleTranslate(C225, ""en"", ""lo"")"),"PM2.5 (ອະນຸພາກສຳຄັນກວ່າ 2.5μm)")</f>
        <v>PM2.5 (ອະນຸພາກສຳຄັນກວ່າ 2.5μm)</v>
      </c>
      <c r="AM225" s="7" t="str">
        <f>IFERROR(__xludf.DUMMYFUNCTION("GoogleTranslate(C225, ""en"", ""lv"")"),"PM2,5 (daļiņas mazākas par 2,5 μm)")</f>
        <v>PM2,5 (daļiņas mazākas par 2,5 μm)</v>
      </c>
      <c r="AN225" s="7" t="str">
        <f>IFERROR(__xludf.DUMMYFUNCTION("GoogleTranslate(C225, ""en"", ""lt"")"),"PM2,5 (dalelės mažesnės nei 2,5 μm)")</f>
        <v>PM2,5 (dalelės mažesnės nei 2,5 μm)</v>
      </c>
      <c r="AO225" s="7" t="str">
        <f>IFERROR(__xludf.DUMMYFUNCTION("GoogleTranslate(C225, ""en"", ""mk"")"),"PM2.5 (Честички се материја под 2,5 μm)")</f>
        <v>PM2.5 (Честички се материја под 2,5 μm)</v>
      </c>
      <c r="AP225" s="7" t="str">
        <f>IFERROR(__xludf.DUMMYFUNCTION("GoogleTranslate(C225, ""en"", ""ms"")"),"PM2.5 (Jiri zarah di bawah 2.5μm)")</f>
        <v>PM2.5 (Jiri zarah di bawah 2.5μm)</v>
      </c>
      <c r="AQ225" s="7" t="str">
        <f>IFERROR(__xludf.DUMMYFUNCTION("GoogleTranslate(C225, ""en"", ""ml"")"),"PM2.5 (2.5μm-ൽ താഴെയുള്ള കണികകൾ)")</f>
        <v>PM2.5 (2.5μm-ൽ താഴെയുള്ള കണികകൾ)</v>
      </c>
      <c r="AR225" s="7" t="str">
        <f>IFERROR(__xludf.DUMMYFUNCTION("GoogleTranslate(C225, ""en"", ""mr"")"),"PM2.5 (2.5μm अंतर्गत कणांचे प्रमाण)")</f>
        <v>PM2.5 (2.5μm अंतर्गत कणांचे प्रमाण)</v>
      </c>
      <c r="AS225" s="7" t="str">
        <f>IFERROR(__xludf.DUMMYFUNCTION("GoogleTranslate(C225, ""en"", ""mn"")"),"PM2.5 (2.5μm-ээс бага хэмжээтэй тоосонцор)")</f>
        <v>PM2.5 (2.5μm-ээс бага хэмжээтэй тоосонцор)</v>
      </c>
      <c r="AT225" s="7" t="str">
        <f>IFERROR(__xludf.DUMMYFUNCTION("GoogleTranslate(C225, ""en"", ""ne"")"),"PM2.5 (2.5μm भन्दा कम कणहरू)")</f>
        <v>PM2.5 (2.5μm भन्दा कम कणहरू)</v>
      </c>
      <c r="AU225" s="7" t="str">
        <f>IFERROR(__xludf.DUMMYFUNCTION("GoogleTranslate(C225, ""en"", ""nb"")"),"PM2,5 (partikler er mindre enn 2,5 μm)")</f>
        <v>PM2,5 (partikler er mindre enn 2,5 μm)</v>
      </c>
      <c r="AV225" s="7" t="str">
        <f>IFERROR(__xludf.DUMMYFUNCTION("GoogleTranslate(C225, ""en"", ""fa"")"),"PM2.5 (ذرات زیر 2.5 میکرومتر)")</f>
        <v>PM2.5 (ذرات زیر 2.5 میکرومتر)</v>
      </c>
      <c r="AW225" s="7" t="str">
        <f>IFERROR(__xludf.DUMMYFUNCTION("GoogleTranslate(C225, ""en"", ""pl"")"),"PM2,5 (Cząsteczki mają znaczenie poniżej 2,5 μm)")</f>
        <v>PM2,5 (Cząsteczki mają znaczenie poniżej 2,5 μm)</v>
      </c>
      <c r="AX225" s="7" t="str">
        <f>IFERROR(__xludf.DUMMYFUNCTION("GoogleTranslate(C225, ""en"", ""pt"")"),"PM2.5 (partículas importam abaixo de 2,5 μm)")</f>
        <v>PM2.5 (partículas importam abaixo de 2,5 μm)</v>
      </c>
      <c r="AY225" s="7" t="str">
        <f>IFERROR(__xludf.DUMMYFUNCTION("GoogleTranslate(C225, ""en"", ""ro"")"),"PM2.5 (Particulele contează sub 2,5 μm)")</f>
        <v>PM2.5 (Particulele contează sub 2,5 μm)</v>
      </c>
      <c r="AZ225" s="7" t="str">
        <f>IFERROR(__xludf.DUMMYFUNCTION("GoogleTranslate(C225, ""en"", ""ru"")"),"PM2,5 (частицы размером менее 2,5 мкм)")</f>
        <v>PM2,5 (частицы размером менее 2,5 мкм)</v>
      </c>
      <c r="BA225" s="7" t="str">
        <f>IFERROR(__xludf.DUMMYFUNCTION("GoogleTranslate(C225, ""en"", ""sr"")"),"ПМ2,5 (честице су мање од 2,5 μм)")</f>
        <v>ПМ2,5 (честице су мање од 2,5 μм)</v>
      </c>
      <c r="BB225" s="7" t="str">
        <f>IFERROR(__xludf.DUMMYFUNCTION("GoogleTranslate(C225, ""en"", ""si"")"),"PM2.5 (2.5μm ට අඩු අංශු පදාර්ථ)")</f>
        <v>PM2.5 (2.5μm ට අඩු අංශු පදාර්ථ)</v>
      </c>
      <c r="BC225" s="7" t="str">
        <f>IFERROR(__xludf.DUMMYFUNCTION("GoogleTranslate(C225, ""en"", ""sk"")"),"PM2,5 (častice menšie ako 2,5 μm)")</f>
        <v>PM2,5 (častice menšie ako 2,5 μm)</v>
      </c>
      <c r="BD225" s="7" t="str">
        <f>IFERROR(__xludf.DUMMYFUNCTION("GoogleTranslate(C225, ""en"", ""sl"")"),"PM2,5 (delci pod 2,5 μm)")</f>
        <v>PM2,5 (delci pod 2,5 μm)</v>
      </c>
      <c r="BE225" s="7" t="str">
        <f>IFERROR(__xludf.DUMMYFUNCTION("GoogleTranslate(C225, ""en"", ""es"")"),"PM2.5 (partículas importantes por debajo de 2,5 μm)")</f>
        <v>PM2.5 (partículas importantes por debajo de 2,5 μm)</v>
      </c>
      <c r="BF225" s="7" t="str">
        <f>IFERROR(__xludf.DUMMYFUNCTION("GoogleTranslate(C225, ""en"", ""sw"")"),"PM2.5 (Chembe ni muhimu chini ya 2.5μm)")</f>
        <v>PM2.5 (Chembe ni muhimu chini ya 2.5μm)</v>
      </c>
      <c r="BG225" s="7" t="str">
        <f>IFERROR(__xludf.DUMMYFUNCTION("GoogleTranslate(C225, ""en"", ""sv"")"),"PM2,5 (partiklar är mindre än 2,5 μm)")</f>
        <v>PM2,5 (partiklar är mindre än 2,5 μm)</v>
      </c>
      <c r="BH225" s="7" t="str">
        <f>IFERROR(__xludf.DUMMYFUNCTION("GoogleTranslate(C225, ""en"", ""te"")"),"PM2.5 (కణాలు 2.5μm లోపు పదార్థం)")</f>
        <v>PM2.5 (కణాలు 2.5μm లోపు పదార్థం)</v>
      </c>
      <c r="BI225" s="7" t="str">
        <f>IFERROR(__xludf.DUMMYFUNCTION("GoogleTranslate(C225, ""en"", ""th"")"),"PM2.5 (อนุภาคมีขนาดไม่เกิน 2.5μm)")</f>
        <v>PM2.5 (อนุภาคมีขนาดไม่เกิน 2.5μm)</v>
      </c>
      <c r="BJ225" s="7" t="str">
        <f>IFERROR(__xludf.DUMMYFUNCTION("GoogleTranslate(C225, ""en"", ""tr"")"),"PM2.5 (2,5μm'nin altındaki parçacıklar önemlidir)")</f>
        <v>PM2.5 (2,5μm'nin altındaki parçacıklar önemlidir)</v>
      </c>
      <c r="BK225" s="7" t="str">
        <f>IFERROR(__xludf.DUMMYFUNCTION("GoogleTranslate(C225, ""en"", ""uk"")"),"PM2,5 (частинки розміром менше 2,5 мкм)")</f>
        <v>PM2,5 (частинки розміром менше 2,5 мкм)</v>
      </c>
      <c r="BL225" s="7" t="str">
        <f>IFERROR(__xludf.DUMMYFUNCTION("GoogleTranslate(C225, ""en"", ""zu"")"),"PM2.5 (Izinhlayiya zibalulekile ngaphansi kuka-2.5μm)")</f>
        <v>PM2.5 (Izinhlayiya zibalulekile ngaphansi kuka-2.5μm)</v>
      </c>
    </row>
    <row r="226">
      <c r="A226" s="5" t="str">
        <f t="shared" si="1"/>
        <v>Ozone_in_the_air_we_breathe_can_harm_our_health,_especially_on_hot_sunny_days_when_ozone_can_reach_unhealthy_levels._Even_relatively_low_levels_of_ozone_can_cause_health_effects.</v>
      </c>
      <c r="B226" s="4" t="s">
        <v>269</v>
      </c>
      <c r="C226" s="4" t="s">
        <v>269</v>
      </c>
      <c r="D226" s="7" t="str">
        <f>IFERROR(__xludf.DUMMYFUNCTION("GoogleTranslate(C226, ""en"", ""es"")"),"El ozono en el aire que respiramos puede dañar nuestra salud, especialmente en los días calurosos y soleados, cuando el ozono puede alcanzar niveles nocivos para la salud. Incluso niveles relativamente bajos de ozono pueden tener efectos sobre la salud.")</f>
        <v>El ozono en el aire que respiramos puede dañar nuestra salud, especialmente en los días calurosos y soleados, cuando el ozono puede alcanzar niveles nocivos para la salud. Incluso niveles relativamente bajos de ozono pueden tener efectos sobre la salud.</v>
      </c>
      <c r="E226" s="7" t="str">
        <f>IFERROR(__xludf.DUMMYFUNCTION("GoogleTranslate(C226, ""en"", ""ar"")"),"الأوزون الموجود في الهواء الذي نتنفسه يمكن أن يضر بصحتنا، خاصة في الأيام المشمسة الحارة عندما يصل الأوزون إلى مستويات غير صحية. حتى المستويات المنخفضة نسبيًا من الأوزون يمكن أن تسبب آثارًا صحية.")</f>
        <v>الأوزون الموجود في الهواء الذي نتنفسه يمكن أن يضر بصحتنا، خاصة في الأيام المشمسة الحارة عندما يصل الأوزون إلى مستويات غير صحية. حتى المستويات المنخفضة نسبيًا من الأوزون يمكن أن تسبب آثارًا صحية.</v>
      </c>
      <c r="F226" s="7" t="str">
        <f>IFERROR(__xludf.DUMMYFUNCTION("GoogleTranslate(C226, ""en"", ""hy"")"),"Օզոնը օդում, որը մենք շնչում ենք, կարող է վնասել մեր առողջությանը, հատկապես շոգ արևոտ օրերին, երբ օզոնը կարող է հասնել անառողջ մակարդակի: Նույնիսկ օզոնի համեմատաբար ցածր մակարդակը կարող է առողջական ազդեցություն ունենալ:")</f>
        <v>Օզոնը օդում, որը մենք շնչում ենք, կարող է վնասել մեր առողջությանը, հատկապես շոգ արևոտ օրերին, երբ օզոնը կարող է հասնել անառողջ մակարդակի: Նույնիսկ օզոնի համեմատաբար ցածր մակարդակը կարող է առողջական ազդեցություն ունենալ:</v>
      </c>
      <c r="G226" s="7" t="str">
        <f>IFERROR(__xludf.DUMMYFUNCTION("GoogleTranslate(C226, ""en"", ""vi"")"),"Ozone trong không khí chúng ta hít thở có thể gây hại cho sức khỏe, đặc biệt là vào những ngày nắng nóng khi ozone có thể đạt đến mức không tốt cho sức khỏe. Ngay cả mức ozone tương đối thấp cũng có thể gây ảnh hưởng đến sức khỏe.")</f>
        <v>Ozone trong không khí chúng ta hít thở có thể gây hại cho sức khỏe, đặc biệt là vào những ngày nắng nóng khi ozone có thể đạt đến mức không tốt cho sức khỏe. Ngay cả mức ozone tương đối thấp cũng có thể gây ảnh hưởng đến sức khỏe.</v>
      </c>
      <c r="H226" s="7" t="str">
        <f>IFERROR(__xludf.DUMMYFUNCTION("GoogleTranslate(C226, ""en"", ""az"")"),"Nəfəs aldığımız havadakı ozon, xüsusilə ozonun qeyri-sağlam səviyyələrə çatdığı isti günəşli günlərdə sağlamlığımıza zərər verə bilər. Hətta nisbətən aşağı ozon səviyyələri sağlamlığa təsir göstərə bilər.")</f>
        <v>Nəfəs aldığımız havadakı ozon, xüsusilə ozonun qeyri-sağlam səviyyələrə çatdığı isti günəşli günlərdə sağlamlığımıza zərər verə bilər. Hətta nisbətən aşağı ozon səviyyələri sağlamlığa təsir göstərə bilər.</v>
      </c>
      <c r="I226" s="7" t="str">
        <f>IFERROR(__xludf.DUMMYFUNCTION("GoogleTranslate(C226, ""en"", ""eu"")"),"Arnasten dugun aireko ozonoak gure osasunari kalte egin diezaioke, batez ere egun eguzkitsu beroetan, ozonoa maila ez-osasungarrietara irits daitekeenean. Nahiz eta ozono maila nahiko baxuak eragin ditzake osasunean.")</f>
        <v>Arnasten dugun aireko ozonoak gure osasunari kalte egin diezaioke, batez ere egun eguzkitsu beroetan, ozonoa maila ez-osasungarrietara irits daitekeenean. Nahiz eta ozono maila nahiko baxuak eragin ditzake osasunean.</v>
      </c>
      <c r="J226" s="7" t="str">
        <f>IFERROR(__xludf.DUMMYFUNCTION("GoogleTranslate(C226, ""en"", ""be"")"),"Азон у паветры, якім мы дыхаем, можа нанесці шкоду нашаму здароўю, асабліва ў гарачыя сонечныя дні, калі азон можа дасягаць нездаровага ўзроўню. Нават адносна нізкі ўзровень азону можа нанесці шкоду здароўю.")</f>
        <v>Азон у паветры, якім мы дыхаем, можа нанесці шкоду нашаму здароўю, асабліва ў гарачыя сонечныя дні, калі азон можа дасягаць нездаровага ўзроўню. Нават адносна нізкі ўзровень азону можа нанесці шкоду здароўю.</v>
      </c>
      <c r="K226" s="7" t="str">
        <f>IFERROR(__xludf.DUMMYFUNCTION("GoogleTranslate(C226, ""en"", ""bn"")"),"ওজোন যে বাতাসে আমরা শ্বাস নিই তা আমাদের স্বাস্থ্যের ক্ষতি করতে পারে, বিশেষ করে গরম রৌদ্রোজ্জ্বল দিনে যখন ওজোন অস্বাস্থ্যকর মাত্রায় পৌঁছাতে পারে। এমনকি ওজোনের তুলনামূলকভাবে কম মাত্রা স্বাস্থ্যের প্রভাব সৃষ্টি করতে পারে।")</f>
        <v>ওজোন যে বাতাসে আমরা শ্বাস নিই তা আমাদের স্বাস্থ্যের ক্ষতি করতে পারে, বিশেষ করে গরম রৌদ্রোজ্জ্বল দিনে যখন ওজোন অস্বাস্থ্যকর মাত্রায় পৌঁছাতে পারে। এমনকি ওজোনের তুলনামূলকভাবে কম মাত্রা স্বাস্থ্যের প্রভাব সৃষ্টি করতে পারে।</v>
      </c>
      <c r="L226" s="7" t="str">
        <f>IFERROR(__xludf.DUMMYFUNCTION("GoogleTranslate(C226, ""en"", ""bg"")"),"Озонът във въздуха, който дишаме, може да навреди на здравето ни, особено в горещи слънчеви дни, когато озонът може да достигне нездравословни нива. Дори относително ниските нива на озон могат да причинят последици за здравето.")</f>
        <v>Озонът във въздуха, който дишаме, може да навреди на здравето ни, особено в горещи слънчеви дни, когато озонът може да достигне нездравословни нива. Дори относително ниските нива на озон могат да причинят последици за здравето.</v>
      </c>
      <c r="M226" s="7" t="str">
        <f>IFERROR(__xludf.DUMMYFUNCTION("GoogleTranslate(C226, ""en"", ""my"")"),"ကျွန်ုပ်တို့ ရှူရှိုက်မိသော လေထုထဲတွင် အိုဇုန်းဓာတ်သည် ကျန်းမာရေးနှင့် မညီညွတ်သော အဆင့်သို့ ရောက်ရှိသောအခါ အထူးသဖြင့် ပူပြင်းသော နေသာသော နေ့များတွင် ကျွန်ုပ်တို့၏ ကျန်းမာရေးကို ထိခိုက်စေနိုင်သည်။ အိုဇုန်းအဆင့် နိမ့်နေရင်တောင် ကျန်းမာရေးကို ထိခိုက်စေနိုင်ပ"&amp;"ါတယ်။")</f>
        <v>ကျွန်ုပ်တို့ ရှူရှိုက်မိသော လေထုထဲတွင် အိုဇုန်းဓာတ်သည် ကျန်းမာရေးနှင့် မညီညွတ်သော အဆင့်သို့ ရောက်ရှိသောအခါ အထူးသဖြင့် ပူပြင်းသော နေသာသော နေ့များတွင် ကျွန်ုပ်တို့၏ ကျန်းမာရေးကို ထိခိုက်စေနိုင်သည်။ အိုဇုန်းအဆင့် နိမ့်နေရင်တောင် ကျန်းမာရေးကို ထိခိုက်စေနိုင်ပါတယ်။</v>
      </c>
      <c r="N226" s="7" t="str">
        <f>IFERROR(__xludf.DUMMYFUNCTION("GoogleTranslate(C226, ""en"", ""ca"")"),"L'ozó a l'aire que respirem pot perjudicar la nostra salut, especialment els dies calorosos i assolellats quan l'ozó pot arribar a nivells no saludables. Fins i tot nivells relativament baixos d'ozó poden causar efectes sobre la salut.")</f>
        <v>L'ozó a l'aire que respirem pot perjudicar la nostra salut, especialment els dies calorosos i assolellats quan l'ozó pot arribar a nivells no saludables. Fins i tot nivells relativament baixos d'ozó poden causar efectes sobre la salut.</v>
      </c>
      <c r="O226" s="7" t="str">
        <f>IFERROR(__xludf.DUMMYFUNCTION("GoogleTranslate(C226, ""en"", ""zh-cn"")"),"我们呼吸的空气中的臭氧会损害我们的健康，尤其是在炎热的晴天，臭氧会达到不健康的水平。即使臭氧含量相对较低也会对健康造成影响。")</f>
        <v>我们呼吸的空气中的臭氧会损害我们的健康，尤其是在炎热的晴天，臭氧会达到不健康的水平。即使臭氧含量相对较低也会对健康造成影响。</v>
      </c>
      <c r="P226" s="7" t="str">
        <f>IFERROR(__xludf.DUMMYFUNCTION("GoogleTranslate(C226, ""en"", ""zh-TW"")"),"我們呼吸的空氣中的臭氧會損害我們的健康，尤其是在炎熱的晴天，臭氧會達到不健康的水平。即使臭氧含量相對較低也會對健康造成影響。")</f>
        <v>我們呼吸的空氣中的臭氧會損害我們的健康，尤其是在炎熱的晴天，臭氧會達到不健康的水平。即使臭氧含量相對較低也會對健康造成影響。</v>
      </c>
      <c r="Q226" s="7" t="str">
        <f>IFERROR(__xludf.DUMMYFUNCTION("GoogleTranslate(C226, ""en"", ""hr"")"),"Ozon u zraku koji udišemo može naštetiti našem zdravlju, posebno za vrijeme vrućih sunčanih dana kada ozon može doseći nezdravu razinu. Čak i relativno niske razine ozona mogu uzrokovati zdravstvene posljedice.")</f>
        <v>Ozon u zraku koji udišemo može naštetiti našem zdravlju, posebno za vrijeme vrućih sunčanih dana kada ozon može doseći nezdravu razinu. Čak i relativno niske razine ozona mogu uzrokovati zdravstvene posljedice.</v>
      </c>
      <c r="R226" s="7" t="str">
        <f>IFERROR(__xludf.DUMMYFUNCTION("GoogleTranslate(C226, ""en"", ""cs"")"),"Ozón ve vzduchu, který dýcháme, může poškodit naše zdraví, zejména v horkých slunečných dnech, kdy ozón může dosáhnout nezdravých úrovní. I relativně nízké hladiny ozonu mohou mít zdravotní účinky.")</f>
        <v>Ozón ve vzduchu, který dýcháme, může poškodit naše zdraví, zejména v horkých slunečných dnech, kdy ozón může dosáhnout nezdravých úrovní. I relativně nízké hladiny ozonu mohou mít zdravotní účinky.</v>
      </c>
      <c r="S226" s="7" t="str">
        <f>IFERROR(__xludf.DUMMYFUNCTION("GoogleTranslate(C226, ""en"", ""da"")"),"Ozon i luften, vi indånder, kan skade vores helbred, især på varme solskinsdage, hvor ozon kan nå usunde niveauer. Selv relativt lave niveauer af ozon kan forårsage sundhedseffekter.")</f>
        <v>Ozon i luften, vi indånder, kan skade vores helbred, især på varme solskinsdage, hvor ozon kan nå usunde niveauer. Selv relativt lave niveauer af ozon kan forårsage sundhedseffekter.</v>
      </c>
      <c r="T226" s="7" t="str">
        <f>IFERROR(__xludf.DUMMYFUNCTION("GoogleTranslate(C226, ""en"", ""nl"")"),"Ozon in de lucht die we inademen kan onze gezondheid schaden, vooral op warme zonnige dagen wanneer ozon ongezonde niveaus kan bereiken. Zelfs relatief lage ozonniveaus kunnen gezondheidseffecten veroorzaken.")</f>
        <v>Ozon in de lucht die we inademen kan onze gezondheid schaden, vooral op warme zonnige dagen wanneer ozon ongezonde niveaus kan bereiken. Zelfs relatief lage ozonniveaus kunnen gezondheidseffecten veroorzaken.</v>
      </c>
      <c r="U226" s="7" t="str">
        <f>IFERROR(__xludf.DUMMYFUNCTION("GoogleTranslate(C226, ""en"", ""et"")"),"Osoon õhus, mida me hingame, võib kahjustada meie tervist, eriti kuumadel päikesepaistelistel päevadel, mil osoon võib jõuda ebatervisliku tasemeni. Isegi suhteliselt madal osoonitase võib põhjustada tervisemõjusid.")</f>
        <v>Osoon õhus, mida me hingame, võib kahjustada meie tervist, eriti kuumadel päikesepaistelistel päevadel, mil osoon võib jõuda ebatervisliku tasemeni. Isegi suhteliselt madal osoonitase võib põhjustada tervisemõjusid.</v>
      </c>
      <c r="V226" s="5" t="str">
        <f t="shared" si="3"/>
        <v>Ozone in the air we breathe can harm our health, especially on hot sunny days when ozone can reach unhealthy levels. Even relatively low levels of ozone can cause health effects.</v>
      </c>
      <c r="W226" s="7" t="str">
        <f>IFERROR(__xludf.DUMMYFUNCTION("GoogleTranslate(C226, ""en"", ""fi"")"),"Hengittämämme ilman otsoni voi vahingoittaa terveyttämme, etenkin kuumina aurinkoisina päivinä, jolloin otsoni voi saavuttaa epäterveellisen tason. Jopa suhteellisen alhaiset otsonitasot voivat aiheuttaa terveysvaikutuksia.")</f>
        <v>Hengittämämme ilman otsoni voi vahingoittaa terveyttämme, etenkin kuumina aurinkoisina päivinä, jolloin otsoni voi saavuttaa epäterveellisen tason. Jopa suhteellisen alhaiset otsonitasot voivat aiheuttaa terveysvaikutuksia.</v>
      </c>
      <c r="X226" s="7" t="str">
        <f>IFERROR(__xludf.DUMMYFUNCTION("GoogleTranslate(C226, ""en"", ""fr"")"),"L'ozone présent dans l'air que nous respirons peut nuire à notre santé, en particulier lors des journées chaudes et ensoleillées, lorsque l'ozone peut atteindre des niveaux malsains. Même des niveaux d’ozone relativement faibles peuvent avoir des effets n"&amp;"éfastes sur la santé.")</f>
        <v>L'ozone présent dans l'air que nous respirons peut nuire à notre santé, en particulier lors des journées chaudes et ensoleillées, lorsque l'ozone peut atteindre des niveaux malsains. Même des niveaux d’ozone relativement faibles peuvent avoir des effets néfastes sur la santé.</v>
      </c>
      <c r="Y226" s="7" t="str">
        <f>IFERROR(__xludf.DUMMYFUNCTION("GoogleTranslate(C226, ""en"", ""de"")"),"Ozon in der Luft, die wir atmen, kann unserer Gesundheit schaden, insbesondere an heißen, sonnigen Tagen, an denen Ozon ungesunde Werte erreichen kann. Selbst relativ niedrige Ozonwerte können gesundheitliche Auswirkungen haben.")</f>
        <v>Ozon in der Luft, die wir atmen, kann unserer Gesundheit schaden, insbesondere an heißen, sonnigen Tagen, an denen Ozon ungesunde Werte erreichen kann. Selbst relativ niedrige Ozonwerte können gesundheitliche Auswirkungen haben.</v>
      </c>
      <c r="Z226" s="7" t="str">
        <f>IFERROR(__xludf.DUMMYFUNCTION("GoogleTranslate(C226, ""en"", ""el"")"),"Το όζον στον αέρα που αναπνέουμε μπορεί να βλάψει την υγεία μας, ειδικά τις ζεστές ηλιόλουστες μέρες που το όζον μπορεί να φτάσει σε ανθυγιεινά επίπεδα. Ακόμη και σχετικά χαμηλά επίπεδα όζοντος μπορούν να προκαλέσουν επιπτώσεις στην υγεία.")</f>
        <v>Το όζον στον αέρα που αναπνέουμε μπορεί να βλάψει την υγεία μας, ειδικά τις ζεστές ηλιόλουστες μέρες που το όζον μπορεί να φτάσει σε ανθυγιεινά επίπεδα. Ακόμη και σχετικά χαμηλά επίπεδα όζοντος μπορούν να προκαλέσουν επιπτώσεις στην υγεία.</v>
      </c>
      <c r="AA226" s="7" t="str">
        <f>IFERROR(__xludf.DUMMYFUNCTION("GoogleTranslate(C226, ""en"", ""iw"")"),"אוזון באוויר שאנו נושמים עלול להזיק לבריאותנו, במיוחד בימי שמש חמים בהם האוזון יכול להגיע לרמות לא בריאות. אפילו רמות נמוכות יחסית של אוזון עלולות לגרום להשפעות בריאותיות.")</f>
        <v>אוזון באוויר שאנו נושמים עלול להזיק לבריאותנו, במיוחד בימי שמש חמים בהם האוזון יכול להגיע לרמות לא בריאות. אפילו רמות נמוכות יחסית של אוזון עלולות לגרום להשפעות בריאותיות.</v>
      </c>
      <c r="AB226" s="7" t="str">
        <f>IFERROR(__xludf.DUMMYFUNCTION("GoogleTranslate(C226, ""en"", ""hi"")"),"जिस हवा में हम सांस लेते हैं उसमें ओजोन हमारे स्वास्थ्य को नुकसान पहुंचा सकती है, खासकर गर्म धूप वाले दिनों में जब ओजोन अस्वास्थ्यकर स्तर तक पहुंच सकता है। ओजोन का अपेक्षाकृत निम्न स्तर भी स्वास्थ्य पर प्रभाव डाल सकता है।")</f>
        <v>जिस हवा में हम सांस लेते हैं उसमें ओजोन हमारे स्वास्थ्य को नुकसान पहुंचा सकती है, खासकर गर्म धूप वाले दिनों में जब ओजोन अस्वास्थ्यकर स्तर तक पहुंच सकता है। ओजोन का अपेक्षाकृत निम्न स्तर भी स्वास्थ्य पर प्रभाव डाल सकता है।</v>
      </c>
      <c r="AC226" s="7" t="str">
        <f>IFERROR(__xludf.DUMMYFUNCTION("GoogleTranslate(C226, ""en"", ""hu"")"),"Az általunk belélegzett levegőben lévő ózon károsíthatja egészségünket, különösen a forró napsütéses napokon, amikor az ózon elérheti az egészségtelen szintet. Még a viszonylag alacsony ózonszint is egészségügyi hatásokat okozhat.")</f>
        <v>Az általunk belélegzett levegőben lévő ózon károsíthatja egészségünket, különösen a forró napsütéses napokon, amikor az ózon elérheti az egészségtelen szintet. Még a viszonylag alacsony ózonszint is egészségügyi hatásokat okozhat.</v>
      </c>
      <c r="AD226" s="7" t="str">
        <f>IFERROR(__xludf.DUMMYFUNCTION("GoogleTranslate(C226, ""en"", ""is"")"),"Óson í loftinu sem við öndum að okkur getur skaðað heilsu okkar, sérstaklega á heitum sólríkum dögum þegar óson getur náð óhollt magn. Jafnvel tiltölulega lítið magn ósons getur haft heilsufarsleg áhrif.")</f>
        <v>Óson í loftinu sem við öndum að okkur getur skaðað heilsu okkar, sérstaklega á heitum sólríkum dögum þegar óson getur náð óhollt magn. Jafnvel tiltölulega lítið magn ósons getur haft heilsufarsleg áhrif.</v>
      </c>
      <c r="AE226" s="7" t="str">
        <f>IFERROR(__xludf.DUMMYFUNCTION("GoogleTranslate(C226, ""en"", ""id"")"),"Ozon di udara yang kita hirup dapat membahayakan kesehatan kita, terutama pada hari-hari terik ketika ozon dapat mencapai tingkat yang tidak sehat. Bahkan tingkat ozon yang relatif rendah pun dapat menimbulkan dampak kesehatan.")</f>
        <v>Ozon di udara yang kita hirup dapat membahayakan kesehatan kita, terutama pada hari-hari terik ketika ozon dapat mencapai tingkat yang tidak sehat. Bahkan tingkat ozon yang relatif rendah pun dapat menimbulkan dampak kesehatan.</v>
      </c>
      <c r="AF226" s="7" t="str">
        <f>IFERROR(__xludf.DUMMYFUNCTION("GoogleTranslate(C226, ""en"", ""in"")"),"Ozon di udara yang kita hirup dapat membahayakan kesehatan kita, terutama pada hari-hari terik ketika ozon dapat mencapai tingkat yang tidak sehat. Bahkan tingkat ozon yang relatif rendah pun dapat menimbulkan dampak kesehatan.")</f>
        <v>Ozon di udara yang kita hirup dapat membahayakan kesehatan kita, terutama pada hari-hari terik ketika ozon dapat mencapai tingkat yang tidak sehat. Bahkan tingkat ozon yang relatif rendah pun dapat menimbulkan dampak kesehatan.</v>
      </c>
      <c r="AG226" s="7" t="str">
        <f>IFERROR(__xludf.DUMMYFUNCTION("GoogleTranslate(C226, ""en"", ""it"")"),"L’ozono nell’aria che respiriamo può danneggiare la nostra salute, soprattutto nelle calde giornate soleggiate quando l’ozono può raggiungere livelli insalubri. Anche livelli relativamente bassi di ozono possono causare effetti sulla salute.")</f>
        <v>L’ozono nell’aria che respiriamo può danneggiare la nostra salute, soprattutto nelle calde giornate soleggiate quando l’ozono può raggiungere livelli insalubri. Anche livelli relativamente bassi di ozono possono causare effetti sulla salute.</v>
      </c>
      <c r="AH226" s="7" t="str">
        <f>IFERROR(__xludf.DUMMYFUNCTION("GoogleTranslate(C226, ""en"", ""ja"")"),"私たちが呼吸する空気中のオゾンは、特にオゾンが不健康なレベルに達する可能性のある暑い晴れた日には、私たちの健康に害を及ぼす可能性があります。比較的低レベルのオゾンであっても、健康への影響を引き起こす可能性があります。")</f>
        <v>私たちが呼吸する空気中のオゾンは、特にオゾンが不健康なレベルに達する可能性のある暑い晴れた日には、私たちの健康に害を及ぼす可能性があります。比較的低レベルのオゾンであっても、健康への影響を引き起こす可能性があります。</v>
      </c>
      <c r="AI226" s="7" t="str">
        <f>IFERROR(__xludf.DUMMYFUNCTION("GoogleTranslate(C226, ""en"", ""kn"")"),"ನಾವು ಉಸಿರಾಡುವ ಗಾಳಿಯಲ್ಲಿರುವ ಓಝೋನ್ ನಮ್ಮ ಆರೋಗ್ಯವನ್ನು ಹಾನಿಗೊಳಿಸುತ್ತದೆ, ವಿಶೇಷವಾಗಿ ಬಿಸಿಲಿನ ದಿನಗಳಲ್ಲಿ ಓಝೋನ್ ಅನಾರೋಗ್ಯಕರ ಮಟ್ಟವನ್ನು ತಲುಪಬಹುದು. ತುಲನಾತ್ಮಕವಾಗಿ ಕಡಿಮೆ ಮಟ್ಟದ ಓಝೋನ್ ಕೂಡ ಆರೋಗ್ಯದ ಪರಿಣಾಮಗಳನ್ನು ಉಂಟುಮಾಡಬಹುದು.")</f>
        <v>ನಾವು ಉಸಿರಾಡುವ ಗಾಳಿಯಲ್ಲಿರುವ ಓಝೋನ್ ನಮ್ಮ ಆರೋಗ್ಯವನ್ನು ಹಾನಿಗೊಳಿಸುತ್ತದೆ, ವಿಶೇಷವಾಗಿ ಬಿಸಿಲಿನ ದಿನಗಳಲ್ಲಿ ಓಝೋನ್ ಅನಾರೋಗ್ಯಕರ ಮಟ್ಟವನ್ನು ತಲುಪಬಹುದು. ತುಲನಾತ್ಮಕವಾಗಿ ಕಡಿಮೆ ಮಟ್ಟದ ಓಝೋನ್ ಕೂಡ ಆರೋಗ್ಯದ ಪರಿಣಾಮಗಳನ್ನು ಉಂಟುಮಾಡಬಹುದು.</v>
      </c>
      <c r="AJ226" s="7" t="str">
        <f>IFERROR(__xludf.DUMMYFUNCTION("GoogleTranslate(C226, ""en"", ""km"")"),"អូហ្សូននៅក្នុងខ្យល់ដែលយើងដកដង្ហើមអាចប៉ះពាល់ដល់សុខភាពរបស់យើង ជាពិសេសនៅថ្ងៃដែលមានពន្លឺព្រះអាទិត្យក្តៅ នៅពេលដែលអូហ្សូនអាចឈានដល់កម្រិតមិនល្អ។ សូម្បីតែកម្រិតអូហ្សូនទាបក៏អាចបង្កផលប៉ះពាល់ដល់សុខភាពដែរ។")</f>
        <v>អូហ្សូននៅក្នុងខ្យល់ដែលយើងដកដង្ហើមអាចប៉ះពាល់ដល់សុខភាពរបស់យើង ជាពិសេសនៅថ្ងៃដែលមានពន្លឺព្រះអាទិត្យក្តៅ នៅពេលដែលអូហ្សូនអាចឈានដល់កម្រិតមិនល្អ។ សូម្បីតែកម្រិតអូហ្សូនទាបក៏អាចបង្កផលប៉ះពាល់ដល់សុខភាពដែរ។</v>
      </c>
      <c r="AK226" s="7" t="str">
        <f>IFERROR(__xludf.DUMMYFUNCTION("GoogleTranslate(C226, ""en"", ""ko"")"),"우리가 숨 쉬는 공기 중의 오존은 우리의 건강에 해를 끼칠 수 있습니다. 특히 오존이 건강에 해로운 수준에 도달할 수 있는 덥고 화창한 날에는 더욱 그렇습니다. 상대적으로 낮은 수준의 오존이라도 건강에 영향을 미칠 수 있습니다.")</f>
        <v>우리가 숨 쉬는 공기 중의 오존은 우리의 건강에 해를 끼칠 수 있습니다. 특히 오존이 건강에 해로운 수준에 도달할 수 있는 덥고 화창한 날에는 더욱 그렇습니다. 상대적으로 낮은 수준의 오존이라도 건강에 영향을 미칠 수 있습니다.</v>
      </c>
      <c r="AL226" s="7" t="str">
        <f>IFERROR(__xludf.DUMMYFUNCTION("GoogleTranslate(C226, ""en"", ""lo"")"),"ໂອໂຊນໃນອາກາດທີ່ພວກເຮົາຫາຍໃຈສາມາດເປັນອັນຕະລາຍຕໍ່ສຸຂະພາບຂອງພວກເຮົາ, ໂດຍສະເພາະໃນມື້ທີ່ມີບ່ອນມີແດດຮ້ອນເມື່ອໂອໂຊນສາມາດບັນລຸລະດັບທີ່ບໍ່ດີຕໍ່ສຸຂະພາບ. ເຖິງແມ່ນວ່າລະດັບຂອງໂອໂຊນທີ່ຂ້ອນຂ້າງຕໍ່າກໍ່ສາມາດເຮັດໃຫ້ເກີດຜົນກະທົບດ້ານສຸຂະພາບ.")</f>
        <v>ໂອໂຊນໃນອາກາດທີ່ພວກເຮົາຫາຍໃຈສາມາດເປັນອັນຕະລາຍຕໍ່ສຸຂະພາບຂອງພວກເຮົາ, ໂດຍສະເພາະໃນມື້ທີ່ມີບ່ອນມີແດດຮ້ອນເມື່ອໂອໂຊນສາມາດບັນລຸລະດັບທີ່ບໍ່ດີຕໍ່ສຸຂະພາບ. ເຖິງແມ່ນວ່າລະດັບຂອງໂອໂຊນທີ່ຂ້ອນຂ້າງຕໍ່າກໍ່ສາມາດເຮັດໃຫ້ເກີດຜົນກະທົບດ້ານສຸຂະພາບ.</v>
      </c>
      <c r="AM226" s="7" t="str">
        <f>IFERROR(__xludf.DUMMYFUNCTION("GoogleTranslate(C226, ""en"", ""lv"")"),"Ozons gaisā, ko elpojam, var kaitēt mūsu veselībai, īpaši karstās saulainās dienās, kad ozons var sasniegt neveselīgu līmeni. Pat salīdzinoši zems ozona līmenis var radīt ietekmi uz veselību.")</f>
        <v>Ozons gaisā, ko elpojam, var kaitēt mūsu veselībai, īpaši karstās saulainās dienās, kad ozons var sasniegt neveselīgu līmeni. Pat salīdzinoši zems ozona līmenis var radīt ietekmi uz veselību.</v>
      </c>
      <c r="AN226" s="7" t="str">
        <f>IFERROR(__xludf.DUMMYFUNCTION("GoogleTranslate(C226, ""en"", ""lt"")"),"Ozonas ore, kuriuo kvėpuojame, gali pakenkti mūsų sveikatai, ypač karštomis saulėtomis dienomis, kai ozonas gali pasiekti nesveiką lygį. Netgi santykinai mažas ozono kiekis gali turėti įtakos sveikatai.")</f>
        <v>Ozonas ore, kuriuo kvėpuojame, gali pakenkti mūsų sveikatai, ypač karštomis saulėtomis dienomis, kai ozonas gali pasiekti nesveiką lygį. Netgi santykinai mažas ozono kiekis gali turėti įtakos sveikatai.</v>
      </c>
      <c r="AO226" s="7" t="str">
        <f>IFERROR(__xludf.DUMMYFUNCTION("GoogleTranslate(C226, ""en"", ""mk"")"),"Озонот во воздухот што го дишеме може да му наштети на нашето здравје, особено во топлите сончеви денови кога озонот може да достигне нездраво ниво. Дури и релативно ниското ниво на озон може да предизвика здравствени ефекти.")</f>
        <v>Озонот во воздухот што го дишеме може да му наштети на нашето здравје, особено во топлите сончеви денови кога озонот може да достигне нездраво ниво. Дури и релативно ниското ниво на озон може да предизвика здравствени ефекти.</v>
      </c>
      <c r="AP226" s="7" t="str">
        <f>IFERROR(__xludf.DUMMYFUNCTION("GoogleTranslate(C226, ""en"", ""ms"")"),"Ozon dalam udara yang kita sedut boleh memudaratkan kesihatan kita, terutamanya pada hari yang panas terik apabila ozon boleh mencapai tahap yang tidak sihat. Walaupun tahap ozon yang agak rendah boleh menyebabkan kesan kesihatan.")</f>
        <v>Ozon dalam udara yang kita sedut boleh memudaratkan kesihatan kita, terutamanya pada hari yang panas terik apabila ozon boleh mencapai tahap yang tidak sihat. Walaupun tahap ozon yang agak rendah boleh menyebabkan kesan kesihatan.</v>
      </c>
      <c r="AQ226" s="7" t="str">
        <f>IFERROR(__xludf.DUMMYFUNCTION("GoogleTranslate(C226, ""en"", ""ml"")"),"നാം ശ്വസിക്കുന്ന വായുവിലെ ഓസോൺ നമ്മുടെ ആരോഗ്യത്തെ ദോഷകരമായി ബാധിക്കും, പ്രത്യേകിച്ച് ചൂടുള്ള സണ്ണി ദിവസങ്ങളിൽ ഓസോൺ അനാരോഗ്യകരമായ അളവിൽ എത്തുമ്പോൾ. താരതമ്യേന കുറഞ്ഞ ഓസോണിൻ്റെ അളവ് പോലും ആരോഗ്യപരമായ പ്രത്യാഘാതങ്ങൾ ഉണ്ടാക്കും.")</f>
        <v>നാം ശ്വസിക്കുന്ന വായുവിലെ ഓസോൺ നമ്മുടെ ആരോഗ്യത്തെ ദോഷകരമായി ബാധിക്കും, പ്രത്യേകിച്ച് ചൂടുള്ള സണ്ണി ദിവസങ്ങളിൽ ഓസോൺ അനാരോഗ്യകരമായ അളവിൽ എത്തുമ്പോൾ. താരതമ്യേന കുറഞ്ഞ ഓസോണിൻ്റെ അളവ് പോലും ആരോഗ്യപരമായ പ്രത്യാഘാതങ്ങൾ ഉണ്ടാക്കും.</v>
      </c>
      <c r="AR226" s="7" t="str">
        <f>IFERROR(__xludf.DUMMYFUNCTION("GoogleTranslate(C226, ""en"", ""mr"")"),"आपण श्वास घेत असलेल्या हवेतील ओझोन आपल्या आरोग्यास हानी पोहोचवू शकतो, विशेषत: गरम उन्हाच्या दिवसात जेव्हा ओझोन अस्वास्थ्यकर पातळीपर्यंत पोहोचू शकतो. ओझोनची तुलनेने कमी पातळी देखील आरोग्यावर परिणाम करू शकते.")</f>
        <v>आपण श्वास घेत असलेल्या हवेतील ओझोन आपल्या आरोग्यास हानी पोहोचवू शकतो, विशेषत: गरम उन्हाच्या दिवसात जेव्हा ओझोन अस्वास्थ्यकर पातळीपर्यंत पोहोचू शकतो. ओझोनची तुलनेने कमी पातळी देखील आरोग्यावर परिणाम करू शकते.</v>
      </c>
      <c r="AS226" s="7" t="str">
        <f>IFERROR(__xludf.DUMMYFUNCTION("GoogleTranslate(C226, ""en"", ""mn"")"),"Бидний амьсгалж буй агаар дахь озон нь эрүүл мэндэд сөргөөр нөлөөлдөг, ялангуяа озон нь эрүүл бус түвшинд хүрэх боломжтой нарлаг халуун өдрүүдэд. Харьцангуй бага хэмжээний озоны түвшин ч эрүүл мэндэд сөрөг нөлөө үзүүлдэг.")</f>
        <v>Бидний амьсгалж буй агаар дахь озон нь эрүүл мэндэд сөргөөр нөлөөлдөг, ялангуяа озон нь эрүүл бус түвшинд хүрэх боломжтой нарлаг халуун өдрүүдэд. Харьцангуй бага хэмжээний озоны түвшин ч эрүүл мэндэд сөрөг нөлөө үзүүлдэг.</v>
      </c>
      <c r="AT226" s="7" t="str">
        <f>IFERROR(__xludf.DUMMYFUNCTION("GoogleTranslate(C226, ""en"", ""ne"")"),"हामीले सास फेर्ने हावामा ओजोनले हाम्रो स्वास्थ्यलाई हानि पुर्‍याउन सक्छ, विशेष गरी तातो घमाइलो दिनहरूमा जब ओजोन अस्वास्थ्यकर स्तरमा पुग्न सक्छ। ओजोनको तुलनात्मक रूपमा कम स्तरले पनि स्वास्थ्यमा असर पार्न सक्छ।")</f>
        <v>हामीले सास फेर्ने हावामा ओजोनले हाम्रो स्वास्थ्यलाई हानि पुर्‍याउन सक्छ, विशेष गरी तातो घमाइलो दिनहरूमा जब ओजोन अस्वास्थ्यकर स्तरमा पुग्न सक्छ। ओजोनको तुलनात्मक रूपमा कम स्तरले पनि स्वास्थ्यमा असर पार्न सक्छ।</v>
      </c>
      <c r="AU226" s="7" t="str">
        <f>IFERROR(__xludf.DUMMYFUNCTION("GoogleTranslate(C226, ""en"", ""nb"")"),"Ozon i luften vi puster inn kan skade helsen vår, spesielt på varme solfylte dager når ozon kan nå usunne nivåer. Selv relativt lave nivåer av ozon kan gi helseeffekter.")</f>
        <v>Ozon i luften vi puster inn kan skade helsen vår, spesielt på varme solfylte dager når ozon kan nå usunne nivåer. Selv relativt lave nivåer av ozon kan gi helseeffekter.</v>
      </c>
      <c r="AV226" s="7" t="str">
        <f>IFERROR(__xludf.DUMMYFUNCTION("GoogleTranslate(C226, ""en"", ""fa"")"),"ازن موجود در هوایی که تنفس می کنیم می تواند به سلامتی ما آسیب برساند، به خصوص در روزهای گرم آفتابی که ازن می تواند به سطوح ناسالم برسد. حتی سطوح نسبتاً پایین ازن می تواند اثراتی بر سلامتی داشته باشد.")</f>
        <v>ازن موجود در هوایی که تنفس می کنیم می تواند به سلامتی ما آسیب برساند، به خصوص در روزهای گرم آفتابی که ازن می تواند به سطوح ناسالم برسد. حتی سطوح نسبتاً پایین ازن می تواند اثراتی بر سلامتی داشته باشد.</v>
      </c>
      <c r="AW226" s="7" t="str">
        <f>IFERROR(__xludf.DUMMYFUNCTION("GoogleTranslate(C226, ""en"", ""pl"")"),"Ozon w powietrzu, którym oddychamy, może szkodzić naszemu zdrowiu, szczególnie w gorące, słoneczne dni, kiedy ozon może osiągnąć niezdrowe stężenie. Nawet stosunkowo niski poziom ozonu może powodować skutki zdrowotne.")</f>
        <v>Ozon w powietrzu, którym oddychamy, może szkodzić naszemu zdrowiu, szczególnie w gorące, słoneczne dni, kiedy ozon może osiągnąć niezdrowe stężenie. Nawet stosunkowo niski poziom ozonu może powodować skutki zdrowotne.</v>
      </c>
      <c r="AX226" s="7" t="str">
        <f>IFERROR(__xludf.DUMMYFUNCTION("GoogleTranslate(C226, ""en"", ""pt"")"),"O ozono no ar que respiramos pode prejudicar a nossa saúde, especialmente em dias quentes e ensolarados, quando o ozono pode atingir níveis prejudiciais à saúde. Mesmo níveis relativamente baixos de ozônio podem causar efeitos à saúde.")</f>
        <v>O ozono no ar que respiramos pode prejudicar a nossa saúde, especialmente em dias quentes e ensolarados, quando o ozono pode atingir níveis prejudiciais à saúde. Mesmo níveis relativamente baixos de ozônio podem causar efeitos à saúde.</v>
      </c>
      <c r="AY226" s="7" t="str">
        <f>IFERROR(__xludf.DUMMYFUNCTION("GoogleTranslate(C226, ""en"", ""ro"")"),"Ozonul din aerul pe care îl respirăm ne poate dăuna sănătății, mai ales în zilele calde și însorite, când ozonul poate atinge niveluri nesănătoase. Chiar și nivelurile relativ scăzute de ozon pot provoca efecte asupra sănătății.")</f>
        <v>Ozonul din aerul pe care îl respirăm ne poate dăuna sănătății, mai ales în zilele calde și însorite, când ozonul poate atinge niveluri nesănătoase. Chiar și nivelurile relativ scăzute de ozon pot provoca efecte asupra sănătății.</v>
      </c>
      <c r="AZ226" s="7" t="str">
        <f>IFERROR(__xludf.DUMMYFUNCTION("GoogleTranslate(C226, ""en"", ""ru"")"),"Озон в воздухе, которым мы дышим, может нанести вред нашему здоровью, особенно в жаркие солнечные дни, когда озон может достигать нездорового уровня. Даже относительно низкие уровни озона могут нанести вред здоровью.")</f>
        <v>Озон в воздухе, которым мы дышим, может нанести вред нашему здоровью, особенно в жаркие солнечные дни, когда озон может достигать нездорового уровня. Даже относительно низкие уровни озона могут нанести вред здоровью.</v>
      </c>
      <c r="BA226" s="7" t="str">
        <f>IFERROR(__xludf.DUMMYFUNCTION("GoogleTranslate(C226, ""en"", ""sr"")"),"Озон у ваздуху који удишемо може штетити нашем здрављу, посебно у врућим сунчаним данима када озон може достићи нездраве нивое. Чак и релативно низак ниво озона може изазвати здравствене последице.")</f>
        <v>Озон у ваздуху који удишемо може штетити нашем здрављу, посебно у врућим сунчаним данима када озон може достићи нездраве нивое. Чак и релативно низак ниво озона може изазвати здравствене последице.</v>
      </c>
      <c r="BB226" s="7" t="str">
        <f>IFERROR(__xludf.DUMMYFUNCTION("GoogleTranslate(C226, ""en"", ""si"")"),"අප ආශ්වාස කරන වාතයේ ඇති ඕසෝන් අපගේ සෞඛ්‍යයට හානි කළ හැකිය, විශේෂයෙන් උණුසුම් හිරු දිනවලදී ඕසෝන් සෞඛ්‍යයට අහිතකර මට්ටමට ළඟා විය හැකිය. සාපේක්ෂව අඩු ඕසෝන් මට්ටම් පවා සෞඛ්‍යයට බලපෑම් ඇති කළ හැකිය.")</f>
        <v>අප ආශ්වාස කරන වාතයේ ඇති ඕසෝන් අපගේ සෞඛ්‍යයට හානි කළ හැකිය, විශේෂයෙන් උණුසුම් හිරු දිනවලදී ඕසෝන් සෞඛ්‍යයට අහිතකර මට්ටමට ළඟා විය හැකිය. සාපේක්ෂව අඩු ඕසෝන් මට්ටම් පවා සෞඛ්‍යයට බලපෑම් ඇති කළ හැකිය.</v>
      </c>
      <c r="BC226" s="7" t="str">
        <f>IFERROR(__xludf.DUMMYFUNCTION("GoogleTranslate(C226, ""en"", ""sk"")"),"Ozón vo vzduchu, ktorý dýchame, môže poškodiť naše zdravie, najmä počas horúcich slnečných dní, kedy môže ozón dosiahnuť nezdravú úroveň. Dokonca aj relatívne nízke hladiny ozónu môžu spôsobiť zdravotné účinky.")</f>
        <v>Ozón vo vzduchu, ktorý dýchame, môže poškodiť naše zdravie, najmä počas horúcich slnečných dní, kedy môže ozón dosiahnuť nezdravú úroveň. Dokonca aj relatívne nízke hladiny ozónu môžu spôsobiť zdravotné účinky.</v>
      </c>
      <c r="BD226" s="7" t="str">
        <f>IFERROR(__xludf.DUMMYFUNCTION("GoogleTranslate(C226, ""en"", ""sl"")"),"Ozon v zraku, ki ga dihamo, lahko škoduje našemu zdravju, zlasti v vročih sončnih dneh, ko lahko ozon doseže nezdravo raven. Celo razmeroma nizke ravni ozona lahko povzročijo zdravstvene posledice.")</f>
        <v>Ozon v zraku, ki ga dihamo, lahko škoduje našemu zdravju, zlasti v vročih sončnih dneh, ko lahko ozon doseže nezdravo raven. Celo razmeroma nizke ravni ozona lahko povzročijo zdravstvene posledice.</v>
      </c>
      <c r="BE226" s="7" t="str">
        <f>IFERROR(__xludf.DUMMYFUNCTION("GoogleTranslate(C226, ""en"", ""es"")"),"El ozono en el aire que respiramos puede dañar nuestra salud, especialmente en los días calurosos y soleados, cuando el ozono puede alcanzar niveles nocivos para la salud. Incluso niveles relativamente bajos de ozono pueden tener efectos sobre la salud.")</f>
        <v>El ozono en el aire que respiramos puede dañar nuestra salud, especialmente en los días calurosos y soleados, cuando el ozono puede alcanzar niveles nocivos para la salud. Incluso niveles relativamente bajos de ozono pueden tener efectos sobre la salud.</v>
      </c>
      <c r="BF226" s="7" t="str">
        <f>IFERROR(__xludf.DUMMYFUNCTION("GoogleTranslate(C226, ""en"", ""sw"")"),"Ozoni katika hewa tunayopumua inaweza kudhuru afya zetu, hasa siku za jua kali wakati ozoni inaweza kufikia viwango visivyofaa. Hata viwango vya chini vya ozoni vinaweza kusababisha athari za kiafya.")</f>
        <v>Ozoni katika hewa tunayopumua inaweza kudhuru afya zetu, hasa siku za jua kali wakati ozoni inaweza kufikia viwango visivyofaa. Hata viwango vya chini vya ozoni vinaweza kusababisha athari za kiafya.</v>
      </c>
      <c r="BG226" s="7" t="str">
        <f>IFERROR(__xludf.DUMMYFUNCTION("GoogleTranslate(C226, ""en"", ""sv"")"),"Ozon i luften vi andas kan skada vår hälsa, särskilt under varma soliga dagar då ozon kan nå ohälsosamma nivåer. Även relativt låga halter av ozon kan orsaka hälsoeffekter.")</f>
        <v>Ozon i luften vi andas kan skada vår hälsa, särskilt under varma soliga dagar då ozon kan nå ohälsosamma nivåer. Även relativt låga halter av ozon kan orsaka hälsoeffekter.</v>
      </c>
      <c r="BH226" s="7" t="str">
        <f>IFERROR(__xludf.DUMMYFUNCTION("GoogleTranslate(C226, ""en"", ""te"")"),"మనం పీల్చే గాలిలోని ఓజోన్ మన ఆరోగ్యానికి హాని కలిగిస్తుంది, ముఖ్యంగా వేడిగా ఉండే ఎండ రోజుల్లో ఓజోన్ అనారోగ్య స్థాయికి చేరుకుంటుంది. సాపేక్షంగా తక్కువ స్థాయి ఓజోన్ కూడా ఆరోగ్య ప్రభావాలను కలిగిస్తుంది.")</f>
        <v>మనం పీల్చే గాలిలోని ఓజోన్ మన ఆరోగ్యానికి హాని కలిగిస్తుంది, ముఖ్యంగా వేడిగా ఉండే ఎండ రోజుల్లో ఓజోన్ అనారోగ్య స్థాయికి చేరుకుంటుంది. సాపేక్షంగా తక్కువ స్థాయి ఓజోన్ కూడా ఆరోగ్య ప్రభావాలను కలిగిస్తుంది.</v>
      </c>
      <c r="BI226" s="7" t="str">
        <f>IFERROR(__xludf.DUMMYFUNCTION("GoogleTranslate(C226, ""en"", ""th"")"),"โอโซนในอากาศที่เราหายใจเข้าไปอาจเป็นอันตรายต่อสุขภาพของเรา โดยเฉพาะอย่างยิ่งในวันที่อากาศร้อนจัด ซึ่งโอโซนอาจถึงระดับที่ไม่ดีต่อสุขภาพ แม้แต่โอโซนในระดับที่ค่อนข้างต่ำก็สามารถส่งผลเสียต่อสุขภาพได้")</f>
        <v>โอโซนในอากาศที่เราหายใจเข้าไปอาจเป็นอันตรายต่อสุขภาพของเรา โดยเฉพาะอย่างยิ่งในวันที่อากาศร้อนจัด ซึ่งโอโซนอาจถึงระดับที่ไม่ดีต่อสุขภาพ แม้แต่โอโซนในระดับที่ค่อนข้างต่ำก็สามารถส่งผลเสียต่อสุขภาพได้</v>
      </c>
      <c r="BJ226" s="7" t="str">
        <f>IFERROR(__xludf.DUMMYFUNCTION("GoogleTranslate(C226, ""en"", ""tr"")"),"Soluduğumuz havadaki ozon, özellikle ozonun sağlıksız seviyelere ulaşabildiği sıcak güneşli günlerde sağlığımıza zarar verebilmektedir. Nispeten düşük ozon seviyeleri bile sağlık açısından etkilere neden olabilir.")</f>
        <v>Soluduğumuz havadaki ozon, özellikle ozonun sağlıksız seviyelere ulaşabildiği sıcak güneşli günlerde sağlığımıza zarar verebilmektedir. Nispeten düşük ozon seviyeleri bile sağlık açısından etkilere neden olabilir.</v>
      </c>
      <c r="BK226" s="7" t="str">
        <f>IFERROR(__xludf.DUMMYFUNCTION("GoogleTranslate(C226, ""en"", ""uk"")"),"Озон у повітрі, яким ми дихаємо, може завдати шкоди нашому здоров’ю, особливо в спекотні сонячні дні, коли озон може досягати нездорового рівня. Навіть відносно низький рівень озону може мати наслідки для здоров'я.")</f>
        <v>Озон у повітрі, яким ми дихаємо, може завдати шкоди нашому здоров’ю, особливо в спекотні сонячні дні, коли озон може досягати нездорового рівня. Навіть відносно низький рівень озону може мати наслідки для здоров'я.</v>
      </c>
      <c r="BL226" s="7" t="str">
        <f>IFERROR(__xludf.DUMMYFUNCTION("GoogleTranslate(C226, ""en"", ""zu"")"),"I-ozone esemoyeni esiwuphefumulayo ingalimaza impilo yethu, ikakhulukazi ngezinsuku ezishisayo lapho i-ozone ingafinyelela amazinga angenampilo. Ngisho namazinga aphansi e-ozone angabangela imiphumela yezempilo.")</f>
        <v>I-ozone esemoyeni esiwuphefumulayo ingalimaza impilo yethu, ikakhulukazi ngezinsuku ezishisayo lapho i-ozone ingafinyelela amazinga angenampilo. Ngisho namazinga aphansi e-ozone angabangela imiphumela yezempilo.</v>
      </c>
    </row>
    <row r="227">
      <c r="A227" s="5" t="str">
        <f t="shared" si="1"/>
        <v>Sulfur_dioxide_irritates_the_skin_and_mucous_membranes_of_the_eyes,_nose,_throat,_and_lungs._High_concentrations_of_SO2_can_cause_inflammation_and_irritation_of_the_respiratory_system,_especially_during_heavy_physical_activity.</v>
      </c>
      <c r="B227" s="4" t="s">
        <v>270</v>
      </c>
      <c r="C227" s="4" t="s">
        <v>270</v>
      </c>
      <c r="D227" s="7" t="str">
        <f>IFERROR(__xludf.DUMMYFUNCTION("GoogleTranslate(C227, ""en"", ""es"")"),"El dióxido de azufre irrita la piel y las membranas mucosas de los ojos, la nariz, la garganta y los pulmones. Altas concentraciones de SO2 pueden provocar inflamación e irritación del sistema respiratorio, especialmente durante la actividad física intens"&amp;"a.")</f>
        <v>El dióxido de azufre irrita la piel y las membranas mucosas de los ojos, la nariz, la garganta y los pulmones. Altas concentraciones de SO2 pueden provocar inflamación e irritación del sistema respiratorio, especialmente durante la actividad física intensa.</v>
      </c>
      <c r="E227" s="7" t="str">
        <f>IFERROR(__xludf.DUMMYFUNCTION("GoogleTranslate(C227, ""en"", ""ar"")"),"يهيج ثاني أكسيد الكبريت الجلد والأغشية المخاطية للعينين والأنف والحنجرة والرئتين. يمكن أن تسبب التركيزات العالية من ثاني أكسيد الكبريت التهابًا وتهيجًا في الجهاز التنفسي، خاصة أثناء النشاط البدني المكثف.")</f>
        <v>يهيج ثاني أكسيد الكبريت الجلد والأغشية المخاطية للعينين والأنف والحنجرة والرئتين. يمكن أن تسبب التركيزات العالية من ثاني أكسيد الكبريت التهابًا وتهيجًا في الجهاز التنفسي، خاصة أثناء النشاط البدني المكثف.</v>
      </c>
      <c r="F227" s="7" t="str">
        <f>IFERROR(__xludf.DUMMYFUNCTION("GoogleTranslate(C227, ""en"", ""hy"")"),"Ծծմբի երկօքսիդը գրգռում է աչքերի, քթի, կոկորդի և թոքերի մաշկը և լորձաթաղանթները։ SO2-ի բարձր կոնցենտրացիաները կարող են առաջացնել շնչառական համակարգի բորբոքում և գրգռում, հատկապես ծանր ֆիզիկական ակտիվության ժամանակ:")</f>
        <v>Ծծմբի երկօքսիդը գրգռում է աչքերի, քթի, կոկորդի և թոքերի մաշկը և լորձաթաղանթները։ SO2-ի բարձր կոնցենտրացիաները կարող են առաջացնել շնչառական համակարգի բորբոքում և գրգռում, հատկապես ծանր ֆիզիկական ակտիվության ժամանակ:</v>
      </c>
      <c r="G227" s="7" t="str">
        <f>IFERROR(__xludf.DUMMYFUNCTION("GoogleTranslate(C227, ""en"", ""vi"")"),"Sulfur dioxide gây kích ứng da và màng nhầy của mắt, mũi, họng và phổi. Nồng độ SO2 cao có thể gây viêm và kích ứng hệ hô hấp, đặc biệt là khi hoạt động thể chất nặng.")</f>
        <v>Sulfur dioxide gây kích ứng da và màng nhầy của mắt, mũi, họng và phổi. Nồng độ SO2 cao có thể gây viêm và kích ứng hệ hô hấp, đặc biệt là khi hoạt động thể chất nặng.</v>
      </c>
      <c r="H227" s="7" t="str">
        <f>IFERROR(__xludf.DUMMYFUNCTION("GoogleTranslate(C227, ""en"", ""az"")"),"Kükürd dioksidi göz, burun, boğaz və ağciyərlərin dəri və selikli qişalarını qıcıqlandırır. SO2-nin yüksək konsentrasiyası xüsusilə ağır fiziki fəaliyyət zamanı tənəffüs sisteminin iltihabına və qıcıqlanmasına səbəb ola bilər.")</f>
        <v>Kükürd dioksidi göz, burun, boğaz və ağciyərlərin dəri və selikli qişalarını qıcıqlandırır. SO2-nin yüksək konsentrasiyası xüsusilə ağır fiziki fəaliyyət zamanı tənəffüs sisteminin iltihabına və qıcıqlanmasına səbəb ola bilər.</v>
      </c>
      <c r="I227" s="7" t="str">
        <f>IFERROR(__xludf.DUMMYFUNCTION("GoogleTranslate(C227, ""en"", ""eu"")"),"Sufre dioxidoak begi, sudurre, eztarri eta biriketako azala eta muki-mintzak narritatzen ditu. SO2 kontzentrazio handiek arnas aparatuaren hantura eta narritadura eragin ditzakete, batez ere jarduera fisiko astunetan.")</f>
        <v>Sufre dioxidoak begi, sudurre, eztarri eta biriketako azala eta muki-mintzak narritatzen ditu. SO2 kontzentrazio handiek arnas aparatuaren hantura eta narritadura eragin ditzakete, batez ere jarduera fisiko astunetan.</v>
      </c>
      <c r="J227" s="7" t="str">
        <f>IFERROR(__xludf.DUMMYFUNCTION("GoogleTranslate(C227, ""en"", ""be"")"),"Дыяксід серы раздражняе скуру і слізістыя абалонкі вачэй, носа, горла і лёгкіх. Высокія канцэнтрацыі SO2 могуць выклікаць запаленне і раздражненне дыхальнай сістэмы, асабліва падчас цяжкіх фізічных нагрузак.")</f>
        <v>Дыяксід серы раздражняе скуру і слізістыя абалонкі вачэй, носа, горла і лёгкіх. Высокія канцэнтрацыі SO2 могуць выклікаць запаленне і раздражненне дыхальнай сістэмы, асабліва падчас цяжкіх фізічных нагрузак.</v>
      </c>
      <c r="K227" s="7" t="str">
        <f>IFERROR(__xludf.DUMMYFUNCTION("GoogleTranslate(C227, ""en"", ""bn"")"),"সালফার ডাই অক্সাইড ত্বক এবং চোখ, নাক, গলা এবং ফুসফুসের শ্লেষ্মা ঝিল্লিকে জ্বালাতন করে। SO2 এর উচ্চ ঘনত্ব শ্বাসযন্ত্রের প্রদাহ এবং জ্বালা সৃষ্টি করতে পারে, বিশেষ করে ভারী শারীরিক কার্যকলাপের সময়।")</f>
        <v>সালফার ডাই অক্সাইড ত্বক এবং চোখ, নাক, গলা এবং ফুসফুসের শ্লেষ্মা ঝিল্লিকে জ্বালাতন করে। SO2 এর উচ্চ ঘনত্ব শ্বাসযন্ত্রের প্রদাহ এবং জ্বালা সৃষ্টি করতে পারে, বিশেষ করে ভারী শারীরিক কার্যকলাপের সময়।</v>
      </c>
      <c r="L227" s="7" t="str">
        <f>IFERROR(__xludf.DUMMYFUNCTION("GoogleTranslate(C227, ""en"", ""bg"")"),"Серният диоксид дразни кожата и лигавиците на очите, носа, гърлото и белите дробове. Високите концентрации на SO2 могат да причинят възпаление и дразнене на дихателната система, особено при тежка физическа активност.")</f>
        <v>Серният диоксид дразни кожата и лигавиците на очите, носа, гърлото и белите дробове. Високите концентрации на SO2 могат да причинят възпаление и дразнене на дихателната система, особено при тежка физическа активност.</v>
      </c>
      <c r="M227" s="7" t="str">
        <f>IFERROR(__xludf.DUMMYFUNCTION("GoogleTranslate(C227, ""en"", ""my"")"),"ဆာလဖာဒိုင်အောက်ဆိုဒ်သည် မျက်လုံး၊ နှာခေါင်း၊ လည်ချောင်းနှင့် အဆုတ်များ၏ အရေပြားနှင့် အကျိအချွဲအမြှေးပါးများကို ယားယံစေသည်။ SO2 မြင့်မားစွာပါဝင်မှုသည် အထူးသဖြင့် ပြင်းထန်သော ကိုယ်လက်လှုပ်ရှားမှုများအတွင်း အသက်ရှူလမ်းကြောင်းစနစ်ကို ရောင်ရမ်းခြင်းနှင့် ယားယံ"&amp;"စေနိုင်သည်။")</f>
        <v>ဆာလဖာဒိုင်အောက်ဆိုဒ်သည် မျက်လုံး၊ နှာခေါင်း၊ လည်ချောင်းနှင့် အဆုတ်များ၏ အရေပြားနှင့် အကျိအချွဲအမြှေးပါးများကို ယားယံစေသည်။ SO2 မြင့်မားစွာပါဝင်မှုသည် အထူးသဖြင့် ပြင်းထန်သော ကိုယ်လက်လှုပ်ရှားမှုများအတွင်း အသက်ရှူလမ်းကြောင်းစနစ်ကို ရောင်ရမ်းခြင်းနှင့် ယားယံစေနိုင်သည်။</v>
      </c>
      <c r="N227" s="7" t="str">
        <f>IFERROR(__xludf.DUMMYFUNCTION("GoogleTranslate(C227, ""en"", ""ca"")"),"El diòxid de sofre irrita la pell i les mucoses dels ulls, el nas, la gola i els pulmons. Les altes concentracions de SO2 poden causar inflamació i irritació del sistema respiratori, especialment durant l'activitat física intensa.")</f>
        <v>El diòxid de sofre irrita la pell i les mucoses dels ulls, el nas, la gola i els pulmons. Les altes concentracions de SO2 poden causar inflamació i irritació del sistema respiratori, especialment durant l'activitat física intensa.</v>
      </c>
      <c r="O227" s="7" t="str">
        <f>IFERROR(__xludf.DUMMYFUNCTION("GoogleTranslate(C227, ""en"", ""zh-cn"")"),"二氧化硫会刺激眼睛、鼻子、喉咙和肺部的皮肤和粘膜。高浓度的 SO2 会引起呼吸系统炎症和刺激，尤其是在剧烈的体力活动期间。")</f>
        <v>二氧化硫会刺激眼睛、鼻子、喉咙和肺部的皮肤和粘膜。高浓度的 SO2 会引起呼吸系统炎症和刺激，尤其是在剧烈的体力活动期间。</v>
      </c>
      <c r="P227" s="7" t="str">
        <f>IFERROR(__xludf.DUMMYFUNCTION("GoogleTranslate(C227, ""en"", ""zh-TW"")"),"二氧化硫會刺激眼睛、鼻子、喉嚨和肺部的皮膚和黏膜。高濃度的 SO2 會引起呼吸系統發炎和刺激，尤其是在劇烈的體力活動期間。")</f>
        <v>二氧化硫會刺激眼睛、鼻子、喉嚨和肺部的皮膚和黏膜。高濃度的 SO2 會引起呼吸系統發炎和刺激，尤其是在劇烈的體力活動期間。</v>
      </c>
      <c r="Q227" s="7" t="str">
        <f>IFERROR(__xludf.DUMMYFUNCTION("GoogleTranslate(C227, ""en"", ""hr"")"),"Sumporni dioksid nadražuje kožu i sluznicu očiju, nosa, grla i pluća. Visoke koncentracije SO2 mogu uzrokovati upalu i iritaciju dišnog sustava, osobito tijekom teške tjelesne aktivnosti.")</f>
        <v>Sumporni dioksid nadražuje kožu i sluznicu očiju, nosa, grla i pluća. Visoke koncentracije SO2 mogu uzrokovati upalu i iritaciju dišnog sustava, osobito tijekom teške tjelesne aktivnosti.</v>
      </c>
      <c r="R227" s="7" t="str">
        <f>IFERROR(__xludf.DUMMYFUNCTION("GoogleTranslate(C227, ""en"", ""cs"")"),"Oxid siřičitý dráždí kůži a sliznice očí, nosu, krku a plic. Vysoké koncentrace SO2 mohou způsobit záněty a podráždění dýchacího systému, zejména při těžké fyzické zátěži.")</f>
        <v>Oxid siřičitý dráždí kůži a sliznice očí, nosu, krku a plic. Vysoké koncentrace SO2 mohou způsobit záněty a podráždění dýchacího systému, zejména při těžké fyzické zátěži.</v>
      </c>
      <c r="S227" s="7" t="str">
        <f>IFERROR(__xludf.DUMMYFUNCTION("GoogleTranslate(C227, ""en"", ""da"")"),"Svovldioxid irriterer huden og slimhinderne i øjne, næse, svælg og lunger. Høje koncentrationer af SO2 kan forårsage betændelse og irritation af luftvejene, især ved hård fysisk aktivitet.")</f>
        <v>Svovldioxid irriterer huden og slimhinderne i øjne, næse, svælg og lunger. Høje koncentrationer af SO2 kan forårsage betændelse og irritation af luftvejene, især ved hård fysisk aktivitet.</v>
      </c>
      <c r="T227" s="7" t="str">
        <f>IFERROR(__xludf.DUMMYFUNCTION("GoogleTranslate(C227, ""en"", ""nl"")"),"Zwaveldioxide irriteert de huid en slijmvliezen van de ogen, neus, keel en longen. Hoge concentraties SO2 kunnen ontstekingen en irritatie van de luchtwegen veroorzaken, vooral tijdens zware lichamelijke activiteit.")</f>
        <v>Zwaveldioxide irriteert de huid en slijmvliezen van de ogen, neus, keel en longen. Hoge concentraties SO2 kunnen ontstekingen en irritatie van de luchtwegen veroorzaken, vooral tijdens zware lichamelijke activiteit.</v>
      </c>
      <c r="U227" s="7" t="str">
        <f>IFERROR(__xludf.DUMMYFUNCTION("GoogleTranslate(C227, ""en"", ""et"")"),"Vääveldioksiid ärritab nahka ja silmade, nina, kurgu ja kopsude limaskesti. SO2 kõrge kontsentratsioon võib põhjustada hingamisteede põletikku ja ärritust, eriti raske füüsilise koormuse korral.")</f>
        <v>Vääveldioksiid ärritab nahka ja silmade, nina, kurgu ja kopsude limaskesti. SO2 kõrge kontsentratsioon võib põhjustada hingamisteede põletikku ja ärritust, eriti raske füüsilise koormuse korral.</v>
      </c>
      <c r="V227" s="5" t="str">
        <f t="shared" si="3"/>
        <v>Sulfur dioxide irritates the skin and mucous membranes of the eyes, nose, throat, and lungs. High concentrations of SO2 can cause inflammation and irritation of the respiratory system, especially during heavy physical activity.</v>
      </c>
      <c r="W227" s="7" t="str">
        <f>IFERROR(__xludf.DUMMYFUNCTION("GoogleTranslate(C227, ""en"", ""fi"")"),"Rikkidioksidi ärsyttää ihoa ja silmien, nenän, kurkun ja keuhkojen limakalvoja. Suuret SO2-pitoisuudet voivat aiheuttaa hengitysteiden tulehdusta ja ärsytystä erityisesti raskaan fyysisen rasituksen aikana.")</f>
        <v>Rikkidioksidi ärsyttää ihoa ja silmien, nenän, kurkun ja keuhkojen limakalvoja. Suuret SO2-pitoisuudet voivat aiheuttaa hengitysteiden tulehdusta ja ärsytystä erityisesti raskaan fyysisen rasituksen aikana.</v>
      </c>
      <c r="X227" s="7" t="str">
        <f>IFERROR(__xludf.DUMMYFUNCTION("GoogleTranslate(C227, ""en"", ""fr"")"),"Le dioxyde de soufre irrite la peau et les muqueuses des yeux, du nez, de la gorge et des poumons. Des concentrations élevées de SO2 peuvent provoquer une inflammation et une irritation du système respiratoire, notamment lors d'une activité physique inten"&amp;"se.")</f>
        <v>Le dioxyde de soufre irrite la peau et les muqueuses des yeux, du nez, de la gorge et des poumons. Des concentrations élevées de SO2 peuvent provoquer une inflammation et une irritation du système respiratoire, notamment lors d'une activité physique intense.</v>
      </c>
      <c r="Y227" s="7" t="str">
        <f>IFERROR(__xludf.DUMMYFUNCTION("GoogleTranslate(C227, ""en"", ""de"")"),"Schwefeldioxid reizt die Haut und Schleimhäute von Augen, Nase, Rachen und Lunge. Hohe SO2-Konzentrationen können insbesondere bei starker körperlicher Aktivität Entzündungen und Reizungen der Atemwege verursachen.")</f>
        <v>Schwefeldioxid reizt die Haut und Schleimhäute von Augen, Nase, Rachen und Lunge. Hohe SO2-Konzentrationen können insbesondere bei starker körperlicher Aktivität Entzündungen und Reizungen der Atemwege verursachen.</v>
      </c>
      <c r="Z227" s="7" t="str">
        <f>IFERROR(__xludf.DUMMYFUNCTION("GoogleTranslate(C227, ""en"", ""el"")"),"Το διοξείδιο του θείου ερεθίζει το δέρμα και τους βλεννογόνους των ματιών, της μύτης, του λαιμού και των πνευμόνων. Υψηλές συγκεντρώσεις SO2 μπορεί να προκαλέσουν φλεγμονή και ερεθισμό του αναπνευστικού συστήματος, ειδικά κατά τη διάρκεια έντονης σωματική"&amp;"ς δραστηριότητας.")</f>
        <v>Το διοξείδιο του θείου ερεθίζει το δέρμα και τους βλεννογόνους των ματιών, της μύτης, του λαιμού και των πνευμόνων. Υψηλές συγκεντρώσεις SO2 μπορεί να προκαλέσουν φλεγμονή και ερεθισμό του αναπνευστικού συστήματος, ειδικά κατά τη διάρκεια έντονης σωματικής δραστηριότητας.</v>
      </c>
      <c r="AA227" s="7" t="str">
        <f>IFERROR(__xludf.DUMMYFUNCTION("GoogleTranslate(C227, ""en"", ""iw"")"),"גופרית דו חמצנית מגרה את העור ואת הריריות של העיניים, האף, הגרון והריאות. ריכוז גבוה של SO2 עלול לגרום לדלקת וגירוי של מערכת הנשימה, במיוחד בזמן פעילות גופנית כבדה.")</f>
        <v>גופרית דו חמצנית מגרה את העור ואת הריריות של העיניים, האף, הגרון והריאות. ריכוז גבוה של SO2 עלול לגרום לדלקת וגירוי של מערכת הנשימה, במיוחד בזמן פעילות גופנית כבדה.</v>
      </c>
      <c r="AB227" s="7" t="str">
        <f>IFERROR(__xludf.DUMMYFUNCTION("GoogleTranslate(C227, ""en"", ""hi"")"),"सल्फर डाइऑक्साइड आंखों, नाक, गले और फेफड़ों की त्वचा और श्लेष्मा झिल्ली को परेशान करता है। SO2 की उच्च सांद्रता श्वसन प्रणाली में सूजन और जलन पैदा कर सकती है, खासकर भारी शारीरिक गतिविधि के दौरान।")</f>
        <v>सल्फर डाइऑक्साइड आंखों, नाक, गले और फेफड़ों की त्वचा और श्लेष्मा झिल्ली को परेशान करता है। SO2 की उच्च सांद्रता श्वसन प्रणाली में सूजन और जलन पैदा कर सकती है, खासकर भारी शारीरिक गतिविधि के दौरान।</v>
      </c>
      <c r="AC227" s="7" t="str">
        <f>IFERROR(__xludf.DUMMYFUNCTION("GoogleTranslate(C227, ""en"", ""hu"")"),"A kén-dioxid irritálja a bőrt és a szem, az orr, a torok és a tüdő nyálkahártyáját. A magas koncentrációjú SO2 gyulladást és irritációt okozhat a légzőrendszerben, különösen nehéz fizikai aktivitás során.")</f>
        <v>A kén-dioxid irritálja a bőrt és a szem, az orr, a torok és a tüdő nyálkahártyáját. A magas koncentrációjú SO2 gyulladást és irritációt okozhat a légzőrendszerben, különösen nehéz fizikai aktivitás során.</v>
      </c>
      <c r="AD227" s="7" t="str">
        <f>IFERROR(__xludf.DUMMYFUNCTION("GoogleTranslate(C227, ""en"", ""is"")"),"Brennisteinsdíoxíð ertir húð og slímhúð í augum, nefi, hálsi og lungum. Mikill styrkur SO2 getur valdið bólgu og ertingu í öndunarfærum, sérstaklega við mikla líkamlega áreynslu.")</f>
        <v>Brennisteinsdíoxíð ertir húð og slímhúð í augum, nefi, hálsi og lungum. Mikill styrkur SO2 getur valdið bólgu og ertingu í öndunarfærum, sérstaklega við mikla líkamlega áreynslu.</v>
      </c>
      <c r="AE227" s="7" t="str">
        <f>IFERROR(__xludf.DUMMYFUNCTION("GoogleTranslate(C227, ""en"", ""id"")"),"Sulfur dioksida mengiritasi kulit dan selaput lendir mata, hidung, tenggorokan, dan paru-paru. Konsentrasi SO2 yang tinggi dapat menyebabkan peradangan dan iritasi pada sistem pernapasan, terutama saat melakukan aktivitas fisik berat.")</f>
        <v>Sulfur dioksida mengiritasi kulit dan selaput lendir mata, hidung, tenggorokan, dan paru-paru. Konsentrasi SO2 yang tinggi dapat menyebabkan peradangan dan iritasi pada sistem pernapasan, terutama saat melakukan aktivitas fisik berat.</v>
      </c>
      <c r="AF227" s="7" t="str">
        <f>IFERROR(__xludf.DUMMYFUNCTION("GoogleTranslate(C227, ""en"", ""in"")"),"Sulfur dioksida mengiritasi kulit dan selaput lendir mata, hidung, tenggorokan, dan paru-paru. Konsentrasi SO2 yang tinggi dapat menyebabkan peradangan dan iritasi pada sistem pernapasan, terutama saat melakukan aktivitas fisik berat.")</f>
        <v>Sulfur dioksida mengiritasi kulit dan selaput lendir mata, hidung, tenggorokan, dan paru-paru. Konsentrasi SO2 yang tinggi dapat menyebabkan peradangan dan iritasi pada sistem pernapasan, terutama saat melakukan aktivitas fisik berat.</v>
      </c>
      <c r="AG227" s="7" t="str">
        <f>IFERROR(__xludf.DUMMYFUNCTION("GoogleTranslate(C227, ""en"", ""it"")"),"L'anidride solforosa irrita la pelle e le mucose degli occhi, del naso, della gola e dei polmoni. Elevate concentrazioni di SO2 possono causare infiammazioni e irritazioni al sistema respiratorio, soprattutto durante l'attività fisica intensa.")</f>
        <v>L'anidride solforosa irrita la pelle e le mucose degli occhi, del naso, della gola e dei polmoni. Elevate concentrazioni di SO2 possono causare infiammazioni e irritazioni al sistema respiratorio, soprattutto durante l'attività fisica intensa.</v>
      </c>
      <c r="AH227" s="7" t="str">
        <f>IFERROR(__xludf.DUMMYFUNCTION("GoogleTranslate(C227, ""en"", ""ja"")"),"二酸化硫黄は、皮膚や目、鼻、喉、肺の粘膜を刺激します。高濃度の SO2 は、特に激しい身体活動中に、呼吸器系の炎症や刺激を引き起こす可能性があります。")</f>
        <v>二酸化硫黄は、皮膚や目、鼻、喉、肺の粘膜を刺激します。高濃度の SO2 は、特に激しい身体活動中に、呼吸器系の炎症や刺激を引き起こす可能性があります。</v>
      </c>
      <c r="AI227" s="7" t="str">
        <f>IFERROR(__xludf.DUMMYFUNCTION("GoogleTranslate(C227, ""en"", ""kn"")"),"ಸಲ್ಫರ್ ಡೈಆಕ್ಸೈಡ್ ಕಣ್ಣುಗಳು, ಮೂಗು, ಗಂಟಲು ಮತ್ತು ಶ್ವಾಸಕೋಶದ ಚರ್ಮ ಮತ್ತು ಲೋಳೆಯ ಪೊರೆಗಳನ್ನು ಕೆರಳಿಸುತ್ತದೆ. SO2 ನ ಹೆಚ್ಚಿನ ಸಾಂದ್ರತೆಯು ಉಸಿರಾಟದ ವ್ಯವಸ್ಥೆಯ ಉರಿಯೂತ ಮತ್ತು ಕಿರಿಕಿರಿಯನ್ನು ಉಂಟುಮಾಡಬಹುದು, ವಿಶೇಷವಾಗಿ ಭಾರೀ ದೈಹಿಕ ಚಟುವಟಿಕೆಯ ಸಮಯದಲ್ಲಿ.")</f>
        <v>ಸಲ್ಫರ್ ಡೈಆಕ್ಸೈಡ್ ಕಣ್ಣುಗಳು, ಮೂಗು, ಗಂಟಲು ಮತ್ತು ಶ್ವಾಸಕೋಶದ ಚರ್ಮ ಮತ್ತು ಲೋಳೆಯ ಪೊರೆಗಳನ್ನು ಕೆರಳಿಸುತ್ತದೆ. SO2 ನ ಹೆಚ್ಚಿನ ಸಾಂದ್ರತೆಯು ಉಸಿರಾಟದ ವ್ಯವಸ್ಥೆಯ ಉರಿಯೂತ ಮತ್ತು ಕಿರಿಕಿರಿಯನ್ನು ಉಂಟುಮಾಡಬಹುದು, ವಿಶೇಷವಾಗಿ ಭಾರೀ ದೈಹಿಕ ಚಟುವಟಿಕೆಯ ಸಮಯದಲ್ಲಿ.</v>
      </c>
      <c r="AJ227" s="7" t="str">
        <f>IFERROR(__xludf.DUMMYFUNCTION("GoogleTranslate(C227, ""en"", ""km"")"),"ស្ពាន់ធ័រឌីអុកស៊ីតធ្វើឱ្យរលាកស្បែក និងភ្នាសរំអិលនៃភ្នែក ច្រមុះ បំពង់ក និងសួត។ កំហាប់ខ្ពស់នៃ SO2 អាចបណ្តាលឱ្យរលាក និងរលាកប្រព័ន្ធផ្លូវដង្ហើម ជាពិសេសអំឡុងពេលហាត់ប្រាណខ្លាំង។")</f>
        <v>ស្ពាន់ធ័រឌីអុកស៊ីតធ្វើឱ្យរលាកស្បែក និងភ្នាសរំអិលនៃភ្នែក ច្រមុះ បំពង់ក និងសួត។ កំហាប់ខ្ពស់នៃ SO2 អាចបណ្តាលឱ្យរលាក និងរលាកប្រព័ន្ធផ្លូវដង្ហើម ជាពិសេសអំឡុងពេលហាត់ប្រាណខ្លាំង។</v>
      </c>
      <c r="AK227" s="7" t="str">
        <f>IFERROR(__xludf.DUMMYFUNCTION("GoogleTranslate(C227, ""en"", ""ko"")"),"이산화황은 피부와 눈, 코, 목, 폐의 점막을 자극합니다. 고농도의 SO2는 특히 과도한 신체 활동 중에 호흡기계에 염증과 자극을 유발할 수 있습니다.")</f>
        <v>이산화황은 피부와 눈, 코, 목, 폐의 점막을 자극합니다. 고농도의 SO2는 특히 과도한 신체 활동 중에 호흡기계에 염증과 자극을 유발할 수 있습니다.</v>
      </c>
      <c r="AL227" s="7" t="str">
        <f>IFERROR(__xludf.DUMMYFUNCTION("GoogleTranslate(C227, ""en"", ""lo"")"),"sulfur dioxide ເຮັດໃຫ້ເກີດການລະຄາຍເຄືອງຕໍ່ຜິວຫນັງແລະເຍື່ອເມືອກຂອງຕາ, ດັງ, ຄໍ, ແລະປອດ. ຄວາມເຂັ້ມຂຸ້ນສູງຂອງ SO2 ສາມາດເຮັດໃຫ້ເກີດການອັກເສບແລະການລະຄາຍເຄືອງຂອງລະບົບຫາຍໃຈ, ໂດຍສະເພາະໃນເວລາອອກກໍາລັງກາຍຢ່າງຮຸນແຮງ.")</f>
        <v>sulfur dioxide ເຮັດໃຫ້ເກີດການລະຄາຍເຄືອງຕໍ່ຜິວຫນັງແລະເຍື່ອເມືອກຂອງຕາ, ດັງ, ຄໍ, ແລະປອດ. ຄວາມເຂັ້ມຂຸ້ນສູງຂອງ SO2 ສາມາດເຮັດໃຫ້ເກີດການອັກເສບແລະການລະຄາຍເຄືອງຂອງລະບົບຫາຍໃຈ, ໂດຍສະເພາະໃນເວລາອອກກໍາລັງກາຍຢ່າງຮຸນແຮງ.</v>
      </c>
      <c r="AM227" s="7" t="str">
        <f>IFERROR(__xludf.DUMMYFUNCTION("GoogleTranslate(C227, ""en"", ""lv"")"),"Sēra dioksīds kairina ādu un acu, deguna, rīkles un plaušu gļotādas. Augsta SO2 koncentrācija var izraisīt elpošanas sistēmas iekaisumu un kairinājumu, īpaši smagas fiziskās slodzes laikā.")</f>
        <v>Sēra dioksīds kairina ādu un acu, deguna, rīkles un plaušu gļotādas. Augsta SO2 koncentrācija var izraisīt elpošanas sistēmas iekaisumu un kairinājumu, īpaši smagas fiziskās slodzes laikā.</v>
      </c>
      <c r="AN227" s="7" t="str">
        <f>IFERROR(__xludf.DUMMYFUNCTION("GoogleTranslate(C227, ""en"", ""lt"")"),"Sieros dioksidas dirgina odą ir akių, nosies, gerklės ir plaučių gleivines. Didelės SO2 koncentracijos gali sukelti kvėpavimo sistemos uždegimą ir dirginimą, ypač esant sunkiam fiziniam krūviui.")</f>
        <v>Sieros dioksidas dirgina odą ir akių, nosies, gerklės ir plaučių gleivines. Didelės SO2 koncentracijos gali sukelti kvėpavimo sistemos uždegimą ir dirginimą, ypač esant sunkiam fiziniam krūviui.</v>
      </c>
      <c r="AO227" s="7" t="str">
        <f>IFERROR(__xludf.DUMMYFUNCTION("GoogleTranslate(C227, ""en"", ""mk"")"),"Сулфур диоксидот ја иритира кожата и мукозните мембрани на очите, носот, грлото и белите дробови. Високите концентрации на SO2 може да предизвикаат воспаление и иритација на респираторниот систем, особено при тешка физичка активност.")</f>
        <v>Сулфур диоксидот ја иритира кожата и мукозните мембрани на очите, носот, грлото и белите дробови. Високите концентрации на SO2 може да предизвикаат воспаление и иритација на респираторниот систем, особено при тешка физичка активност.</v>
      </c>
      <c r="AP227" s="7" t="str">
        <f>IFERROR(__xludf.DUMMYFUNCTION("GoogleTranslate(C227, ""en"", ""ms"")"),"Sulfur dioksida merengsakan kulit dan membran mukus mata, hidung, tekak, dan paru-paru. Kepekatan SO2 yang tinggi boleh menyebabkan keradangan dan kerengsaan sistem pernafasan, terutamanya semasa aktiviti fizikal yang berat.")</f>
        <v>Sulfur dioksida merengsakan kulit dan membran mukus mata, hidung, tekak, dan paru-paru. Kepekatan SO2 yang tinggi boleh menyebabkan keradangan dan kerengsaan sistem pernafasan, terutamanya semasa aktiviti fizikal yang berat.</v>
      </c>
      <c r="AQ227" s="7" t="str">
        <f>IFERROR(__xludf.DUMMYFUNCTION("GoogleTranslate(C227, ""en"", ""ml"")"),"സൾഫർ ഡയോക്സൈഡ് കണ്ണുകൾ, മൂക്ക്, തൊണ്ട, ശ്വാസകോശം എന്നിവയുടെ ചർമ്മത്തെയും കഫം ചർമ്മത്തെയും പ്രകോപിപ്പിക്കുന്നു. SO2 ൻ്റെ ഉയർന്ന സാന്ദ്രത ശ്വസനവ്യവസ്ഥയുടെ വീക്കം, പ്രകോപനം എന്നിവയ്ക്ക് കാരണമാകും, പ്രത്യേകിച്ച് കനത്ത ശാരീരിക പ്രവർത്തനങ്ങളിൽ.")</f>
        <v>സൾഫർ ഡയോക്സൈഡ് കണ്ണുകൾ, മൂക്ക്, തൊണ്ട, ശ്വാസകോശം എന്നിവയുടെ ചർമ്മത്തെയും കഫം ചർമ്മത്തെയും പ്രകോപിപ്പിക്കുന്നു. SO2 ൻ്റെ ഉയർന്ന സാന്ദ്രത ശ്വസനവ്യവസ്ഥയുടെ വീക്കം, പ്രകോപനം എന്നിവയ്ക്ക് കാരണമാകും, പ്രത്യേകിച്ച് കനത്ത ശാരീരിക പ്രവർത്തനങ്ങളിൽ.</v>
      </c>
      <c r="AR227" s="7" t="str">
        <f>IFERROR(__xludf.DUMMYFUNCTION("GoogleTranslate(C227, ""en"", ""mr"")"),"सल्फर डायऑक्साइड त्वचा आणि डोळे, नाक, घसा आणि फुफ्फुसांच्या श्लेष्मल त्वचेला त्रास देते. SO2 ची उच्च सांद्रता श्वसन प्रणालीची जळजळ आणि चिडचिड होऊ शकते, विशेषत: जड शारीरिक हालचालींदरम्यान.")</f>
        <v>सल्फर डायऑक्साइड त्वचा आणि डोळे, नाक, घसा आणि फुफ्फुसांच्या श्लेष्मल त्वचेला त्रास देते. SO2 ची उच्च सांद्रता श्वसन प्रणालीची जळजळ आणि चिडचिड होऊ शकते, विशेषत: जड शारीरिक हालचालींदरम्यान.</v>
      </c>
      <c r="AS227" s="7" t="str">
        <f>IFERROR(__xludf.DUMMYFUNCTION("GoogleTranslate(C227, ""en"", ""mn"")"),"Хүхрийн давхар исэл нь нүд, хамар, хоолой, уушигны арьс, салст бүрхэвчийг цочроодог. SO2-ийн өндөр концентраци нь амьсгалын тогтолцооны үрэвсэл, цочролыг үүсгэдэг, ялангуяа хүнд дасгалын үед.")</f>
        <v>Хүхрийн давхар исэл нь нүд, хамар, хоолой, уушигны арьс, салст бүрхэвчийг цочроодог. SO2-ийн өндөр концентраци нь амьсгалын тогтолцооны үрэвсэл, цочролыг үүсгэдэг, ялангуяа хүнд дасгалын үед.</v>
      </c>
      <c r="AT227" s="7" t="str">
        <f>IFERROR(__xludf.DUMMYFUNCTION("GoogleTranslate(C227, ""en"", ""ne"")"),"सल्फर डाइअक्साइडले छाला र आँखा, नाक, घाँटी र फोक्सोको श्लेष्म झिल्लीलाई जलाउँछ। SO2 को उच्च सांद्रताले श्वासप्रश्वास प्रणालीको सूजन र जलन निम्त्याउन सक्छ, विशेष गरी भारी शारीरिक गतिविधिको समयमा।")</f>
        <v>सल्फर डाइअक्साइडले छाला र आँखा, नाक, घाँटी र फोक्सोको श्लेष्म झिल्लीलाई जलाउँछ। SO2 को उच्च सांद्रताले श्वासप्रश्वास प्रणालीको सूजन र जलन निम्त्याउन सक्छ, विशेष गरी भारी शारीरिक गतिविधिको समयमा।</v>
      </c>
      <c r="AU227" s="7" t="str">
        <f>IFERROR(__xludf.DUMMYFUNCTION("GoogleTranslate(C227, ""en"", ""nb"")"),"Svoveldioksid irriterer huden og slimhinnene i øyne, nese, svelg og lunger. Høye konsentrasjoner av SO2 kan forårsake betennelse og irritasjon i luftveiene, spesielt ved tung fysisk aktivitet.")</f>
        <v>Svoveldioksid irriterer huden og slimhinnene i øyne, nese, svelg og lunger. Høye konsentrasjoner av SO2 kan forårsake betennelse og irritasjon i luftveiene, spesielt ved tung fysisk aktivitet.</v>
      </c>
      <c r="AV227" s="7" t="str">
        <f>IFERROR(__xludf.DUMMYFUNCTION("GoogleTranslate(C227, ""en"", ""fa"")"),"دی اکسید گوگرد پوست و غشاهای مخاطی چشم، بینی، گلو و ریه ها را تحریک می کند. غلظت بالای SO2 می تواند باعث التهاب و تحریک سیستم تنفسی به خصوص در هنگام فعالیت بدنی سنگین شود.")</f>
        <v>دی اکسید گوگرد پوست و غشاهای مخاطی چشم، بینی، گلو و ریه ها را تحریک می کند. غلظت بالای SO2 می تواند باعث التهاب و تحریک سیستم تنفسی به خصوص در هنگام فعالیت بدنی سنگین شود.</v>
      </c>
      <c r="AW227" s="7" t="str">
        <f>IFERROR(__xludf.DUMMYFUNCTION("GoogleTranslate(C227, ""en"", ""pl"")"),"Dwutlenek siarki podrażnia skórę i błony śluzowe oczu, nosa, gardła i płuc. Wysokie stężenia SO2 mogą powodować stany zapalne i podrażnienia układu oddechowego, szczególnie podczas dużej aktywności fizycznej.")</f>
        <v>Dwutlenek siarki podrażnia skórę i błony śluzowe oczu, nosa, gardła i płuc. Wysokie stężenia SO2 mogą powodować stany zapalne i podrażnienia układu oddechowego, szczególnie podczas dużej aktywności fizycznej.</v>
      </c>
      <c r="AX227" s="7" t="str">
        <f>IFERROR(__xludf.DUMMYFUNCTION("GoogleTranslate(C227, ""en"", ""pt"")"),"O dióxido de enxofre irrita a pele e as membranas mucosas dos olhos, nariz, garganta e pulmões. Altas concentrações de SO2 podem causar inflamação e irritação do sistema respiratório, especialmente durante atividades físicas intensas.")</f>
        <v>O dióxido de enxofre irrita a pele e as membranas mucosas dos olhos, nariz, garganta e pulmões. Altas concentrações de SO2 podem causar inflamação e irritação do sistema respiratório, especialmente durante atividades físicas intensas.</v>
      </c>
      <c r="AY227" s="7" t="str">
        <f>IFERROR(__xludf.DUMMYFUNCTION("GoogleTranslate(C227, ""en"", ""ro"")"),"Dioxidul de sulf irită pielea și membranele mucoase ale ochilor, nasului, gâtului și plămânilor. Concentrațiile mari de SO2 pot provoca inflamații și iritații ale sistemului respirator, în special în timpul activității fizice intense.")</f>
        <v>Dioxidul de sulf irită pielea și membranele mucoase ale ochilor, nasului, gâtului și plămânilor. Concentrațiile mari de SO2 pot provoca inflamații și iritații ale sistemului respirator, în special în timpul activității fizice intense.</v>
      </c>
      <c r="AZ227" s="7" t="str">
        <f>IFERROR(__xludf.DUMMYFUNCTION("GoogleTranslate(C227, ""en"", ""ru"")"),"Диоксид серы раздражает кожу и слизистые оболочки глаз, носа, горла и легких. Высокие концентрации SO2 могут вызвать воспаление и раздражение органов дыхания, особенно при тяжелых физических нагрузках.")</f>
        <v>Диоксид серы раздражает кожу и слизистые оболочки глаз, носа, горла и легких. Высокие концентрации SO2 могут вызвать воспаление и раздражение органов дыхания, особенно при тяжелых физических нагрузках.</v>
      </c>
      <c r="BA227" s="7" t="str">
        <f>IFERROR(__xludf.DUMMYFUNCTION("GoogleTranslate(C227, ""en"", ""sr"")"),"Сумпор диоксид иритира кожу и слузокожу очију, носа, грла и плућа. Високе концентрације СО2 могу изазвати упалу и иритацију респираторног система, посебно током тешке физичке активности.")</f>
        <v>Сумпор диоксид иритира кожу и слузокожу очију, носа, грла и плућа. Високе концентрације СО2 могу изазвати упалу и иритацију респираторног система, посебно током тешке физичке активности.</v>
      </c>
      <c r="BB227" s="7" t="str">
        <f>IFERROR(__xludf.DUMMYFUNCTION("GoogleTranslate(C227, ""en"", ""si"")"),"සල්ෆර් ඩයොක්සයිඩ් ඇස්, නාසය, උගුර සහ පෙනහළු වල සම සහ ශ්ලේෂ්මල පටල කුපිත කරයි. SO2 හි ඉහළ සාන්ද්‍රණය හේතුවෙන් ශ්වසන පද්ධතියේ දැවිල්ල හා කෝපයක් ඇති කළ හැකිය, විශේෂයෙන් අධික ශාරීරික ක්‍රියාකාරකම් වලදී.")</f>
        <v>සල්ෆර් ඩයොක්සයිඩ් ඇස්, නාසය, උගුර සහ පෙනහළු වල සම සහ ශ්ලේෂ්මල පටල කුපිත කරයි. SO2 හි ඉහළ සාන්ද්‍රණය හේතුවෙන් ශ්වසන පද්ධතියේ දැවිල්ල හා කෝපයක් ඇති කළ හැකිය, විශේෂයෙන් අධික ශාරීරික ක්‍රියාකාරකම් වලදී.</v>
      </c>
      <c r="BC227" s="7" t="str">
        <f>IFERROR(__xludf.DUMMYFUNCTION("GoogleTranslate(C227, ""en"", ""sk"")"),"Oxid siričitý dráždi pokožku a sliznice očí, nosa, hrdla a pľúc. Vysoké koncentrácie SO2 môžu spôsobiť zápal a podráždenie dýchacieho systému, najmä pri ťažkej fyzickej aktivite.")</f>
        <v>Oxid siričitý dráždi pokožku a sliznice očí, nosa, hrdla a pľúc. Vysoké koncentrácie SO2 môžu spôsobiť zápal a podráždenie dýchacieho systému, najmä pri ťažkej fyzickej aktivite.</v>
      </c>
      <c r="BD227" s="7" t="str">
        <f>IFERROR(__xludf.DUMMYFUNCTION("GoogleTranslate(C227, ""en"", ""sl"")"),"Žveplov dioksid draži kožo in sluznico oči, nosu, žrela in pljuč. Visoke koncentracije SO2 lahko povzročijo vnetje in draženje dihalnih poti, zlasti pri težji telesni aktivnosti.")</f>
        <v>Žveplov dioksid draži kožo in sluznico oči, nosu, žrela in pljuč. Visoke koncentracije SO2 lahko povzročijo vnetje in draženje dihalnih poti, zlasti pri težji telesni aktivnosti.</v>
      </c>
      <c r="BE227" s="7" t="str">
        <f>IFERROR(__xludf.DUMMYFUNCTION("GoogleTranslate(C227, ""en"", ""es"")"),"El dióxido de azufre irrita la piel y las membranas mucosas de los ojos, la nariz, la garganta y los pulmones. Altas concentraciones de SO2 pueden provocar inflamación e irritación del sistema respiratorio, especialmente durante la actividad física intens"&amp;"a.")</f>
        <v>El dióxido de azufre irrita la piel y las membranas mucosas de los ojos, la nariz, la garganta y los pulmones. Altas concentraciones de SO2 pueden provocar inflamación e irritación del sistema respiratorio, especialmente durante la actividad física intensa.</v>
      </c>
      <c r="BF227" s="7" t="str">
        <f>IFERROR(__xludf.DUMMYFUNCTION("GoogleTranslate(C227, ""en"", ""sw"")"),"Dioksidi ya sulfuri inakera ngozi na utando wa mucous wa macho, pua, koo na mapafu. Mkusanyiko wa juu wa SO2 unaweza kusababisha kuvimba na hasira ya mfumo wa kupumua, hasa wakati wa shughuli nzito za kimwili.")</f>
        <v>Dioksidi ya sulfuri inakera ngozi na utando wa mucous wa macho, pua, koo na mapafu. Mkusanyiko wa juu wa SO2 unaweza kusababisha kuvimba na hasira ya mfumo wa kupumua, hasa wakati wa shughuli nzito za kimwili.</v>
      </c>
      <c r="BG227" s="7" t="str">
        <f>IFERROR(__xludf.DUMMYFUNCTION("GoogleTranslate(C227, ""en"", ""sv"")"),"Svaveldioxid irriterar huden och slemhinnorna i ögon, näsa, svalg och lungor. Höga koncentrationer av SO2 kan orsaka inflammation och irritation i andningsorganen, särskilt vid hård fysisk aktivitet.")</f>
        <v>Svaveldioxid irriterar huden och slemhinnorna i ögon, näsa, svalg och lungor. Höga koncentrationer av SO2 kan orsaka inflammation och irritation i andningsorganen, särskilt vid hård fysisk aktivitet.</v>
      </c>
      <c r="BH227" s="7" t="str">
        <f>IFERROR(__xludf.DUMMYFUNCTION("GoogleTranslate(C227, ""en"", ""te"")"),"సల్ఫర్ డయాక్సైడ్ కళ్ళు, ముక్కు, గొంతు మరియు ఊపిరితిత్తుల చర్మం మరియు శ్లేష్మ పొరలను చికాకుపెడుతుంది. SO2 యొక్క అధిక సాంద్రతలు శ్వాసకోశ వ్యవస్థ యొక్క వాపు మరియు చికాకును కలిగిస్తాయి, ముఖ్యంగా భారీ శారీరక శ్రమ సమయంలో.")</f>
        <v>సల్ఫర్ డయాక్సైడ్ కళ్ళు, ముక్కు, గొంతు మరియు ఊపిరితిత్తుల చర్మం మరియు శ్లేష్మ పొరలను చికాకుపెడుతుంది. SO2 యొక్క అధిక సాంద్రతలు శ్వాసకోశ వ్యవస్థ యొక్క వాపు మరియు చికాకును కలిగిస్తాయి, ముఖ్యంగా భారీ శారీరక శ్రమ సమయంలో.</v>
      </c>
      <c r="BI227" s="7" t="str">
        <f>IFERROR(__xludf.DUMMYFUNCTION("GoogleTranslate(C227, ""en"", ""th"")"),"ซัลเฟอร์ไดออกไซด์ระคายเคืองต่อผิวหนังและเยื่อเมือกของดวงตา จมูก คอ และปอด SO2 ที่มีความเข้มข้นสูงอาจทำให้เกิดการอักเสบและการระคายเคืองต่อระบบทางเดินหายใจ โดยเฉพาะในระหว่างการออกกำลังกายอย่างหนัก")</f>
        <v>ซัลเฟอร์ไดออกไซด์ระคายเคืองต่อผิวหนังและเยื่อเมือกของดวงตา จมูก คอ และปอด SO2 ที่มีความเข้มข้นสูงอาจทำให้เกิดการอักเสบและการระคายเคืองต่อระบบทางเดินหายใจ โดยเฉพาะในระหว่างการออกกำลังกายอย่างหนัก</v>
      </c>
      <c r="BJ227" s="7" t="str">
        <f>IFERROR(__xludf.DUMMYFUNCTION("GoogleTranslate(C227, ""en"", ""tr"")"),"Kükürt dioksit gözlerin, burnun, boğazın ve akciğerlerin derisini ve mukoza zarlarını tahriş eder. Yüksek SO2 konsantrasyonları, özellikle ağır fiziksel aktivite sırasında solunum sisteminde iltihaplanma ve tahrişe neden olabilir.")</f>
        <v>Kükürt dioksit gözlerin, burnun, boğazın ve akciğerlerin derisini ve mukoza zarlarını tahriş eder. Yüksek SO2 konsantrasyonları, özellikle ağır fiziksel aktivite sırasında solunum sisteminde iltihaplanma ve tahrişe neden olabilir.</v>
      </c>
      <c r="BK227" s="7" t="str">
        <f>IFERROR(__xludf.DUMMYFUNCTION("GoogleTranslate(C227, ""en"", ""uk"")"),"Діоксид сірки подразнює шкіру та слизові оболонки очей, носа, горла, легенів. Високі концентрації SO2 можуть викликати запалення та подразнення дихальної системи, особливо під час важких фізичних навантажень.")</f>
        <v>Діоксид сірки подразнює шкіру та слизові оболонки очей, носа, горла, легенів. Високі концентрації SO2 можуть викликати запалення та подразнення дихальної системи, особливо під час важких фізичних навантажень.</v>
      </c>
      <c r="BL227" s="7" t="str">
        <f>IFERROR(__xludf.DUMMYFUNCTION("GoogleTranslate(C227, ""en"", ""zu"")"),"I-sulphur dioxide ihlukumeza isikhumba nolwelwesi lwamafinyila lwamehlo, ikhala, umphimbo namaphaphu. Ukugxila okuphezulu kwe-SO2 kungabangela ukuvuvukala nokucasuka kwesistimu yokuphefumula, ikakhulukazi ngesikhathi sokusebenza kanzima komzimba.")</f>
        <v>I-sulphur dioxide ihlukumeza isikhumba nolwelwesi lwamafinyila lwamehlo, ikhala, umphimbo namaphaphu. Ukugxila okuphezulu kwe-SO2 kungabangela ukuvuvukala nokucasuka kwesistimu yokuphefumula, ikakhulukazi ngesikhathi sokusebenza kanzima komzimba.</v>
      </c>
    </row>
    <row r="228">
      <c r="A228" s="5" t="str">
        <f t="shared" si="1"/>
        <v>The_main_health_effect_of_nitrogen_dioxide_is_on_the_respiratory_system._Inhalation_of_nitrogen_dioxide_by_children_increases_their_risk_of_respiratory_infection_and_may_lead_to_poorer_lung_function_in_later_life.</v>
      </c>
      <c r="B228" s="4" t="s">
        <v>271</v>
      </c>
      <c r="C228" s="4" t="s">
        <v>271</v>
      </c>
      <c r="D228" s="7" t="str">
        <f>IFERROR(__xludf.DUMMYFUNCTION("GoogleTranslate(C228, ""en"", ""es"")"),"El principal efecto del dióxido de nitrógeno sobre la salud se produce en el sistema respiratorio. La inhalación de dióxido de nitrógeno por parte de los niños aumenta su riesgo de infección respiratoria y puede provocar una función pulmonar más deficient"&amp;"e en el futuro.")</f>
        <v>El principal efecto del dióxido de nitrógeno sobre la salud se produce en el sistema respiratorio. La inhalación de dióxido de nitrógeno por parte de los niños aumenta su riesgo de infección respiratoria y puede provocar una función pulmonar más deficiente en el futuro.</v>
      </c>
      <c r="E228" s="7" t="str">
        <f>IFERROR(__xludf.DUMMYFUNCTION("GoogleTranslate(C228, ""en"", ""ar"")"),"التأثير الصحي الرئيسي لثاني أكسيد النيتروجين هو على الجهاز التنفسي. يزيد استنشاق الأطفال لثاني أكسيد النيتروجين من خطر الإصابة بعدوى الجهاز التنفسي وقد يؤدي إلى ضعف وظائف الرئة في وقت لاحق من الحياة.")</f>
        <v>التأثير الصحي الرئيسي لثاني أكسيد النيتروجين هو على الجهاز التنفسي. يزيد استنشاق الأطفال لثاني أكسيد النيتروجين من خطر الإصابة بعدوى الجهاز التنفسي وقد يؤدي إلى ضعف وظائف الرئة في وقت لاحق من الحياة.</v>
      </c>
      <c r="F228" s="7" t="str">
        <f>IFERROR(__xludf.DUMMYFUNCTION("GoogleTranslate(C228, ""en"", ""hy"")"),"Ազոտի երկօքսիդի հիմնական առողջական ազդեցությունը շնչառական համակարգի վրա է: Երեխաների կողմից ազոտի երկօքսիդի ներշնչումը մեծացնում է նրանց շնչառական վարակների վտանգը և կարող է հանգեցնել թոքերի ավելի վատ աշխատանքի հետագա կյանքում:")</f>
        <v>Ազոտի երկօքսիդի հիմնական առողջական ազդեցությունը շնչառական համակարգի վրա է: Երեխաների կողմից ազոտի երկօքսիդի ներշնչումը մեծացնում է նրանց շնչառական վարակների վտանգը և կարող է հանգեցնել թոքերի ավելի վատ աշխատանքի հետագա կյանքում:</v>
      </c>
      <c r="G228" s="7" t="str">
        <f>IFERROR(__xludf.DUMMYFUNCTION("GoogleTranslate(C228, ""en"", ""vi"")"),"Tác dụng chính của nitơ dioxide đối với sức khỏe là đối với hệ hô hấp. Trẻ em hít phải nitơ dioxide làm tăng nguy cơ nhiễm trùng đường hô hấp và có thể dẫn đến chức năng phổi kém hơn trong cuộc sống sau này.")</f>
        <v>Tác dụng chính của nitơ dioxide đối với sức khỏe là đối với hệ hô hấp. Trẻ em hít phải nitơ dioxide làm tăng nguy cơ nhiễm trùng đường hô hấp và có thể dẫn đến chức năng phổi kém hơn trong cuộc sống sau này.</v>
      </c>
      <c r="H228" s="7" t="str">
        <f>IFERROR(__xludf.DUMMYFUNCTION("GoogleTranslate(C228, ""en"", ""az"")"),"Azot dioksidin sağlamlığa əsas təsiri tənəffüs sisteminə aiddir. Uşaqların azot dioksidin inhalyasiyası onların tənəffüs yoluxma riskini artırır və sonrakı həyatda ağciyər funksiyasının pisləşməsinə səbəb ola bilər.")</f>
        <v>Azot dioksidin sağlamlığa əsas təsiri tənəffüs sisteminə aiddir. Uşaqların azot dioksidin inhalyasiyası onların tənəffüs yoluxma riskini artırır və sonrakı həyatda ağciyər funksiyasının pisləşməsinə səbəb ola bilər.</v>
      </c>
      <c r="I228" s="7" t="str">
        <f>IFERROR(__xludf.DUMMYFUNCTION("GoogleTranslate(C228, ""en"", ""eu"")"),"Nitrogeno dioxidoaren osasun eragin nagusia arnas aparatuan dago. Haurrak nitrogeno dioxidoa arnasteak arnas infekzioa izateko arriskua areagotzen du eta gero bizitzan biriken funtzio txarragoa ekar dezake.")</f>
        <v>Nitrogeno dioxidoaren osasun eragin nagusia arnas aparatuan dago. Haurrak nitrogeno dioxidoa arnasteak arnas infekzioa izateko arriskua areagotzen du eta gero bizitzan biriken funtzio txarragoa ekar dezake.</v>
      </c>
      <c r="J228" s="7" t="str">
        <f>IFERROR(__xludf.DUMMYFUNCTION("GoogleTranslate(C228, ""en"", ""be"")"),"Асноўны ўплыў дыяксіду азоту на здароўе аказвае на дыхальную сістэму. Удыханне дзецьмі дыяксіду азоту павялічвае рызыку рэспіраторнай інфекцыі і можа прывесці да пагаршэння функцыі лёгкіх у далейшым жыцці.")</f>
        <v>Асноўны ўплыў дыяксіду азоту на здароўе аказвае на дыхальную сістэму. Удыханне дзецьмі дыяксіду азоту павялічвае рызыку рэспіраторнай інфекцыі і можа прывесці да пагаршэння функцыі лёгкіх у далейшым жыцці.</v>
      </c>
      <c r="K228" s="7" t="str">
        <f>IFERROR(__xludf.DUMMYFUNCTION("GoogleTranslate(C228, ""en"", ""bn"")"),"নাইট্রোজেন ডাই অক্সাইডের প্রধান স্বাস্থ্য প্রভাব শ্বাসযন্ত্রের উপর। শিশুদের দ্বারা নাইট্রোজেন ডাই অক্সাইড শ্বাস-প্রশ্বাসের সংক্রমণের ঝুঁকি বাড়ায় এবং পরবর্তী জীবনে ফুসফুসের কার্যকারিতা খারাপ হতে পারে।")</f>
        <v>নাইট্রোজেন ডাই অক্সাইডের প্রধান স্বাস্থ্য প্রভাব শ্বাসযন্ত্রের উপর। শিশুদের দ্বারা নাইট্রোজেন ডাই অক্সাইড শ্বাস-প্রশ্বাসের সংক্রমণের ঝুঁকি বাড়ায় এবং পরবর্তী জীবনে ফুসফুসের কার্যকারিতা খারাপ হতে পারে।</v>
      </c>
      <c r="L228" s="7" t="str">
        <f>IFERROR(__xludf.DUMMYFUNCTION("GoogleTranslate(C228, ""en"", ""bg"")"),"Основният здравословен ефект на азотния диоксид е върху дихателната система. Вдишването на азотен диоксид от деца увеличава риска от респираторна инфекция и може да доведе до по-лоша белодробна функция в по-късен живот.")</f>
        <v>Основният здравословен ефект на азотния диоксид е върху дихателната система. Вдишването на азотен диоксид от деца увеличава риска от респираторна инфекция и може да доведе до по-лоша белодробна функция в по-късен живот.</v>
      </c>
      <c r="M228" s="7" t="str">
        <f>IFERROR(__xludf.DUMMYFUNCTION("GoogleTranslate(C228, ""en"", ""my"")"),"နိုက်ထရိုဂျင်ဒိုင်အောက်ဆိုဒ်၏ အဓိက ကျန်းမာရေးဆိုင်ရာ သက်ရောက်မှုမှာ အသက်ရှူလမ်းကြောင်းစနစ်အပေါ် ဖြစ်သည်။ ကလေးငယ်များ၏ နိုက်ထရိုဂျင်ဒိုင်အောက်ဆိုဒ်ကို ရှူရှိုက်မိခြင်းသည် ၎င်းတို့၏ အသက်ရှုလမ်းကြောင်းဆိုင်ရာ ကူးစက်မှုအန္တရာယ်ကို တိုးစေပြီး နောက်ပိုင်းတွင် အ"&amp;"ဆုတ်၏လုပ်ဆောင်မှု အားနည်းလာနိုင်သည်။")</f>
        <v>နိုက်ထရိုဂျင်ဒိုင်အောက်ဆိုဒ်၏ အဓိက ကျန်းမာရေးဆိုင်ရာ သက်ရောက်မှုမှာ အသက်ရှူလမ်းကြောင်းစနစ်အပေါ် ဖြစ်သည်။ ကလေးငယ်များ၏ နိုက်ထရိုဂျင်ဒိုင်အောက်ဆိုဒ်ကို ရှူရှိုက်မိခြင်းသည် ၎င်းတို့၏ အသက်ရှုလမ်းကြောင်းဆိုင်ရာ ကူးစက်မှုအန္တရာယ်ကို တိုးစေပြီး နောက်ပိုင်းတွင် အဆုတ်၏လုပ်ဆောင်မှု အားနည်းလာနိုင်သည်။</v>
      </c>
      <c r="N228" s="7" t="str">
        <f>IFERROR(__xludf.DUMMYFUNCTION("GoogleTranslate(C228, ""en"", ""ca"")"),"El principal efecte sobre la salut del diòxid de nitrogen és sobre el sistema respiratori. La inhalació de diòxid de nitrogen per part dels nens augmenta el seu risc d'infecció respiratòria i pot conduir a una funció pulmonar més deficient en la vida post"&amp;"erior.")</f>
        <v>El principal efecte sobre la salut del diòxid de nitrogen és sobre el sistema respiratori. La inhalació de diòxid de nitrogen per part dels nens augmenta el seu risc d'infecció respiratòria i pot conduir a una funció pulmonar més deficient en la vida posterior.</v>
      </c>
      <c r="O228" s="7" t="str">
        <f>IFERROR(__xludf.DUMMYFUNCTION("GoogleTranslate(C228, ""en"", ""zh-cn"")"),"二氧化氮对健康的主要影响是对呼吸系统的影响。儿童吸入二氧化氮会增加呼吸道感染的风险，并可能导致以后的肺功能较差。")</f>
        <v>二氧化氮对健康的主要影响是对呼吸系统的影响。儿童吸入二氧化氮会增加呼吸道感染的风险，并可能导致以后的肺功能较差。</v>
      </c>
      <c r="P228" s="7" t="str">
        <f>IFERROR(__xludf.DUMMYFUNCTION("GoogleTranslate(C228, ""en"", ""zh-TW"")"),"二氧化氮對健康的主要影響是對呼吸系統的影響。兒童吸入二氧化氮會增加呼吸道感染的風險，並可能導致以後的肺功能較差。")</f>
        <v>二氧化氮對健康的主要影響是對呼吸系統的影響。兒童吸入二氧化氮會增加呼吸道感染的風險，並可能導致以後的肺功能較差。</v>
      </c>
      <c r="Q228" s="7" t="str">
        <f>IFERROR(__xludf.DUMMYFUNCTION("GoogleTranslate(C228, ""en"", ""hr"")"),"Glavni zdravstveni učinak dušikovog dioksida je na dišni sustav. Udisanje dušikovog dioksida kod djece povećava rizik od infekcije dišnog sustava i može dovesti do slabijeg rada pluća u kasnijem životu.")</f>
        <v>Glavni zdravstveni učinak dušikovog dioksida je na dišni sustav. Udisanje dušikovog dioksida kod djece povećava rizik od infekcije dišnog sustava i može dovesti do slabijeg rada pluća u kasnijem životu.</v>
      </c>
      <c r="R228" s="7" t="str">
        <f>IFERROR(__xludf.DUMMYFUNCTION("GoogleTranslate(C228, ""en"", ""cs"")"),"Hlavní zdravotní účinek oxidu dusičitého je na dýchací systém. Vdechování oxidu dusičitého dětmi zvyšuje riziko infekce dýchacích cest a může vést k horší funkci plic v pozdějším věku.")</f>
        <v>Hlavní zdravotní účinek oxidu dusičitého je na dýchací systém. Vdechování oxidu dusičitého dětmi zvyšuje riziko infekce dýchacích cest a může vést k horší funkci plic v pozdějším věku.</v>
      </c>
      <c r="S228" s="7" t="str">
        <f>IFERROR(__xludf.DUMMYFUNCTION("GoogleTranslate(C228, ""en"", ""da"")"),"Den væsentligste sundhedseffekt af nitrogendioxid er på åndedrætssystemet. Børns indånding af nitrogendioxid øger deres risiko for luftvejsinfektion og kan føre til dårligere lungefunktion senere i livet.")</f>
        <v>Den væsentligste sundhedseffekt af nitrogendioxid er på åndedrætssystemet. Børns indånding af nitrogendioxid øger deres risiko for luftvejsinfektion og kan føre til dårligere lungefunktion senere i livet.</v>
      </c>
      <c r="T228" s="7" t="str">
        <f>IFERROR(__xludf.DUMMYFUNCTION("GoogleTranslate(C228, ""en"", ""nl"")"),"Het belangrijkste gezondheidseffect van stikstofdioxide heeft betrekking op de luchtwegen. Het inademen van stikstofdioxide door kinderen verhoogt het risico op luchtweginfecties en kan op latere leeftijd leiden tot een slechtere longfunctie.")</f>
        <v>Het belangrijkste gezondheidseffect van stikstofdioxide heeft betrekking op de luchtwegen. Het inademen van stikstofdioxide door kinderen verhoogt het risico op luchtweginfecties en kan op latere leeftijd leiden tot een slechtere longfunctie.</v>
      </c>
      <c r="U228" s="7" t="str">
        <f>IFERROR(__xludf.DUMMYFUNCTION("GoogleTranslate(C228, ""en"", ""et"")"),"Lämmastikdioksiidi peamine tervisemõju on hingamisteedele. Lämmastikdioksiidi sissehingamine laste poolt suurendab nende hingamisteede infektsioonide riski ja võib hilisemas elus põhjustada kopsude halvenemist.")</f>
        <v>Lämmastikdioksiidi peamine tervisemõju on hingamisteedele. Lämmastikdioksiidi sissehingamine laste poolt suurendab nende hingamisteede infektsioonide riski ja võib hilisemas elus põhjustada kopsude halvenemist.</v>
      </c>
      <c r="V228" s="5" t="str">
        <f t="shared" si="3"/>
        <v>The main health effect of nitrogen dioxide is on the respiratory system. Inhalation of nitrogen dioxide by children increases their risk of respiratory infection and may lead to poorer lung function in later life.</v>
      </c>
      <c r="W228" s="7" t="str">
        <f>IFERROR(__xludf.DUMMYFUNCTION("GoogleTranslate(C228, ""en"", ""fi"")"),"Typpidioksidin tärkein terveysvaikutus kohdistuu hengityselimiin. Typpidioksidin hengittäminen lasten toimesta lisää hengitystieinfektioiden riskiä ja voi heikentää keuhkojen toimintaa myöhemmällä iällä.")</f>
        <v>Typpidioksidin tärkein terveysvaikutus kohdistuu hengityselimiin. Typpidioksidin hengittäminen lasten toimesta lisää hengitystieinfektioiden riskiä ja voi heikentää keuhkojen toimintaa myöhemmällä iällä.</v>
      </c>
      <c r="X228" s="7" t="str">
        <f>IFERROR(__xludf.DUMMYFUNCTION("GoogleTranslate(C228, ""en"", ""fr"")"),"Le principal effet du dioxyde d’azote sur la santé concerne le système respiratoire. L'inhalation de dioxyde d'azote par les enfants augmente leur risque d'infection respiratoire et peut entraîner une diminution de la fonction pulmonaire plus tard dans la"&amp;" vie.")</f>
        <v>Le principal effet du dioxyde d’azote sur la santé concerne le système respiratoire. L'inhalation de dioxyde d'azote par les enfants augmente leur risque d'infection respiratoire et peut entraîner une diminution de la fonction pulmonaire plus tard dans la vie.</v>
      </c>
      <c r="Y228" s="7" t="str">
        <f>IFERROR(__xludf.DUMMYFUNCTION("GoogleTranslate(C228, ""en"", ""de"")"),"Die gesundheitliche Wirkung von Stickstoffdioxid liegt vor allem auf den Atemwegen. Das Einatmen von Stickstoffdioxid bei Kindern erhöht das Risiko einer Atemwegsinfektion und kann im späteren Leben zu einer Verschlechterung der Lungenfunktion führen.")</f>
        <v>Die gesundheitliche Wirkung von Stickstoffdioxid liegt vor allem auf den Atemwegen. Das Einatmen von Stickstoffdioxid bei Kindern erhöht das Risiko einer Atemwegsinfektion und kann im späteren Leben zu einer Verschlechterung der Lungenfunktion führen.</v>
      </c>
      <c r="Z228" s="7" t="str">
        <f>IFERROR(__xludf.DUMMYFUNCTION("GoogleTranslate(C228, ""en"", ""el"")"),"Η κύρια επίδραση του διοξειδίου του αζώτου στην υγεία είναι στο αναπνευστικό σύστημα. Η εισπνοή διοξειδίου του αζώτου από παιδιά αυξάνει τον κίνδυνο λοίμωξης του αναπνευστικού και μπορεί να οδηγήσει σε κακή λειτουργία των πνευμόνων στη μετέπειτα ζωή.")</f>
        <v>Η κύρια επίδραση του διοξειδίου του αζώτου στην υγεία είναι στο αναπνευστικό σύστημα. Η εισπνοή διοξειδίου του αζώτου από παιδιά αυξάνει τον κίνδυνο λοίμωξης του αναπνευστικού και μπορεί να οδηγήσει σε κακή λειτουργία των πνευμόνων στη μετέπειτα ζωή.</v>
      </c>
      <c r="AA228" s="7" t="str">
        <f>IFERROR(__xludf.DUMMYFUNCTION("GoogleTranslate(C228, ""en"", ""iw"")"),"ההשפעה הבריאותית העיקרית של חנקן דו חמצני היא על מערכת הנשימה. שאיפה של חנקן דו חמצני על ידי ילדים מגבירה את הסיכון שלהם לזיהום בדרכי הנשימה ועלולה להוביל לתפקוד ריאות ירוד יותר בשלב מאוחר יותר בחיים.")</f>
        <v>ההשפעה הבריאותית העיקרית של חנקן דו חמצני היא על מערכת הנשימה. שאיפה של חנקן דו חמצני על ידי ילדים מגבירה את הסיכון שלהם לזיהום בדרכי הנשימה ועלולה להוביל לתפקוד ריאות ירוד יותר בשלב מאוחר יותר בחיים.</v>
      </c>
      <c r="AB228" s="7" t="str">
        <f>IFERROR(__xludf.DUMMYFUNCTION("GoogleTranslate(C228, ""en"", ""hi"")"),"नाइट्रोजन डाइऑक्साइड का मुख्य स्वास्थ्य प्रभाव श्वसन तंत्र पर पड़ता है। बच्चों द्वारा नाइट्रोजन डाइऑक्साइड के साँस लेने से उनमें श्वसन संक्रमण का खतरा बढ़ जाता है और बाद के जीवन में फेफड़ों की कार्यक्षमता ख़राब हो सकती है।")</f>
        <v>नाइट्रोजन डाइऑक्साइड का मुख्य स्वास्थ्य प्रभाव श्वसन तंत्र पर पड़ता है। बच्चों द्वारा नाइट्रोजन डाइऑक्साइड के साँस लेने से उनमें श्वसन संक्रमण का खतरा बढ़ जाता है और बाद के जीवन में फेफड़ों की कार्यक्षमता ख़राब हो सकती है।</v>
      </c>
      <c r="AC228" s="7" t="str">
        <f>IFERROR(__xludf.DUMMYFUNCTION("GoogleTranslate(C228, ""en"", ""hu"")"),"A nitrogén-dioxid fő egészségügyi hatása a légzőrendszerre van. A nitrogén-dioxid gyermekek általi belélegzése növeli a légúti fertőzések kockázatát, és a későbbi életkorban a tüdőfunkció romlásához vezethet.")</f>
        <v>A nitrogén-dioxid fő egészségügyi hatása a légzőrendszerre van. A nitrogén-dioxid gyermekek általi belélegzése növeli a légúti fertőzések kockázatát, és a későbbi életkorban a tüdőfunkció romlásához vezethet.</v>
      </c>
      <c r="AD228" s="7" t="str">
        <f>IFERROR(__xludf.DUMMYFUNCTION("GoogleTranslate(C228, ""en"", ""is"")"),"Helstu heilsuáhrif köfnunarefnisdíoxíðs eru á öndunarfærin. Innöndun barna á köfnunarefnisdíoxíði eykur hættuna á öndunarfærasýkingu og getur leitt til verri lungnastarfsemi síðar á ævinni.")</f>
        <v>Helstu heilsuáhrif köfnunarefnisdíoxíðs eru á öndunarfærin. Innöndun barna á köfnunarefnisdíoxíði eykur hættuna á öndunarfærasýkingu og getur leitt til verri lungnastarfsemi síðar á ævinni.</v>
      </c>
      <c r="AE228" s="7" t="str">
        <f>IFERROR(__xludf.DUMMYFUNCTION("GoogleTranslate(C228, ""en"", ""id"")"),"Efek kesehatan utama dari nitrogen dioksida adalah pada sistem pernapasan. Menghirup nitrogen dioksida oleh anak-anak meningkatkan risiko infeksi pernafasan dan dapat menyebabkan penurunan fungsi paru-paru di kemudian hari.")</f>
        <v>Efek kesehatan utama dari nitrogen dioksida adalah pada sistem pernapasan. Menghirup nitrogen dioksida oleh anak-anak meningkatkan risiko infeksi pernafasan dan dapat menyebabkan penurunan fungsi paru-paru di kemudian hari.</v>
      </c>
      <c r="AF228" s="7" t="str">
        <f>IFERROR(__xludf.DUMMYFUNCTION("GoogleTranslate(C228, ""en"", ""in"")"),"Efek kesehatan utama dari nitrogen dioksida adalah pada sistem pernapasan. Menghirup nitrogen dioksida oleh anak-anak meningkatkan risiko infeksi pernafasan dan dapat menyebabkan penurunan fungsi paru-paru di kemudian hari.")</f>
        <v>Efek kesehatan utama dari nitrogen dioksida adalah pada sistem pernapasan. Menghirup nitrogen dioksida oleh anak-anak meningkatkan risiko infeksi pernafasan dan dapat menyebabkan penurunan fungsi paru-paru di kemudian hari.</v>
      </c>
      <c r="AG228" s="7" t="str">
        <f>IFERROR(__xludf.DUMMYFUNCTION("GoogleTranslate(C228, ""en"", ""it"")"),"Il principale effetto sulla salute del biossido di azoto è sul sistema respiratorio. L’inalazione di biossido di azoto da parte dei bambini aumenta il rischio di infezioni respiratorie e può portare a una ridotta funzionalità polmonare in età avanzata.")</f>
        <v>Il principale effetto sulla salute del biossido di azoto è sul sistema respiratorio. L’inalazione di biossido di azoto da parte dei bambini aumenta il rischio di infezioni respiratorie e può portare a una ridotta funzionalità polmonare in età avanzata.</v>
      </c>
      <c r="AH228" s="7" t="str">
        <f>IFERROR(__xludf.DUMMYFUNCTION("GoogleTranslate(C228, ""en"", ""ja"")"),"二酸化窒素の主な健康影響は呼吸器系にあります。子供が二酸化窒素を吸入すると、呼吸器感染症のリスクが高まり、その後の肺機能の低下につながる可能性があります。")</f>
        <v>二酸化窒素の主な健康影響は呼吸器系にあります。子供が二酸化窒素を吸入すると、呼吸器感染症のリスクが高まり、その後の肺機能の低下につながる可能性があります。</v>
      </c>
      <c r="AI228" s="7" t="str">
        <f>IFERROR(__xludf.DUMMYFUNCTION("GoogleTranslate(C228, ""en"", ""kn"")"),"ಸಾರಜನಕ ಡೈಆಕ್ಸೈಡ್‌ನ ಮುಖ್ಯ ಆರೋಗ್ಯ ಪರಿಣಾಮವು ಉಸಿರಾಟದ ವ್ಯವಸ್ಥೆಯಲ್ಲಿದೆ. ಮಕ್ಕಳು ನೈಟ್ರೋಜನ್ ಡೈಆಕ್ಸೈಡ್ ಅನ್ನು ಉಸಿರಾಡುವುದರಿಂದ ಉಸಿರಾಟದ ಸೋಂಕಿನ ಅಪಾಯವನ್ನು ಹೆಚ್ಚಿಸುತ್ತದೆ ಮತ್ತು ನಂತರದ ಜೀವನದಲ್ಲಿ ಶ್ವಾಸಕೋಶದ ಕಾರ್ಯವು ದುರ್ಬಲಗೊಳ್ಳಬಹುದು.")</f>
        <v>ಸಾರಜನಕ ಡೈಆಕ್ಸೈಡ್‌ನ ಮುಖ್ಯ ಆರೋಗ್ಯ ಪರಿಣಾಮವು ಉಸಿರಾಟದ ವ್ಯವಸ್ಥೆಯಲ್ಲಿದೆ. ಮಕ್ಕಳು ನೈಟ್ರೋಜನ್ ಡೈಆಕ್ಸೈಡ್ ಅನ್ನು ಉಸಿರಾಡುವುದರಿಂದ ಉಸಿರಾಟದ ಸೋಂಕಿನ ಅಪಾಯವನ್ನು ಹೆಚ್ಚಿಸುತ್ತದೆ ಮತ್ತು ನಂತರದ ಜೀವನದಲ್ಲಿ ಶ್ವಾಸಕೋಶದ ಕಾರ್ಯವು ದುರ್ಬಲಗೊಳ್ಳಬಹುದು.</v>
      </c>
      <c r="AJ228" s="7" t="str">
        <f>IFERROR(__xludf.DUMMYFUNCTION("GoogleTranslate(C228, ""en"", ""km"")"),"ឥទ្ធិពលសុខភាពចម្បងនៃអាសូតឌីអុកស៊ីតគឺនៅលើប្រព័ន្ធផ្លូវដង្ហើម។ ការស្រូបយកអាសូតឌីអុកស៊ីតដោយកុមារបង្កើនហានិភ័យនៃការឆ្លងមេរោគផ្លូវដង្ហើម ហើយអាចនាំឱ្យមុខងារសួតចុះខ្សោយក្នុងជីវិតក្រោយ។")</f>
        <v>ឥទ្ធិពលសុខភាពចម្បងនៃអាសូតឌីអុកស៊ីតគឺនៅលើប្រព័ន្ធផ្លូវដង្ហើម។ ការស្រូបយកអាសូតឌីអុកស៊ីតដោយកុមារបង្កើនហានិភ័យនៃការឆ្លងមេរោគផ្លូវដង្ហើម ហើយអាចនាំឱ្យមុខងារសួតចុះខ្សោយក្នុងជីវិតក្រោយ។</v>
      </c>
      <c r="AK228" s="7" t="str">
        <f>IFERROR(__xludf.DUMMYFUNCTION("GoogleTranslate(C228, ""en"", ""ko"")"),"이산화질소가 건강에 미치는 주요 영향은 호흡기계에 있습니다. 어린이가 이산화질소를 흡입하면 호흡기 감염 위험이 증가하고 나중에 폐 기능이 저하될 수 있습니다.")</f>
        <v>이산화질소가 건강에 미치는 주요 영향은 호흡기계에 있습니다. 어린이가 이산화질소를 흡입하면 호흡기 감염 위험이 증가하고 나중에 폐 기능이 저하될 수 있습니다.</v>
      </c>
      <c r="AL228" s="7" t="str">
        <f>IFERROR(__xludf.DUMMYFUNCTION("GoogleTranslate(C228, ""en"", ""lo"")"),"ຜົນກະທົບດ້ານສຸຂະພາບຕົ້ນຕໍຂອງໄນໂຕຣເຈນອອກໄຊແມ່ນກ່ຽວກັບລະບົບຫາຍໃຈ. ການສູດດົມຂອງໄນໂຕຣເຈນໄດອອກໄຊໂດຍເດັກນ້ອຍເພີ່ມຄວາມສ່ຽງຕໍ່ການຕິດເຊື້ອທາງເດີນຫາຍໃຈຂອງເຂົາເຈົ້າ ແລະອາດຈະເຮັດໃຫ້ການເຮັດວຽກຂອງປອດບໍ່ດີໃນຊີວິດຕໍ່ມາ.")</f>
        <v>ຜົນກະທົບດ້ານສຸຂະພາບຕົ້ນຕໍຂອງໄນໂຕຣເຈນອອກໄຊແມ່ນກ່ຽວກັບລະບົບຫາຍໃຈ. ການສູດດົມຂອງໄນໂຕຣເຈນໄດອອກໄຊໂດຍເດັກນ້ອຍເພີ່ມຄວາມສ່ຽງຕໍ່ການຕິດເຊື້ອທາງເດີນຫາຍໃຈຂອງເຂົາເຈົ້າ ແລະອາດຈະເຮັດໃຫ້ການເຮັດວຽກຂອງປອດບໍ່ດີໃນຊີວິດຕໍ່ມາ.</v>
      </c>
      <c r="AM228" s="7" t="str">
        <f>IFERROR(__xludf.DUMMYFUNCTION("GoogleTranslate(C228, ""en"", ""lv"")"),"Galvenā slāpekļa dioksīda ietekme uz veselību ir uz elpošanas sistēmu. Slāpekļa dioksīda ieelpošana bērniem palielina elpceļu infekciju risku un var pasliktināt plaušu darbību vēlākā dzīvē.")</f>
        <v>Galvenā slāpekļa dioksīda ietekme uz veselību ir uz elpošanas sistēmu. Slāpekļa dioksīda ieelpošana bērniem palielina elpceļu infekciju risku un var pasliktināt plaušu darbību vēlākā dzīvē.</v>
      </c>
      <c r="AN228" s="7" t="str">
        <f>IFERROR(__xludf.DUMMYFUNCTION("GoogleTranslate(C228, ""en"", ""lt"")"),"Pagrindinis azoto dioksido poveikis sveikatai yra kvėpavimo sistemai. Vaikams įkvėpus azoto dioksido, padidėja kvėpavimo takų infekcijų rizika ir vėlesniame amžiuje gali pablogėti plaučių funkcija.")</f>
        <v>Pagrindinis azoto dioksido poveikis sveikatai yra kvėpavimo sistemai. Vaikams įkvėpus azoto dioksido, padidėja kvėpavimo takų infekcijų rizika ir vėlesniame amžiuje gali pablogėti plaučių funkcija.</v>
      </c>
      <c r="AO228" s="7" t="str">
        <f>IFERROR(__xludf.DUMMYFUNCTION("GoogleTranslate(C228, ""en"", ""mk"")"),"Главниот здравствен ефект на азот диоксид е врз респираторниот систем. Вдишувањето на азот диоксид од страна на децата го зголемува нивниот ризик од респираторни инфекции и може да доведе до полоша функција на белите дробови во подоцнежниот живот.")</f>
        <v>Главниот здравствен ефект на азот диоксид е врз респираторниот систем. Вдишувањето на азот диоксид од страна на децата го зголемува нивниот ризик од респираторни инфекции и може да доведе до полоша функција на белите дробови во подоцнежниот живот.</v>
      </c>
      <c r="AP228" s="7" t="str">
        <f>IFERROR(__xludf.DUMMYFUNCTION("GoogleTranslate(C228, ""en"", ""ms"")"),"Kesan kesihatan utama nitrogen dioksida adalah pada sistem pernafasan. Penyedutan nitrogen dioksida oleh kanak-kanak meningkatkan risiko jangkitan pernafasan dan boleh menyebabkan fungsi paru-paru yang lebih lemah di kemudian hari.")</f>
        <v>Kesan kesihatan utama nitrogen dioksida adalah pada sistem pernafasan. Penyedutan nitrogen dioksida oleh kanak-kanak meningkatkan risiko jangkitan pernafasan dan boleh menyebabkan fungsi paru-paru yang lebih lemah di kemudian hari.</v>
      </c>
      <c r="AQ228" s="7" t="str">
        <f>IFERROR(__xludf.DUMMYFUNCTION("GoogleTranslate(C228, ""en"", ""ml"")"),"നൈട്രജൻ ഡൈ ഓക്സൈഡിൻ്റെ പ്രധാന ആരോഗ്യ പ്രഭാവം ശ്വസനവ്യവസ്ഥയിലാണ്. കുട്ടികൾ നൈട്രജൻ ഡയോക്സൈഡ് ശ്വസിക്കുന്നത് ശ്വാസകോശ അണുബാധയ്ക്കുള്ള സാധ്യത വർദ്ധിപ്പിക്കുകയും പിന്നീടുള്ള ജീവിതത്തിൽ ശ്വാസകോശത്തിൻ്റെ പ്രവർത്തനം മോശമാകുകയും ചെയ്യും.")</f>
        <v>നൈട്രജൻ ഡൈ ഓക്സൈഡിൻ്റെ പ്രധാന ആരോഗ്യ പ്രഭാവം ശ്വസനവ്യവസ്ഥയിലാണ്. കുട്ടികൾ നൈട്രജൻ ഡയോക്സൈഡ് ശ്വസിക്കുന്നത് ശ്വാസകോശ അണുബാധയ്ക്കുള്ള സാധ്യത വർദ്ധിപ്പിക്കുകയും പിന്നീടുള്ള ജീവിതത്തിൽ ശ്വാസകോശത്തിൻ്റെ പ്രവർത്തനം മോശമാകുകയും ചെയ്യും.</v>
      </c>
      <c r="AR228" s="7" t="str">
        <f>IFERROR(__xludf.DUMMYFUNCTION("GoogleTranslate(C228, ""en"", ""mr"")"),"नायट्रोजन डायऑक्साइडचा मुख्य आरोग्यावर परिणाम श्वसन प्रणालीवर होतो. मुलांनी नायट्रोजन डाय ऑक्साईड इनहेलेशन केल्याने श्वासोच्छवासाच्या संसर्गाचा धोका वाढतो आणि नंतरच्या आयुष्यात फुफ्फुसाचे कार्य खराब होऊ शकते.")</f>
        <v>नायट्रोजन डायऑक्साइडचा मुख्य आरोग्यावर परिणाम श्वसन प्रणालीवर होतो. मुलांनी नायट्रोजन डाय ऑक्साईड इनहेलेशन केल्याने श्वासोच्छवासाच्या संसर्गाचा धोका वाढतो आणि नंतरच्या आयुष्यात फुफ्फुसाचे कार्य खराब होऊ शकते.</v>
      </c>
      <c r="AS228" s="7" t="str">
        <f>IFERROR(__xludf.DUMMYFUNCTION("GoogleTranslate(C228, ""en"", ""mn"")"),"Азотын давхар ислийн эрүүл мэндэд үзүүлэх гол нөлөө нь амьсгалын тогтолцоонд нөлөөлдөг. Хүүхдүүд азотын давхар ислээр амьсгалах нь амьсгалын замын халдвар авах эрсдэлийг нэмэгдүүлж, хожуу насандаа уушигны үйл ажиллагаа мууддаг.")</f>
        <v>Азотын давхар ислийн эрүүл мэндэд үзүүлэх гол нөлөө нь амьсгалын тогтолцоонд нөлөөлдөг. Хүүхдүүд азотын давхар ислээр амьсгалах нь амьсгалын замын халдвар авах эрсдэлийг нэмэгдүүлж, хожуу насандаа уушигны үйл ажиллагаа мууддаг.</v>
      </c>
      <c r="AT228" s="7" t="str">
        <f>IFERROR(__xludf.DUMMYFUNCTION("GoogleTranslate(C228, ""en"", ""ne"")"),"नाइट्रोजन डाइअक्साइडको मुख्य स्वास्थ्य प्रभाव श्वासप्रश्वास प्रणालीमा पर्छ। बच्चाहरु द्वारा नाइट्रोजन डाइअक्साइड को सास मा श्वासप्रश्वास संक्रमण को जोखिम बढ्छ र पछि जीवन मा गरीब फोक्सो को कार्य को नेतृत्व गर्न सक्छ।")</f>
        <v>नाइट्रोजन डाइअक्साइडको मुख्य स्वास्थ्य प्रभाव श्वासप्रश्वास प्रणालीमा पर्छ। बच्चाहरु द्वारा नाइट्रोजन डाइअक्साइड को सास मा श्वासप्रश्वास संक्रमण को जोखिम बढ्छ र पछि जीवन मा गरीब फोक्सो को कार्य को नेतृत्व गर्न सक्छ।</v>
      </c>
      <c r="AU228" s="7" t="str">
        <f>IFERROR(__xludf.DUMMYFUNCTION("GoogleTranslate(C228, ""en"", ""nb"")"),"Den viktigste helseeffekten av nitrogendioksid er på luftveiene. Innånding av nitrogendioksid av barn øker risikoen for luftveisinfeksjon og kan føre til dårligere lungefunksjon senere i livet.")</f>
        <v>Den viktigste helseeffekten av nitrogendioksid er på luftveiene. Innånding av nitrogendioksid av barn øker risikoen for luftveisinfeksjon og kan føre til dårligere lungefunksjon senere i livet.</v>
      </c>
      <c r="AV228" s="7" t="str">
        <f>IFERROR(__xludf.DUMMYFUNCTION("GoogleTranslate(C228, ""en"", ""fa"")"),"اثر اصلی دی اکسید نیتروژن بر سلامت دستگاه تنفسی است. استنشاق دی اکسید نیتروژن توسط کودکان خطر ابتلا به عفونت تنفسی را افزایش می دهد و ممکن است منجر به عملکرد ضعیف ریه در زندگی بعدی شود.")</f>
        <v>اثر اصلی دی اکسید نیتروژن بر سلامت دستگاه تنفسی است. استنشاق دی اکسید نیتروژن توسط کودکان خطر ابتلا به عفونت تنفسی را افزایش می دهد و ممکن است منجر به عملکرد ضعیف ریه در زندگی بعدی شود.</v>
      </c>
      <c r="AW228" s="7" t="str">
        <f>IFERROR(__xludf.DUMMYFUNCTION("GoogleTranslate(C228, ""en"", ""pl"")"),"Główny wpływ dwutlenku azotu na zdrowie dotyczy układu oddechowego. Wdychanie dwutlenku azotu przez dzieci zwiększa ryzyko infekcji dróg oddechowych i może prowadzić do gorszej czynności płuc w późniejszym życiu.")</f>
        <v>Główny wpływ dwutlenku azotu na zdrowie dotyczy układu oddechowego. Wdychanie dwutlenku azotu przez dzieci zwiększa ryzyko infekcji dróg oddechowych i może prowadzić do gorszej czynności płuc w późniejszym życiu.</v>
      </c>
      <c r="AX228" s="7" t="str">
        <f>IFERROR(__xludf.DUMMYFUNCTION("GoogleTranslate(C228, ""en"", ""pt"")"),"O principal efeito do dióxido de nitrogênio na saúde ocorre no sistema respiratório. A inalação de dióxido de nitrogênio por crianças aumenta o risco de infecção respiratória e pode levar a uma pior função pulmonar mais tarde na vida.")</f>
        <v>O principal efeito do dióxido de nitrogênio na saúde ocorre no sistema respiratório. A inalação de dióxido de nitrogênio por crianças aumenta o risco de infecção respiratória e pode levar a uma pior função pulmonar mais tarde na vida.</v>
      </c>
      <c r="AY228" s="7" t="str">
        <f>IFERROR(__xludf.DUMMYFUNCTION("GoogleTranslate(C228, ""en"", ""ro"")"),"Principalul efect asupra sănătății al dioxidului de azot este asupra sistemului respirator. Inhalarea dioxidului de azot de către copii crește riscul lor de infecție respiratorie și poate duce la o funcționare mai slabă a plămânilor mai târziu în viață.")</f>
        <v>Principalul efect asupra sănătății al dioxidului de azot este asupra sistemului respirator. Inhalarea dioxidului de azot de către copii crește riscul lor de infecție respiratorie și poate duce la o funcționare mai slabă a plămânilor mai târziu în viață.</v>
      </c>
      <c r="AZ228" s="7" t="str">
        <f>IFERROR(__xludf.DUMMYFUNCTION("GoogleTranslate(C228, ""en"", ""ru"")"),"Основное воздействие диоксида азота на здоровье оказывается на дыхательную систему. Вдыхание диоксида азота детьми увеличивает риск респираторных инфекций и может привести к ухудшению функции легких в дальнейшей жизни.")</f>
        <v>Основное воздействие диоксида азота на здоровье оказывается на дыхательную систему. Вдыхание диоксида азота детьми увеличивает риск респираторных инфекций и может привести к ухудшению функции легких в дальнейшей жизни.</v>
      </c>
      <c r="BA228" s="7" t="str">
        <f>IFERROR(__xludf.DUMMYFUNCTION("GoogleTranslate(C228, ""en"", ""sr"")"),"Главни здравствени ефекат азот-диоксида је на респираторни систем. Удисање азот-диоксида код деце повећава ризик од респираторне инфекције и може довести до слабије функције плућа у каснијем животу.")</f>
        <v>Главни здравствени ефекат азот-диоксида је на респираторни систем. Удисање азот-диоксида код деце повећава ризик од респираторне инфекције и може довести до слабије функције плућа у каснијем животу.</v>
      </c>
      <c r="BB228" s="7" t="str">
        <f>IFERROR(__xludf.DUMMYFUNCTION("GoogleTranslate(C228, ""en"", ""si"")"),"නයිට්‍රජන් ඩයොක්සයිඩ් වල ප්‍රධාන සෞඛ්‍ය බලපෑම වන්නේ ශ්වසන පද්ධතියටයි. ළමුන් විසින් නයිට්‍රජන් ඩයොක්සයිඩ් ආශ්වාස කිරීම ඔවුන්ගේ ශ්වසන ආසාදන අවදානම වැඩි කරන අතර පසුකාලීන ජීවිතයේ පෙනහළු ක්‍රියාකාරිත්වය දුර්වල වීමට හේතු විය හැක.")</f>
        <v>නයිට්‍රජන් ඩයොක්සයිඩ් වල ප්‍රධාන සෞඛ්‍ය බලපෑම වන්නේ ශ්වසන පද්ධතියටයි. ළමුන් විසින් නයිට්‍රජන් ඩයොක්සයිඩ් ආශ්වාස කිරීම ඔවුන්ගේ ශ්වසන ආසාදන අවදානම වැඩි කරන අතර පසුකාලීන ජීවිතයේ පෙනහළු ක්‍රියාකාරිත්වය දුර්වල වීමට හේතු විය හැක.</v>
      </c>
      <c r="BC228" s="7" t="str">
        <f>IFERROR(__xludf.DUMMYFUNCTION("GoogleTranslate(C228, ""en"", ""sk"")"),"Hlavný zdravotný účinok oxidu dusičitého je na dýchací systém. Inhalácia oxidu dusičitého deťmi zvyšuje riziko infekcie dýchacích ciest a môže viesť k zhoršeniu funkcie pľúc v neskoršom veku.")</f>
        <v>Hlavný zdravotný účinok oxidu dusičitého je na dýchací systém. Inhalácia oxidu dusičitého deťmi zvyšuje riziko infekcie dýchacích ciest a môže viesť k zhoršeniu funkcie pľúc v neskoršom veku.</v>
      </c>
      <c r="BD228" s="7" t="str">
        <f>IFERROR(__xludf.DUMMYFUNCTION("GoogleTranslate(C228, ""en"", ""sl"")"),"Glavni učinek dušikovega dioksida na zdravje je na dihala. Vdihavanje dušikovega dioksida pri otrocih poveča tveganje za okužbo dihal in lahko povzroči slabše delovanje pljuč v poznejšem življenju.")</f>
        <v>Glavni učinek dušikovega dioksida na zdravje je na dihala. Vdihavanje dušikovega dioksida pri otrocih poveča tveganje za okužbo dihal in lahko povzroči slabše delovanje pljuč v poznejšem življenju.</v>
      </c>
      <c r="BE228" s="7" t="str">
        <f>IFERROR(__xludf.DUMMYFUNCTION("GoogleTranslate(C228, ""en"", ""es"")"),"El principal efecto del dióxido de nitrógeno sobre la salud se produce en el sistema respiratorio. La inhalación de dióxido de nitrógeno por parte de los niños aumenta su riesgo de infección respiratoria y puede provocar una función pulmonar más deficient"&amp;"e en el futuro.")</f>
        <v>El principal efecto del dióxido de nitrógeno sobre la salud se produce en el sistema respiratorio. La inhalación de dióxido de nitrógeno por parte de los niños aumenta su riesgo de infección respiratoria y puede provocar una función pulmonar más deficiente en el futuro.</v>
      </c>
      <c r="BF228" s="7" t="str">
        <f>IFERROR(__xludf.DUMMYFUNCTION("GoogleTranslate(C228, ""en"", ""sw"")"),"Athari kuu ya afya ya dioksidi ya nitrojeni iko kwenye mfumo wa kupumua. Kuvuta pumzi ya dioksidi ya nitrojeni kwa watoto huongeza hatari ya kupata maambukizi ya njia ya upumuaji na kunaweza kusababisha utendaji mbaya wa mapafu katika maisha ya baadaye.")</f>
        <v>Athari kuu ya afya ya dioksidi ya nitrojeni iko kwenye mfumo wa kupumua. Kuvuta pumzi ya dioksidi ya nitrojeni kwa watoto huongeza hatari ya kupata maambukizi ya njia ya upumuaji na kunaweza kusababisha utendaji mbaya wa mapafu katika maisha ya baadaye.</v>
      </c>
      <c r="BG228" s="7" t="str">
        <f>IFERROR(__xludf.DUMMYFUNCTION("GoogleTranslate(C228, ""en"", ""sv"")"),"Den huvudsakliga hälsoeffekten av kvävedioxid är på andningsorganen. Inandning av kvävedioxid av barn ökar risken för luftvägsinfektion och kan leda till sämre lungfunktion senare i livet.")</f>
        <v>Den huvudsakliga hälsoeffekten av kvävedioxid är på andningsorganen. Inandning av kvävedioxid av barn ökar risken för luftvägsinfektion och kan leda till sämre lungfunktion senare i livet.</v>
      </c>
      <c r="BH228" s="7" t="str">
        <f>IFERROR(__xludf.DUMMYFUNCTION("GoogleTranslate(C228, ""en"", ""te"")"),"నైట్రోజన్ డయాక్సైడ్ యొక్క ప్రధాన ఆరోగ్య ప్రభావం శ్వాసకోశ వ్యవస్థపై ఉంటుంది. పిల్లలు నైట్రోజన్ డయాక్సైడ్ పీల్చడం వల్ల వారి శ్వాసకోశ సంక్రమణ ప్రమాదాన్ని పెంచుతుంది మరియు తరువాతి జీవితంలో ఊపిరితిత్తుల పనితీరు బలహీనపడవచ్చు.")</f>
        <v>నైట్రోజన్ డయాక్సైడ్ యొక్క ప్రధాన ఆరోగ్య ప్రభావం శ్వాసకోశ వ్యవస్థపై ఉంటుంది. పిల్లలు నైట్రోజన్ డయాక్సైడ్ పీల్చడం వల్ల వారి శ్వాసకోశ సంక్రమణ ప్రమాదాన్ని పెంచుతుంది మరియు తరువాతి జీవితంలో ఊపిరితిత్తుల పనితీరు బలహీనపడవచ్చు.</v>
      </c>
      <c r="BI228" s="7" t="str">
        <f>IFERROR(__xludf.DUMMYFUNCTION("GoogleTranslate(C228, ""en"", ""th"")"),"ผลกระทบต่อสุขภาพที่สำคัญของไนโตรเจนไดออกไซด์อยู่ที่ระบบทางเดินหายใจ การสูดดมไนโตรเจนไดออกไซด์โดยเด็กจะเพิ่มความเสี่ยงต่อการติดเชื้อทางเดินหายใจ และอาจส่งผลให้การทำงานของปอดแย่ลงในชีวิตบั้นปลาย")</f>
        <v>ผลกระทบต่อสุขภาพที่สำคัญของไนโตรเจนไดออกไซด์อยู่ที่ระบบทางเดินหายใจ การสูดดมไนโตรเจนไดออกไซด์โดยเด็กจะเพิ่มความเสี่ยงต่อการติดเชื้อทางเดินหายใจ และอาจส่งผลให้การทำงานของปอดแย่ลงในชีวิตบั้นปลาย</v>
      </c>
      <c r="BJ228" s="7" t="str">
        <f>IFERROR(__xludf.DUMMYFUNCTION("GoogleTranslate(C228, ""en"", ""tr"")"),"Nitrojen dioksitin sağlık üzerindeki ana etkisi solunum sistemi üzerindedir. Nitrojen dioksitin çocuklar tarafından solunması, solunum yolu enfeksiyonu riskini artırır ve daha sonraki yaşamda akciğer fonksiyonlarının zayıflamasına neden olabilir.")</f>
        <v>Nitrojen dioksitin sağlık üzerindeki ana etkisi solunum sistemi üzerindedir. Nitrojen dioksitin çocuklar tarafından solunması, solunum yolu enfeksiyonu riskini artırır ve daha sonraki yaşamda akciğer fonksiyonlarının zayıflamasına neden olabilir.</v>
      </c>
      <c r="BK228" s="7" t="str">
        <f>IFERROR(__xludf.DUMMYFUNCTION("GoogleTranslate(C228, ""en"", ""uk"")"),"Основний вплив діоксиду азоту на здоров'я - на дихальну систему. Вдихання діоксиду азоту дітьми підвищує ризик респіраторних інфекцій і може призвести до погіршення функції легенів у подальшому житті.")</f>
        <v>Основний вплив діоксиду азоту на здоров'я - на дихальну систему. Вдихання діоксиду азоту дітьми підвищує ризик респіраторних інфекцій і може призвести до погіршення функції легенів у подальшому житті.</v>
      </c>
      <c r="BL228" s="7" t="str">
        <f>IFERROR(__xludf.DUMMYFUNCTION("GoogleTranslate(C228, ""en"", ""zu"")"),"Umthelela omkhulu wezempilo we-nitrogen dioxide usesimiso sokuphefumula. Ukuhogela izingane nge-nitrogen dioxide kwandisa ingozi yazo yokutheleleka ngokuphefumula futhi kungase kuholele ekusebenzeni kabi kwamaphaphu lapho sezikhulile.")</f>
        <v>Umthelela omkhulu wezempilo we-nitrogen dioxide usesimiso sokuphefumula. Ukuhogela izingane nge-nitrogen dioxide kwandisa ingozi yazo yokutheleleka ngokuphefumula futhi kungase kuholele ekusebenzeni kabi kwamaphaphu lapho sezikhulile.</v>
      </c>
    </row>
    <row r="229">
      <c r="A229" s="5" t="str">
        <f t="shared" si="1"/>
        <v>Breathing_air_with_a_high_concentration_of_CO_reduces_the_amount_of_oxygen_that_can_be_transported_in_the_blood_stream_to_critical_organs_like_the_heart_and_brain._At_very_high_levels,_which_are_possible_indoors_or_in_other_enclosed_environments,_CO_can_cause_dizziness,_confusion,_unconsciousness_and_death.</v>
      </c>
      <c r="B229" s="4" t="s">
        <v>272</v>
      </c>
      <c r="C229" s="4" t="s">
        <v>272</v>
      </c>
      <c r="D229" s="7" t="str">
        <f>IFERROR(__xludf.DUMMYFUNCTION("GoogleTranslate(C229, ""en"", ""es"")"),"Respirar aire con una alta concentración de CO reduce la cantidad de oxígeno que puede transportarse en el torrente sanguíneo a órganos críticos como el corazón y el cerebro. En niveles muy altos, que son posibles en interiores o en otros ambientes cerrad"&amp;"os, el CO puede causar mareos, confusión, pérdida del conocimiento y la muerte.")</f>
        <v>Respirar aire con una alta concentración de CO reduce la cantidad de oxígeno que puede transportarse en el torrente sanguíneo a órganos críticos como el corazón y el cerebro. En niveles muy altos, que son posibles en interiores o en otros ambientes cerrados, el CO puede causar mareos, confusión, pérdida del conocimiento y la muerte.</v>
      </c>
      <c r="E229" s="7" t="str">
        <f>IFERROR(__xludf.DUMMYFUNCTION("GoogleTranslate(C229, ""en"", ""ar"")"),"إن استنشاق الهواء الذي يحتوي على نسبة عالية من ثاني أكسيد الكربون يقلل من كمية الأكسجين التي يمكن نقلها في مجرى الدم إلى الأعضاء الحيوية مثل القلب والدماغ. عند المستويات العالية جدًا، والتي يمكن حدوثها في الداخل أو في بيئات مغلقة أخرى، يمكن أن يسبب ثاني أ"&amp;"كسيد الكربون الدوخة والارتباك وفقدان الوعي والموت.")</f>
        <v>إن استنشاق الهواء الذي يحتوي على نسبة عالية من ثاني أكسيد الكربون يقلل من كمية الأكسجين التي يمكن نقلها في مجرى الدم إلى الأعضاء الحيوية مثل القلب والدماغ. عند المستويات العالية جدًا، والتي يمكن حدوثها في الداخل أو في بيئات مغلقة أخرى، يمكن أن يسبب ثاني أكسيد الكربون الدوخة والارتباك وفقدان الوعي والموت.</v>
      </c>
      <c r="F229" s="7" t="str">
        <f>IFERROR(__xludf.DUMMYFUNCTION("GoogleTranslate(C229, ""en"", ""hy"")"),"CO-ի բարձր կոնցենտրացիայով օդ շնչելը նվազեցնում է թթվածնի քանակությունը, որը կարող է արյան հոսքով տեղափոխվել կարևոր օրգաններ, ինչպիսիք են սիրտը և ուղեղը: Շատ բարձր մակարդակներում, որոնք հնարավոր են ներսում կամ այլ փակ միջավայրերում, CO-ն կարող է առաջացնել"&amp;" գլխապտույտ, շփոթություն, ուշագնացություն և մահ:")</f>
        <v>CO-ի բարձր կոնցենտրացիայով օդ շնչելը նվազեցնում է թթվածնի քանակությունը, որը կարող է արյան հոսքով տեղափոխվել կարևոր օրգաններ, ինչպիսիք են սիրտը և ուղեղը: Շատ բարձր մակարդակներում, որոնք հնարավոր են ներսում կամ այլ փակ միջավայրերում, CO-ն կարող է առաջացնել գլխապտույտ, շփոթություն, ուշագնացություն և մահ:</v>
      </c>
      <c r="G229" s="7" t="str">
        <f>IFERROR(__xludf.DUMMYFUNCTION("GoogleTranslate(C229, ""en"", ""vi"")"),"Hít thở không khí có nồng độ CO cao sẽ làm giảm lượng oxy được vận chuyển trong máu đến các cơ quan quan trọng như tim và não. Ở mức rất cao, có thể xảy ra trong nhà hoặc trong các môi trường khép kín khác, CO có thể gây chóng mặt, lú lẫn, bất tỉnh và tử "&amp;"vong.")</f>
        <v>Hít thở không khí có nồng độ CO cao sẽ làm giảm lượng oxy được vận chuyển trong máu đến các cơ quan quan trọng như tim và não. Ở mức rất cao, có thể xảy ra trong nhà hoặc trong các môi trường khép kín khác, CO có thể gây chóng mặt, lú lẫn, bất tỉnh và tử vong.</v>
      </c>
      <c r="H229" s="7" t="str">
        <f>IFERROR(__xludf.DUMMYFUNCTION("GoogleTranslate(C229, ""en"", ""az"")"),"Yüksək CO konsentrasiyası olan havanın nəfəs alması qan axını ilə ürək və beyin kimi kritik orqanlara daşına bilən oksigenin miqdarını azaldır. Daxili və ya digər qapalı mühitlərdə mümkün olan çox yüksək səviyyələrdə CO başgicəllənmə, çaşqınlıq, huşsuzluq"&amp;" və ölümə səbəb ola bilər.")</f>
        <v>Yüksək CO konsentrasiyası olan havanın nəfəs alması qan axını ilə ürək və beyin kimi kritik orqanlara daşına bilən oksigenin miqdarını azaldır. Daxili və ya digər qapalı mühitlərdə mümkün olan çox yüksək səviyyələrdə CO başgicəllənmə, çaşqınlıq, huşsuzluq və ölümə səbəb ola bilər.</v>
      </c>
      <c r="I229" s="7" t="str">
        <f>IFERROR(__xludf.DUMMYFUNCTION("GoogleTranslate(C229, ""en"", ""eu"")"),"CO kontzentrazio handia duen airea arnastea odolean bihotza eta garuna bezalako organo kritikoetara garraiatu daitekeen oxigeno kopurua murrizten du. Maila oso altuetan, barrualdean edo beste ingurune itxietan posible direnak, COk zorabioak, nahasmena, ko"&amp;"nortegabetasuna eta heriotza eragin ditzake.")</f>
        <v>CO kontzentrazio handia duen airea arnastea odolean bihotza eta garuna bezalako organo kritikoetara garraiatu daitekeen oxigeno kopurua murrizten du. Maila oso altuetan, barrualdean edo beste ingurune itxietan posible direnak, COk zorabioak, nahasmena, konortegabetasuna eta heriotza eragin ditzake.</v>
      </c>
      <c r="J229" s="7" t="str">
        <f>IFERROR(__xludf.DUMMYFUNCTION("GoogleTranslate(C229, ""en"", ""be"")"),"Удыханне паветра з высокай канцэнтрацыяй CO памяншае колькасць кіслароду, які можа транспартавацца крывёю да важных органаў, такіх як сэрца і мозг. Пры вельмі высокіх узроўнях, якія магчымы ў памяшканні або ў іншых закрытых памяшканнях, CO можа выклікаць "&amp;"галавакружэнне, спутанность свядомасці, страту прытомнасці і смерць.")</f>
        <v>Удыханне паветра з высокай канцэнтрацыяй CO памяншае колькасць кіслароду, які можа транспартавацца крывёю да важных органаў, такіх як сэрца і мозг. Пры вельмі высокіх узроўнях, якія магчымы ў памяшканні або ў іншых закрытых памяшканнях, CO можа выклікаць галавакружэнне, спутанность свядомасці, страту прытомнасці і смерць.</v>
      </c>
      <c r="K229" s="7" t="str">
        <f>IFERROR(__xludf.DUMMYFUNCTION("GoogleTranslate(C229, ""en"", ""bn"")"),"CO-এর উচ্চ ঘনত্বের সাথে শ্বাস-প্রশ্বাসের বায়ু অক্সিজেনের পরিমাণ হ্রাস করে যা রক্তের প্রবাহে হৃদয় এবং মস্তিষ্কের মতো গুরুত্বপূর্ণ অঙ্গগুলিতে পরিবাহিত হতে পারে। খুব উচ্চ স্তরে, যা বাড়ির ভিতরে বা অন্যান্য আবদ্ধ পরিবেশে সম্ভব, CO মাথা ঘোরা, বিভ্রান্তি, অচে"&amp;"তনতা এবং মৃত্যুর কারণ হতে পারে।")</f>
        <v>CO-এর উচ্চ ঘনত্বের সাথে শ্বাস-প্রশ্বাসের বায়ু অক্সিজেনের পরিমাণ হ্রাস করে যা রক্তের প্রবাহে হৃদয় এবং মস্তিষ্কের মতো গুরুত্বপূর্ণ অঙ্গগুলিতে পরিবাহিত হতে পারে। খুব উচ্চ স্তরে, যা বাড়ির ভিতরে বা অন্যান্য আবদ্ধ পরিবেশে সম্ভব, CO মাথা ঘোরা, বিভ্রান্তি, অচেতনতা এবং মৃত্যুর কারণ হতে পারে।</v>
      </c>
      <c r="L229" s="7" t="str">
        <f>IFERROR(__xludf.DUMMYFUNCTION("GoogleTranslate(C229, ""en"", ""bg"")"),"Вдишването на въздух с висока концентрация на CO намалява количеството кислород, което може да се транспортира в кръвния поток до критични органи като сърцето и мозъка. При много високи нива, които са възможни на закрито или в други затворени среди, CO мо"&amp;"же да причини замайване, объркване, безсъзнание и смърт.")</f>
        <v>Вдишването на въздух с висока концентрация на CO намалява количеството кислород, което може да се транспортира в кръвния поток до критични органи като сърцето и мозъка. При много високи нива, които са възможни на закрито или в други затворени среди, CO може да причини замайване, объркване, безсъзнание и смърт.</v>
      </c>
      <c r="M229" s="7" t="str">
        <f>IFERROR(__xludf.DUMMYFUNCTION("GoogleTranslate(C229, ""en"", ""my"")"),"CO ပမာဏမြင့်မားစွာ ရှူရှိုက်ရသောလေသည် နှလုံးနှင့် ဦးနှောက်ကဲ့သို့ အရေးကြီးသော အင်္ဂါများဆီသို့ ပို့ဆောင်နိုင်သည့် အောက်ဆီဂျင်ပမာဏကို လျော့နည်းစေသည်။ အိမ်တွင်း သို့မဟုတ် အခြားအလုံပိတ်ပတ်ဝန်းကျင်များတွင် ဖြစ်နိုင်သည့် အလွန်မြင့်မားသောအဆင့်တွင် CO သည် မူးဝေခ"&amp;"ြင်း၊ စိတ်ရှုပ်ထွေးခြင်း၊ သတိလစ်ခြင်းနှင့် သေဆုံးခြင်းတို့ကို ဖြစ်စေနိုင်သည်။")</f>
        <v>CO ပမာဏမြင့်မားစွာ ရှူရှိုက်ရသောလေသည် နှလုံးနှင့် ဦးနှောက်ကဲ့သို့ အရေးကြီးသော အင်္ဂါများဆီသို့ ပို့ဆောင်နိုင်သည့် အောက်ဆီဂျင်ပမာဏကို လျော့နည်းစေသည်။ အိမ်တွင်း သို့မဟုတ် အခြားအလုံပိတ်ပတ်ဝန်းကျင်များတွင် ဖြစ်နိုင်သည့် အလွန်မြင့်မားသောအဆင့်တွင် CO သည် မူးဝေခြင်း၊ စိတ်ရှုပ်ထွေးခြင်း၊ သတိလစ်ခြင်းနှင့် သေဆုံးခြင်းတို့ကို ဖြစ်စေနိုင်သည်။</v>
      </c>
      <c r="N229" s="7" t="str">
        <f>IFERROR(__xludf.DUMMYFUNCTION("GoogleTranslate(C229, ""en"", ""ca"")"),"Respirar aire amb una alta concentració de CO redueix la quantitat d'oxigen que es pot transportar al torrent sanguini a òrgans crítics com el cor i el cervell. A nivells molt elevats, que són possibles a l'interior o en altres ambients tancats, el CO pot"&amp;" provocar marejos, confusió, inconsciència i la mort.")</f>
        <v>Respirar aire amb una alta concentració de CO redueix la quantitat d'oxigen que es pot transportar al torrent sanguini a òrgans crítics com el cor i el cervell. A nivells molt elevats, que són possibles a l'interior o en altres ambients tancats, el CO pot provocar marejos, confusió, inconsciència i la mort.</v>
      </c>
      <c r="O229" s="7" t="str">
        <f>IFERROR(__xludf.DUMMYFUNCTION("GoogleTranslate(C229, ""en"", ""zh-cn"")"),"呼吸高浓度二氧化碳的空气会减少血液中输送到心脏和大脑等关键器官的氧气量。在室内或其他封闭环境中，二氧化碳浓度可能很高，会导致头晕、神志不清、失去知觉和死亡。")</f>
        <v>呼吸高浓度二氧化碳的空气会减少血液中输送到心脏和大脑等关键器官的氧气量。在室内或其他封闭环境中，二氧化碳浓度可能很高，会导致头晕、神志不清、失去知觉和死亡。</v>
      </c>
      <c r="P229" s="7" t="str">
        <f>IFERROR(__xludf.DUMMYFUNCTION("GoogleTranslate(C229, ""en"", ""zh-TW"")"),"呼吸高濃度二氧化碳的空氣會減少血液中輸送到心臟和大腦等關鍵器官的氧氣量。在室內或其他封閉環境中，二氧化碳濃度可能很高，會導致頭暈、神智不清、失去知覺和死亡。")</f>
        <v>呼吸高濃度二氧化碳的空氣會減少血液中輸送到心臟和大腦等關鍵器官的氧氣量。在室內或其他封閉環境中，二氧化碳濃度可能很高，會導致頭暈、神智不清、失去知覺和死亡。</v>
      </c>
      <c r="Q229" s="7" t="str">
        <f>IFERROR(__xludf.DUMMYFUNCTION("GoogleTranslate(C229, ""en"", ""hr"")"),"Udisanje zraka s visokom koncentracijom CO smanjuje količinu kisika koja se krvotokom može prenijeti do kritičnih organa poput srca i mozga. Pri vrlo visokim razinama, koje su moguće u zatvorenim prostorima ili drugim zatvorenim prostorima, CO može uzroko"&amp;"vati vrtoglavicu, zbunjenost, nesvjesticu i smrt.")</f>
        <v>Udisanje zraka s visokom koncentracijom CO smanjuje količinu kisika koja se krvotokom može prenijeti do kritičnih organa poput srca i mozga. Pri vrlo visokim razinama, koje su moguće u zatvorenim prostorima ili drugim zatvorenim prostorima, CO može uzrokovati vrtoglavicu, zbunjenost, nesvjesticu i smrt.</v>
      </c>
      <c r="R229" s="7" t="str">
        <f>IFERROR(__xludf.DUMMYFUNCTION("GoogleTranslate(C229, ""en"", ""cs"")"),"Dýchání vzduchu s vysokou koncentrací CO snižuje množství kyslíku, které může být transportováno v krevním řečišti do kritických orgánů, jako je srdce a mozek. Při velmi vysokých hladinách, které jsou možné uvnitř nebo v jiných uzavřených prostředích, můž"&amp;"e CO způsobit závratě, zmatenost, bezvědomí a smrt.")</f>
        <v>Dýchání vzduchu s vysokou koncentrací CO snižuje množství kyslíku, které může být transportováno v krevním řečišti do kritických orgánů, jako je srdce a mozek. Při velmi vysokých hladinách, které jsou možné uvnitř nebo v jiných uzavřených prostředích, může CO způsobit závratě, zmatenost, bezvědomí a smrt.</v>
      </c>
      <c r="S229" s="7" t="str">
        <f>IFERROR(__xludf.DUMMYFUNCTION("GoogleTranslate(C229, ""en"", ""da"")"),"Indånding af luft med en høj koncentration af CO reducerer mængden af ​​ilt, der kan transporteres i blodbanen til kritiske organer som hjertet og hjernen. Ved meget høje niveauer, som er mulige indendørs eller i andre lukkede omgivelser, kan CO forårsage"&amp;" svimmelhed, forvirring, bevidstløshed og død.")</f>
        <v>Indånding af luft med en høj koncentration af CO reducerer mængden af ​​ilt, der kan transporteres i blodbanen til kritiske organer som hjertet og hjernen. Ved meget høje niveauer, som er mulige indendørs eller i andre lukkede omgivelser, kan CO forårsage svimmelhed, forvirring, bevidstløshed og død.</v>
      </c>
      <c r="T229" s="7" t="str">
        <f>IFERROR(__xludf.DUMMYFUNCTION("GoogleTranslate(C229, ""en"", ""nl"")"),"Het inademen van lucht met een hoge CO-concentratie vermindert de hoeveelheid zuurstof die in de bloedbaan naar kritische organen zoals het hart en de hersenen kan worden getransporteerd. Op zeer hoge niveaus, wat mogelijk is binnenshuis of in andere besl"&amp;"oten omgevingen, kan CO duizeligheid, verwarring, bewusteloosheid en de dood veroorzaken.")</f>
        <v>Het inademen van lucht met een hoge CO-concentratie vermindert de hoeveelheid zuurstof die in de bloedbaan naar kritische organen zoals het hart en de hersenen kan worden getransporteerd. Op zeer hoge niveaus, wat mogelijk is binnenshuis of in andere besloten omgevingen, kan CO duizeligheid, verwarring, bewusteloosheid en de dood veroorzaken.</v>
      </c>
      <c r="U229" s="7" t="str">
        <f>IFERROR(__xludf.DUMMYFUNCTION("GoogleTranslate(C229, ""en"", ""et"")"),"Kõrge CO kontsentratsiooniga õhu sissehingamine vähendab hapniku hulka, mida saab vereringes transportida kriitilistesse organitesse, nagu süda ja aju. Väga kõrgel tasemel, mis on võimalik siseruumides või muus suletud keskkonnas, võib CO põhjustada peari"&amp;"nglust, segadust, teadvusetust ja surma.")</f>
        <v>Kõrge CO kontsentratsiooniga õhu sissehingamine vähendab hapniku hulka, mida saab vereringes transportida kriitilistesse organitesse, nagu süda ja aju. Väga kõrgel tasemel, mis on võimalik siseruumides või muus suletud keskkonnas, võib CO põhjustada pearinglust, segadust, teadvusetust ja surma.</v>
      </c>
      <c r="V229" s="5" t="str">
        <f t="shared" si="3"/>
        <v>Breathing air with a high concentration of CO reduces the amount of oxygen that can be transported in the blood stream to critical organs like the heart and brain. At very high levels, which are possible indoors or in other enclosed environments, CO can cause dizziness, confusion, unconsciousness and death.</v>
      </c>
      <c r="W229" s="7" t="str">
        <f>IFERROR(__xludf.DUMMYFUNCTION("GoogleTranslate(C229, ""en"", ""fi"")"),"Korkean CO-pitoisuuden sisältävän ilman hengittäminen vähentää hapen määrää, joka voidaan kuljettaa verenkierrossa kriittisiin elimiin, kuten sydämeen ja aivoihin. Erittäin korkeilla pitoisuuksilla, jotka ovat mahdollisia sisätiloissa tai muissa suljetuis"&amp;"sa ympäristöissä, CO voi aiheuttaa huimausta, sekavuutta, tajuttomuutta ja kuoleman.")</f>
        <v>Korkean CO-pitoisuuden sisältävän ilman hengittäminen vähentää hapen määrää, joka voidaan kuljettaa verenkierrossa kriittisiin elimiin, kuten sydämeen ja aivoihin. Erittäin korkeilla pitoisuuksilla, jotka ovat mahdollisia sisätiloissa tai muissa suljetuissa ympäristöissä, CO voi aiheuttaa huimausta, sekavuutta, tajuttomuutta ja kuoleman.</v>
      </c>
      <c r="X229" s="7" t="str">
        <f>IFERROR(__xludf.DUMMYFUNCTION("GoogleTranslate(C229, ""en"", ""fr"")"),"Respirer de l'air avec une concentration élevée de CO réduit la quantité d'oxygène qui peut être transportée dans la circulation sanguine vers des organes critiques comme le cœur et le cerveau. À des niveaux très élevés, possibles à l'intérieur ou dans d'"&amp;"autres environnements clos, le CO peut provoquer des étourdissements, de la confusion, une perte de conscience et la mort.")</f>
        <v>Respirer de l'air avec une concentration élevée de CO réduit la quantité d'oxygène qui peut être transportée dans la circulation sanguine vers des organes critiques comme le cœur et le cerveau. À des niveaux très élevés, possibles à l'intérieur ou dans d'autres environnements clos, le CO peut provoquer des étourdissements, de la confusion, une perte de conscience et la mort.</v>
      </c>
      <c r="Y229" s="7" t="str">
        <f>IFERROR(__xludf.DUMMYFUNCTION("GoogleTranslate(C229, ""en"", ""de"")"),"Atemluft mit einer hohen CO-Konzentration verringert die Menge an Sauerstoff, die im Blutkreislauf zu wichtigen Organen wie Herz und Gehirn transportiert werden kann. Bei sehr hohen Konzentrationen, die in Innenräumen oder anderen geschlossenen Räumen mög"&amp;"lich sind, kann CO Schwindel, Verwirrtheit, Bewusstlosigkeit und Tod verursachen.")</f>
        <v>Atemluft mit einer hohen CO-Konzentration verringert die Menge an Sauerstoff, die im Blutkreislauf zu wichtigen Organen wie Herz und Gehirn transportiert werden kann. Bei sehr hohen Konzentrationen, die in Innenräumen oder anderen geschlossenen Räumen möglich sind, kann CO Schwindel, Verwirrtheit, Bewusstlosigkeit und Tod verursachen.</v>
      </c>
      <c r="Z229" s="7" t="str">
        <f>IFERROR(__xludf.DUMMYFUNCTION("GoogleTranslate(C229, ""en"", ""el"")"),"Η εισπνοή αέρα με υψηλή συγκέντρωση CO μειώνει την ποσότητα οξυγόνου που μπορεί να μεταφερθεί στην κυκλοφορία του αίματος σε κρίσιμα όργανα όπως η καρδιά και ο εγκέφαλος. Σε πολύ υψηλά επίπεδα, τα οποία είναι πιθανά σε εσωτερικούς ή σε άλλα κλειστά περιβά"&amp;"λλοντα, το CO μπορεί να προκαλέσει ζάλη, σύγχυση, απώλεια των αισθήσεων και θάνατο.")</f>
        <v>Η εισπνοή αέρα με υψηλή συγκέντρωση CO μειώνει την ποσότητα οξυγόνου που μπορεί να μεταφερθεί στην κυκλοφορία του αίματος σε κρίσιμα όργανα όπως η καρδιά και ο εγκέφαλος. Σε πολύ υψηλά επίπεδα, τα οποία είναι πιθανά σε εσωτερικούς ή σε άλλα κλειστά περιβάλλοντα, το CO μπορεί να προκαλέσει ζάλη, σύγχυση, απώλεια των αισθήσεων και θάνατο.</v>
      </c>
      <c r="AA229" s="7" t="str">
        <f>IFERROR(__xludf.DUMMYFUNCTION("GoogleTranslate(C229, ""en"", ""iw"")"),"נשימה של אוויר עם ריכוז גבוה של CO מפחיתה את כמות החמצן שניתן להעביר בזרם הדם לאיברים קריטיים כמו הלב והמוח. ברמות גבוהות מאוד, האפשריות בתוך הבית או בסביבות סגורות אחרות, CO עלול לגרום לסחרחורת, בלבול, חוסר הכרה ומוות.")</f>
        <v>נשימה של אוויר עם ריכוז גבוה של CO מפחיתה את כמות החמצן שניתן להעביר בזרם הדם לאיברים קריטיים כמו הלב והמוח. ברמות גבוהות מאוד, האפשריות בתוך הבית או בסביבות סגורות אחרות, CO עלול לגרום לסחרחורת, בלבול, חוסר הכרה ומוות.</v>
      </c>
      <c r="AB229" s="7" t="str">
        <f>IFERROR(__xludf.DUMMYFUNCTION("GoogleTranslate(C229, ""en"", ""hi"")"),"सीओ की उच्च सांद्रता वाली हवा में सांस लेने से ऑक्सीजन की मात्रा कम हो जाती है जिसे रक्त प्रवाह में हृदय और मस्तिष्क जैसे महत्वपूर्ण अंगों तक पहुंचाया जा सकता है। बहुत उच्च स्तर पर, जो घर के अंदर या अन्य बंद वातावरण में संभव है, सीओ चक्कर, भ्रम, बेहोशी और"&amp;" मृत्यु का कारण बन सकता है।")</f>
        <v>सीओ की उच्च सांद्रता वाली हवा में सांस लेने से ऑक्सीजन की मात्रा कम हो जाती है जिसे रक्त प्रवाह में हृदय और मस्तिष्क जैसे महत्वपूर्ण अंगों तक पहुंचाया जा सकता है। बहुत उच्च स्तर पर, जो घर के अंदर या अन्य बंद वातावरण में संभव है, सीओ चक्कर, भ्रम, बेहोशी और मृत्यु का कारण बन सकता है।</v>
      </c>
      <c r="AC229" s="7" t="str">
        <f>IFERROR(__xludf.DUMMYFUNCTION("GoogleTranslate(C229, ""en"", ""hu"")"),"A magas CO-koncentrációjú levegő belélegzése csökkenti a véráramban a kritikus szervekbe, például a szívbe és az agyba szállítható oxigén mennyiségét. Nagyon magas szinten, ami beltéren vagy más zárt környezetben lehetséges, a CO szédülést, zavartságot, e"&amp;"szméletvesztést és halált okozhat.")</f>
        <v>A magas CO-koncentrációjú levegő belélegzése csökkenti a véráramban a kritikus szervekbe, például a szívbe és az agyba szállítható oxigén mennyiségét. Nagyon magas szinten, ami beltéren vagy más zárt környezetben lehetséges, a CO szédülést, zavartságot, eszméletvesztést és halált okozhat.</v>
      </c>
      <c r="AD229" s="7" t="str">
        <f>IFERROR(__xludf.DUMMYFUNCTION("GoogleTranslate(C229, ""en"", ""is"")"),"Innöndun lofts með háum styrk CO dregur úr súrefnismagni sem hægt er að flytja í blóðrásinni til mikilvægra líffæra eins og hjarta og heila. Í mjög háu magni, sem er mögulegt innandyra eða í öðru lokuðu umhverfi, getur CO valdið sundli, rugli, meðvitundar"&amp;"leysi og dauða.")</f>
        <v>Innöndun lofts með háum styrk CO dregur úr súrefnismagni sem hægt er að flytja í blóðrásinni til mikilvægra líffæra eins og hjarta og heila. Í mjög háu magni, sem er mögulegt innandyra eða í öðru lokuðu umhverfi, getur CO valdið sundli, rugli, meðvitundarleysi og dauða.</v>
      </c>
      <c r="AE229" s="7" t="str">
        <f>IFERROR(__xludf.DUMMYFUNCTION("GoogleTranslate(C229, ""en"", ""id"")"),"Menghirup udara dengan konsentrasi CO yang tinggi mengurangi jumlah oksigen yang dapat diangkut dalam aliran darah ke organ penting seperti jantung dan otak. Pada tingkat yang sangat tinggi, yang mungkin terjadi di dalam ruangan atau di lingkungan tertutu"&amp;"p lainnya, CO dapat menyebabkan pusing, kebingungan, tidak sadarkan diri, dan kematian.")</f>
        <v>Menghirup udara dengan konsentrasi CO yang tinggi mengurangi jumlah oksigen yang dapat diangkut dalam aliran darah ke organ penting seperti jantung dan otak. Pada tingkat yang sangat tinggi, yang mungkin terjadi di dalam ruangan atau di lingkungan tertutup lainnya, CO dapat menyebabkan pusing, kebingungan, tidak sadarkan diri, dan kematian.</v>
      </c>
      <c r="AF229" s="7" t="str">
        <f>IFERROR(__xludf.DUMMYFUNCTION("GoogleTranslate(C229, ""en"", ""in"")"),"Menghirup udara dengan konsentrasi CO yang tinggi mengurangi jumlah oksigen yang dapat diangkut dalam aliran darah ke organ penting seperti jantung dan otak. Pada tingkat yang sangat tinggi, yang mungkin terjadi di dalam ruangan atau di lingkungan tertutu"&amp;"p lainnya, CO dapat menyebabkan pusing, kebingungan, tidak sadarkan diri, dan kematian.")</f>
        <v>Menghirup udara dengan konsentrasi CO yang tinggi mengurangi jumlah oksigen yang dapat diangkut dalam aliran darah ke organ penting seperti jantung dan otak. Pada tingkat yang sangat tinggi, yang mungkin terjadi di dalam ruangan atau di lingkungan tertutup lainnya, CO dapat menyebabkan pusing, kebingungan, tidak sadarkan diri, dan kematian.</v>
      </c>
      <c r="AG229" s="7" t="str">
        <f>IFERROR(__xludf.DUMMYFUNCTION("GoogleTranslate(C229, ""en"", ""it"")"),"Respirare aria con un’alta concentrazione di CO riduce la quantità di ossigeno che può essere trasportata nel flusso sanguigno verso organi critici come il cuore e il cervello. A livelli molto elevati, possibili all'interno o in altri ambienti chiusi, la "&amp;"CO può causare vertigini, confusione, perdita di coscienza e morte.")</f>
        <v>Respirare aria con un’alta concentrazione di CO riduce la quantità di ossigeno che può essere trasportata nel flusso sanguigno verso organi critici come il cuore e il cervello. A livelli molto elevati, possibili all'interno o in altri ambienti chiusi, la CO può causare vertigini, confusione, perdita di coscienza e morte.</v>
      </c>
      <c r="AH229" s="7" t="str">
        <f>IFERROR(__xludf.DUMMYFUNCTION("GoogleTranslate(C229, ""en"", ""ja"")"),"高濃度の二酸化炭素を含む空気を呼吸すると、血流に乗って心臓や脳などの重要な器官に輸送できる酸素の量が減少します。非常に高レベルの CO は、屋内やその他の密閉された環境で発生する可能性があり、めまい、混乱、意識不明、死亡を引き起こす可能性があります。")</f>
        <v>高濃度の二酸化炭素を含む空気を呼吸すると、血流に乗って心臓や脳などの重要な器官に輸送できる酸素の量が減少します。非常に高レベルの CO は、屋内やその他の密閉された環境で発生する可能性があり、めまい、混乱、意識不明、死亡を引き起こす可能性があります。</v>
      </c>
      <c r="AI229" s="7" t="str">
        <f>IFERROR(__xludf.DUMMYFUNCTION("GoogleTranslate(C229, ""en"", ""kn"")"),"CO ಯ ಹೆಚ್ಚಿನ ಸಾಂದ್ರತೆಯೊಂದಿಗೆ ಗಾಳಿಯನ್ನು ಉಸಿರಾಡುವುದು ರಕ್ತದ ಹರಿವಿನಲ್ಲಿ ಹೃದಯ ಮತ್ತು ಮೆದುಳಿನಂತಹ ನಿರ್ಣಾಯಕ ಅಂಗಗಳಿಗೆ ಸಾಗಿಸಬಹುದಾದ ಆಮ್ಲಜನಕದ ಪ್ರಮಾಣವನ್ನು ಕಡಿಮೆ ಮಾಡುತ್ತದೆ. ಹೆಚ್ಚಿನ ಮಟ್ಟದಲ್ಲಿ, ಒಳಾಂಗಣದಲ್ಲಿ ಅಥವಾ ಇತರ ಸುತ್ತುವರಿದ ವಾತಾವರಣದಲ್ಲಿ, CO ತಲೆತಿರುಗುವಿಕೆ, ಗೊಂದಲ, ಪ್ರಜ್ಞಾ"&amp;"ಹೀನತೆ ಮತ್ತು ಸಾವಿಗೆ ಕಾರಣವಾಗಬಹುದು.")</f>
        <v>CO ಯ ಹೆಚ್ಚಿನ ಸಾಂದ್ರತೆಯೊಂದಿಗೆ ಗಾಳಿಯನ್ನು ಉಸಿರಾಡುವುದು ರಕ್ತದ ಹರಿವಿನಲ್ಲಿ ಹೃದಯ ಮತ್ತು ಮೆದುಳಿನಂತಹ ನಿರ್ಣಾಯಕ ಅಂಗಗಳಿಗೆ ಸಾಗಿಸಬಹುದಾದ ಆಮ್ಲಜನಕದ ಪ್ರಮಾಣವನ್ನು ಕಡಿಮೆ ಮಾಡುತ್ತದೆ. ಹೆಚ್ಚಿನ ಮಟ್ಟದಲ್ಲಿ, ಒಳಾಂಗಣದಲ್ಲಿ ಅಥವಾ ಇತರ ಸುತ್ತುವರಿದ ವಾತಾವರಣದಲ್ಲಿ, CO ತಲೆತಿರುಗುವಿಕೆ, ಗೊಂದಲ, ಪ್ರಜ್ಞಾಹೀನತೆ ಮತ್ತು ಸಾವಿಗೆ ಕಾರಣವಾಗಬಹುದು.</v>
      </c>
      <c r="AJ229" s="7" t="str">
        <f>IFERROR(__xludf.DUMMYFUNCTION("GoogleTranslate(C229, ""en"", ""km"")"),"ការដកដង្ហើមតាមខ្យល់ដែលមានកំហាប់ខ្ពស់នៃ CO កាត់បន្ថយបរិមាណអុកស៊ីសែន ដែលអាចដឹកជញ្ជូនក្នុងចរន្តឈាមទៅកាន់សរីរាង្គសំខាន់ៗដូចជាបេះដូង និងខួរក្បាល។ នៅកម្រិតខ្ពស់បំផុត ដែលអាចធ្វើទៅបាននៅក្នុងផ្ទះ ឬក្នុងបរិយាកាសបិទជិតផ្សេងទៀត CO អាចបណ្តាលឱ្យវិលមុខ ច្របូកច្របល់ សន្ល"&amp;"ប់ និងស្លាប់។")</f>
        <v>ការដកដង្ហើមតាមខ្យល់ដែលមានកំហាប់ខ្ពស់នៃ CO កាត់បន្ថយបរិមាណអុកស៊ីសែន ដែលអាចដឹកជញ្ជូនក្នុងចរន្តឈាមទៅកាន់សរីរាង្គសំខាន់ៗដូចជាបេះដូង និងខួរក្បាល។ នៅកម្រិតខ្ពស់បំផុត ដែលអាចធ្វើទៅបាននៅក្នុងផ្ទះ ឬក្នុងបរិយាកាសបិទជិតផ្សេងទៀត CO អាចបណ្តាលឱ្យវិលមុខ ច្របូកច្របល់ សន្លប់ និងស្លាប់។</v>
      </c>
      <c r="AK229" s="7" t="str">
        <f>IFERROR(__xludf.DUMMYFUNCTION("GoogleTranslate(C229, ""en"", ""ko"")"),"CO 농도가 높은 공기를 호흡하면 혈류를 통해 심장이나 뇌와 같은 중요한 기관으로 운반될 수 있는 산소의 양이 줄어듭니다. 실내 또는 기타 밀폐된 환경에서 발생할 수 있는 매우 높은 수준의 CO는 현기증, 혼란, 의식 상실 및 사망을 유발할 수 있습니다.")</f>
        <v>CO 농도가 높은 공기를 호흡하면 혈류를 통해 심장이나 뇌와 같은 중요한 기관으로 운반될 수 있는 산소의 양이 줄어듭니다. 실내 또는 기타 밀폐된 환경에서 발생할 수 있는 매우 높은 수준의 CO는 현기증, 혼란, 의식 상실 및 사망을 유발할 수 있습니다.</v>
      </c>
      <c r="AL229" s="7" t="str">
        <f>IFERROR(__xludf.DUMMYFUNCTION("GoogleTranslate(C229, ""en"", ""lo"")"),"ການຫາຍໃຈທາງອາກາດທີ່ມີຄວາມເຂັ້ມຂຸ້ນຂອງ CO ສູງຈະຊ່ວຍຫຼຸດຜ່ອນປະລິມານອົກຊີເຈນທີ່ສາມາດຂົນສົ່ງໃນກະແສເລືອດໄປສູ່ອະໄວຍະວະທີ່ສໍາຄັນເຊັ່ນຫົວໃຈແລະສະຫມອງ. ໃນລະດັບທີ່ສູງຫຼາຍ, ເຊິ່ງເປັນໄປໄດ້ພາຍໃນເຮືອນຫຼືໃນສະພາບແວດລ້ອມປິດລ້ອມອື່ນໆ, CO ສາມາດເຮັດໃຫ້ເກີດອາການວິນຫົວ, ສັບສົນ,"&amp;" ເສຍສະຕິແລະເສຍຊີວິດ.")</f>
        <v>ການຫາຍໃຈທາງອາກາດທີ່ມີຄວາມເຂັ້ມຂຸ້ນຂອງ CO ສູງຈະຊ່ວຍຫຼຸດຜ່ອນປະລິມານອົກຊີເຈນທີ່ສາມາດຂົນສົ່ງໃນກະແສເລືອດໄປສູ່ອະໄວຍະວະທີ່ສໍາຄັນເຊັ່ນຫົວໃຈແລະສະຫມອງ. ໃນລະດັບທີ່ສູງຫຼາຍ, ເຊິ່ງເປັນໄປໄດ້ພາຍໃນເຮືອນຫຼືໃນສະພາບແວດລ້ອມປິດລ້ອມອື່ນໆ, CO ສາມາດເຮັດໃຫ້ເກີດອາການວິນຫົວ, ສັບສົນ, ເສຍສະຕິແລະເສຍຊີວິດ.</v>
      </c>
      <c r="AM229" s="7" t="str">
        <f>IFERROR(__xludf.DUMMYFUNCTION("GoogleTranslate(C229, ""en"", ""lv"")"),"Elpojot gaisu ar augstu CO koncentrāciju, samazinās skābekļa daudzums, kas var tikt transportēts asinsritē uz kritiskiem orgāniem, piemēram, sirdi un smadzenēm. Ļoti augstā līmenī, kas ir iespējams telpās vai citā slēgtā vidē, CO var izraisīt reiboni, apj"&amp;"ukumu, bezsamaņu un nāvi.")</f>
        <v>Elpojot gaisu ar augstu CO koncentrāciju, samazinās skābekļa daudzums, kas var tikt transportēts asinsritē uz kritiskiem orgāniem, piemēram, sirdi un smadzenēm. Ļoti augstā līmenī, kas ir iespējams telpās vai citā slēgtā vidē, CO var izraisīt reiboni, apjukumu, bezsamaņu un nāvi.</v>
      </c>
      <c r="AN229" s="7" t="str">
        <f>IFERROR(__xludf.DUMMYFUNCTION("GoogleTranslate(C229, ""en"", ""lt"")"),"Kvėpuojant oru, kuriame yra didelė CO koncentracija, sumažėja deguonies kiekis, kuris kraujyje gali būti transportuojamas į svarbius organus, tokius kaip širdis ir smegenys. Esant labai dideliems kiekiams, kurie galimi patalpose arba kitoje uždaroje aplin"&amp;"koje, CO gali sukelti galvos svaigimą, sumišimą, sąmonės netekimą ir mirtį.")</f>
        <v>Kvėpuojant oru, kuriame yra didelė CO koncentracija, sumažėja deguonies kiekis, kuris kraujyje gali būti transportuojamas į svarbius organus, tokius kaip širdis ir smegenys. Esant labai dideliems kiekiams, kurie galimi patalpose arba kitoje uždaroje aplinkoje, CO gali sukelti galvos svaigimą, sumišimą, sąmonės netekimą ir mirtį.</v>
      </c>
      <c r="AO229" s="7" t="str">
        <f>IFERROR(__xludf.DUMMYFUNCTION("GoogleTranslate(C229, ""en"", ""mk"")"),"Дишењето воздух со висока концентрација на CO ја намалува количината на кислород што може да се транспортира во крвотокот до критичните органи како срцето и мозокот. На многу високи нивоа, кои се можни во затворени простории или во други затворени средини"&amp;", CO може да предизвика вртоглавица, конфузија, несвестица и смрт.")</f>
        <v>Дишењето воздух со висока концентрација на CO ја намалува количината на кислород што може да се транспортира во крвотокот до критичните органи како срцето и мозокот. На многу високи нивоа, кои се можни во затворени простории или во други затворени средини, CO може да предизвика вртоглавица, конфузија, несвестица и смрт.</v>
      </c>
      <c r="AP229" s="7" t="str">
        <f>IFERROR(__xludf.DUMMYFUNCTION("GoogleTranslate(C229, ""en"", ""ms"")"),"Menghirup udara dengan kepekatan CO yang tinggi mengurangkan jumlah oksigen yang boleh diangkut dalam aliran darah ke organ kritikal seperti jantung dan otak. Pada tahap yang sangat tinggi, yang mungkin berlaku di dalam atau dalam persekitaran tertutup la"&amp;"in, CO boleh menyebabkan pening, kekeliruan, tidak sedarkan diri dan kematian.")</f>
        <v>Menghirup udara dengan kepekatan CO yang tinggi mengurangkan jumlah oksigen yang boleh diangkut dalam aliran darah ke organ kritikal seperti jantung dan otak. Pada tahap yang sangat tinggi, yang mungkin berlaku di dalam atau dalam persekitaran tertutup lain, CO boleh menyebabkan pening, kekeliruan, tidak sedarkan diri dan kematian.</v>
      </c>
      <c r="AQ229" s="7" t="str">
        <f>IFERROR(__xludf.DUMMYFUNCTION("GoogleTranslate(C229, ""en"", ""ml"")"),"ഉയർന്ന CO സാന്ദ്രത ഉള്ള വായു ശ്വസിക്കുന്നത് രക്തപ്രവാഹത്തിൽ ഹൃദയം, തലച്ചോറ് തുടങ്ങിയ നിർണായക അവയവങ്ങളിലേക്ക് കൊണ്ടുപോകാൻ കഴിയുന്ന ഓക്സിജൻ്റെ അളവ് കുറയ്ക്കുന്നു. വളരെ ഉയർന്ന തലങ്ങളിൽ, വീടിനകത്തോ മറ്റ് അടച്ച അന്തരീക്ഷത്തിലോ സാധ്യമായ, CO തലകറക്കം, ആശയക്കുഴപ്"&amp;"പം, അബോധാവസ്ഥ, മരണം എന്നിവയ്ക്ക് കാരണമാകും.")</f>
        <v>ഉയർന്ന CO സാന്ദ്രത ഉള്ള വായു ശ്വസിക്കുന്നത് രക്തപ്രവാഹത്തിൽ ഹൃദയം, തലച്ചോറ് തുടങ്ങിയ നിർണായക അവയവങ്ങളിലേക്ക് കൊണ്ടുപോകാൻ കഴിയുന്ന ഓക്സിജൻ്റെ അളവ് കുറയ്ക്കുന്നു. വളരെ ഉയർന്ന തലങ്ങളിൽ, വീടിനകത്തോ മറ്റ് അടച്ച അന്തരീക്ഷത്തിലോ സാധ്യമായ, CO തലകറക്കം, ആശയക്കുഴപ്പം, അബോധാവസ്ഥ, മരണം എന്നിവയ്ക്ക് കാരണമാകും.</v>
      </c>
      <c r="AR229" s="7" t="str">
        <f>IFERROR(__xludf.DUMMYFUNCTION("GoogleTranslate(C229, ""en"", ""mr"")"),"CO च्या उच्च एकाग्रतेसह हवा श्वास घेतल्याने रक्तप्रवाहात हृदय आणि मेंदू सारख्या गंभीर अवयवांमध्ये ऑक्सिजनचे प्रमाण कमी होते. खूप उच्च पातळीवर, जे घरामध्ये किंवा इतर बंदिस्त वातावरणात शक्य आहे, CO चक्कर येणे, गोंधळ, बेशुद्धी आणि मृत्यू होऊ शकते.")</f>
        <v>CO च्या उच्च एकाग्रतेसह हवा श्वास घेतल्याने रक्तप्रवाहात हृदय आणि मेंदू सारख्या गंभीर अवयवांमध्ये ऑक्सिजनचे प्रमाण कमी होते. खूप उच्च पातळीवर, जे घरामध्ये किंवा इतर बंदिस्त वातावरणात शक्य आहे, CO चक्कर येणे, गोंधळ, बेशुद्धी आणि मृत्यू होऊ शकते.</v>
      </c>
      <c r="AS229" s="7" t="str">
        <f>IFERROR(__xludf.DUMMYFUNCTION("GoogleTranslate(C229, ""en"", ""mn"")"),"CO-ийн өндөр агууламжтай агаараар амьсгалах нь цусны урсгалаар зүрх, тархи зэрэг чухал эрхтнүүдэд хүргэх хүчилтөрөгчийн хэмжээг бууруулдаг. Дотор болон бусад битүү орчинд байж болох маш өндөр түвшинд CO нь толгой эргэх, төөрөгдүүлэх, ухаан алдах, үхэлд хү"&amp;"ргэдэг.")</f>
        <v>CO-ийн өндөр агууламжтай агаараар амьсгалах нь цусны урсгалаар зүрх, тархи зэрэг чухал эрхтнүүдэд хүргэх хүчилтөрөгчийн хэмжээг бууруулдаг. Дотор болон бусад битүү орчинд байж болох маш өндөр түвшинд CO нь толгой эргэх, төөрөгдүүлэх, ухаан алдах, үхэлд хүргэдэг.</v>
      </c>
      <c r="AT229" s="7" t="str">
        <f>IFERROR(__xludf.DUMMYFUNCTION("GoogleTranslate(C229, ""en"", ""ne"")"),"CO को उच्च एकाग्रताको साथ सास फेर्ने हावाले रक्त प्रवाहमा हृदय र मस्तिष्क जस्ता महत्वपूर्ण अंगहरूमा ओक्सीजनको मात्रा घटाउँछ। धेरै उच्च स्तरहरूमा, जुन घर भित्र वा अन्य बन्द वातावरणमा सम्भव छ, CO ले चक्कर, भ्रम, बेहोशी र मृत्यु निम्त्याउन सक्छ।")</f>
        <v>CO को उच्च एकाग्रताको साथ सास फेर्ने हावाले रक्त प्रवाहमा हृदय र मस्तिष्क जस्ता महत्वपूर्ण अंगहरूमा ओक्सीजनको मात्रा घटाउँछ। धेरै उच्च स्तरहरूमा, जुन घर भित्र वा अन्य बन्द वातावरणमा सम्भव छ, CO ले चक्कर, भ्रम, बेहोशी र मृत्यु निम्त्याउन सक्छ।</v>
      </c>
      <c r="AU229" s="7" t="str">
        <f>IFERROR(__xludf.DUMMYFUNCTION("GoogleTranslate(C229, ""en"", ""nb"")"),"Å puste luft med høy konsentrasjon av CO reduserer mengden oksygen som kan transporteres i blodstrømmen til kritiske organer som hjertet og hjernen. Ved svært høye nivåer, som er mulig innendørs eller i andre lukkede omgivelser, kan CO forårsake svimmelhe"&amp;"t, forvirring, bevisstløshet og død.")</f>
        <v>Å puste luft med høy konsentrasjon av CO reduserer mengden oksygen som kan transporteres i blodstrømmen til kritiske organer som hjertet og hjernen. Ved svært høye nivåer, som er mulig innendørs eller i andre lukkede omgivelser, kan CO forårsake svimmelhet, forvirring, bevisstløshet og død.</v>
      </c>
      <c r="AV229" s="7" t="str">
        <f>IFERROR(__xludf.DUMMYFUNCTION("GoogleTranslate(C229, ""en"", ""fa"")"),"تنفس هوا با غلظت بالای CO باعث کاهش میزان اکسیژنی می شود که می تواند در جریان خون به اندام های حیاتی مانند قلب و مغز منتقل شود. در سطوح بسیار بالا، که ممکن است در داخل خانه یا در محیط های بسته دیگر، CO می تواند باعث سرگیجه، گیجی، بیهوشی و مرگ شود.")</f>
        <v>تنفس هوا با غلظت بالای CO باعث کاهش میزان اکسیژنی می شود که می تواند در جریان خون به اندام های حیاتی مانند قلب و مغز منتقل شود. در سطوح بسیار بالا، که ممکن است در داخل خانه یا در محیط های بسته دیگر، CO می تواند باعث سرگیجه، گیجی، بیهوشی و مرگ شود.</v>
      </c>
      <c r="AW229" s="7" t="str">
        <f>IFERROR(__xludf.DUMMYFUNCTION("GoogleTranslate(C229, ""en"", ""pl"")"),"Wdychanie powietrza o wysokim stężeniu CO zmniejsza ilość tlenu, który może być transportowany w krwiobiegu do najważniejszych narządów, takich jak serce i mózg. W bardzo wysokich stężeniach, które są możliwe w pomieszczeniach zamkniętych lub w innych zam"&amp;"kniętych środowiskach, CO może powodować zawroty głowy, dezorientację, utratę przytomności i śmierć.")</f>
        <v>Wdychanie powietrza o wysokim stężeniu CO zmniejsza ilość tlenu, który może być transportowany w krwiobiegu do najważniejszych narządów, takich jak serce i mózg. W bardzo wysokich stężeniach, które są możliwe w pomieszczeniach zamkniętych lub w innych zamkniętych środowiskach, CO może powodować zawroty głowy, dezorientację, utratę przytomności i śmierć.</v>
      </c>
      <c r="AX229" s="7" t="str">
        <f>IFERROR(__xludf.DUMMYFUNCTION("GoogleTranslate(C229, ""en"", ""pt"")"),"Respirar ar com alta concentração de CO reduz a quantidade de oxigênio que pode ser transportado na corrente sanguínea para órgãos críticos como o coração e o cérebro. Em níveis muito elevados, possíveis em ambientes fechados ou outros ambientes fechados,"&amp;" o CO pode causar tonturas, confusão, inconsciência e morte.")</f>
        <v>Respirar ar com alta concentração de CO reduz a quantidade de oxigênio que pode ser transportado na corrente sanguínea para órgãos críticos como o coração e o cérebro. Em níveis muito elevados, possíveis em ambientes fechados ou outros ambientes fechados, o CO pode causar tonturas, confusão, inconsciência e morte.</v>
      </c>
      <c r="AY229" s="7" t="str">
        <f>IFERROR(__xludf.DUMMYFUNCTION("GoogleTranslate(C229, ""en"", ""ro"")"),"Respirarea aerului cu o concentrație mare de CO reduce cantitatea de oxigen care poate fi transportată în fluxul sanguin către organe critice precum inima și creierul. La niveluri foarte ridicate, care sunt posibile în interior sau în alte medii închise, "&amp;"CO poate provoca amețeli, confuzie, inconștiență și moarte.")</f>
        <v>Respirarea aerului cu o concentrație mare de CO reduce cantitatea de oxigen care poate fi transportată în fluxul sanguin către organe critice precum inima și creierul. La niveluri foarte ridicate, care sunt posibile în interior sau în alte medii închise, CO poate provoca amețeli, confuzie, inconștiență și moarte.</v>
      </c>
      <c r="AZ229" s="7" t="str">
        <f>IFERROR(__xludf.DUMMYFUNCTION("GoogleTranslate(C229, ""en"", ""ru"")"),"Вдыхание воздуха с высокой концентрацией CO снижает количество кислорода, который может транспортироваться с током крови к критически важным органам, таким как сердце и мозг. При очень высоких уровнях, которые возможны в помещении или в других закрытых по"&amp;"мещениях, CO может вызвать головокружение, спутанность сознания, потерю сознания и смерть.")</f>
        <v>Вдыхание воздуха с высокой концентрацией CO снижает количество кислорода, который может транспортироваться с током крови к критически важным органам, таким как сердце и мозг. При очень высоких уровнях, которые возможны в помещении или в других закрытых помещениях, CO может вызвать головокружение, спутанность сознания, потерю сознания и смерть.</v>
      </c>
      <c r="BA229" s="7" t="str">
        <f>IFERROR(__xludf.DUMMYFUNCTION("GoogleTranslate(C229, ""en"", ""sr"")"),"Удисање ваздуха са високом концентрацијом ЦО смањује количину кисеоника која се може транспортовати у крвотоку до критичних органа као што су срце и мозак. На веома високим нивоима, који су могући у затвореном простору или у другим затвореним срединама, Ц"&amp;"О може изазвати вртоглавицу, конфузију, несвестицу и смрт.")</f>
        <v>Удисање ваздуха са високом концентрацијом ЦО смањује количину кисеоника која се може транспортовати у крвотоку до критичних органа као што су срце и мозак. На веома високим нивоима, који су могући у затвореном простору или у другим затвореним срединама, ЦО може изазвати вртоглавицу, конфузију, несвестицу и смрт.</v>
      </c>
      <c r="BB229" s="7" t="str">
        <f>IFERROR(__xludf.DUMMYFUNCTION("GoogleTranslate(C229, ""en"", ""si"")"),"CO ඉහළ සාන්ද්‍රණයක් සහිත වාතය ආශ්වාස කිරීම හෘදය සහ මොළය වැනි තීරණාත්මක අවයව වෙත රුධිර ප්‍රවාහයේ ප්‍රවාහනය කළ හැකි ඔක්සිජන් ප්‍රමාණය අඩු කරයි. ගෘහස්ථව හෝ වෙනත් සංවෘත පරිසරයක ඇති ඉතා ඉහළ මට්ටම්වලදී, CO මගින් කරකැවිල්ල, ව්‍යාකූලත්වය, සිහිසුන්භාවය සහ මරණය ඇති"&amp;" කළ හැකිය.")</f>
        <v>CO ඉහළ සාන්ද්‍රණයක් සහිත වාතය ආශ්වාස කිරීම හෘදය සහ මොළය වැනි තීරණාත්මක අවයව වෙත රුධිර ප්‍රවාහයේ ප්‍රවාහනය කළ හැකි ඔක්සිජන් ප්‍රමාණය අඩු කරයි. ගෘහස්ථව හෝ වෙනත් සංවෘත පරිසරයක ඇති ඉතා ඉහළ මට්ටම්වලදී, CO මගින් කරකැවිල්ල, ව්‍යාකූලත්වය, සිහිසුන්භාවය සහ මරණය ඇති කළ හැකිය.</v>
      </c>
      <c r="BC229" s="7" t="str">
        <f>IFERROR(__xludf.DUMMYFUNCTION("GoogleTranslate(C229, ""en"", ""sk"")"),"Dýchanie vzduchu s vysokou koncentráciou CO znižuje množstvo kyslíka, ktoré môže byť transportované v krvnom obehu do kritických orgánov, ako je srdce a mozog. Pri veľmi vysokých hladinách, ktoré sú možné vo vnútri alebo v iných uzavretých prostrediach, m"&amp;"ôže CO spôsobiť závraty, zmätenosť, bezvedomie a smrť.")</f>
        <v>Dýchanie vzduchu s vysokou koncentráciou CO znižuje množstvo kyslíka, ktoré môže byť transportované v krvnom obehu do kritických orgánov, ako je srdce a mozog. Pri veľmi vysokých hladinách, ktoré sú možné vo vnútri alebo v iných uzavretých prostrediach, môže CO spôsobiť závraty, zmätenosť, bezvedomie a smrť.</v>
      </c>
      <c r="BD229" s="7" t="str">
        <f>IFERROR(__xludf.DUMMYFUNCTION("GoogleTranslate(C229, ""en"", ""sl"")"),"Vdihavanje zraka z visoko koncentracijo CO zmanjša količino kisika, ki se lahko v krvnem obtoku prenese do kritičnih organov, kot sta srce in možgani. Pri zelo visokih ravneh, ki so možne v zaprtih prostorih ali drugih zaprtih okoljih, lahko CO povzroči o"&amp;"motico, zmedenost, nezavest in smrt.")</f>
        <v>Vdihavanje zraka z visoko koncentracijo CO zmanjša količino kisika, ki se lahko v krvnem obtoku prenese do kritičnih organov, kot sta srce in možgani. Pri zelo visokih ravneh, ki so možne v zaprtih prostorih ali drugih zaprtih okoljih, lahko CO povzroči omotico, zmedenost, nezavest in smrt.</v>
      </c>
      <c r="BE229" s="7" t="str">
        <f>IFERROR(__xludf.DUMMYFUNCTION("GoogleTranslate(C229, ""en"", ""es"")"),"Respirar aire con una alta concentración de CO reduce la cantidad de oxígeno que puede transportarse en el torrente sanguíneo a órganos críticos como el corazón y el cerebro. En niveles muy altos, que son posibles en interiores o en otros ambientes cerrad"&amp;"os, el CO puede causar mareos, confusión, pérdida del conocimiento y la muerte.")</f>
        <v>Respirar aire con una alta concentración de CO reduce la cantidad de oxígeno que puede transportarse en el torrente sanguíneo a órganos críticos como el corazón y el cerebro. En niveles muy altos, que son posibles en interiores o en otros ambientes cerrados, el CO puede causar mareos, confusión, pérdida del conocimiento y la muerte.</v>
      </c>
      <c r="BF229" s="7" t="str">
        <f>IFERROR(__xludf.DUMMYFUNCTION("GoogleTranslate(C229, ""en"", ""sw"")"),"Hewa inayopumua yenye mkusanyiko wa juu wa CO hupunguza kiwango cha oksijeni kinachoweza kusafirishwa katika mkondo wa damu hadi kwa viungo muhimu kama vile moyo na ubongo. Katika viwango vya juu sana, ambavyo vinawezekana ndani ya nyumba au katika mazing"&amp;"ira mengine yaliyofungwa, CO inaweza kusababisha kizunguzungu, kuchanganyikiwa, kupoteza fahamu na kifo.")</f>
        <v>Hewa inayopumua yenye mkusanyiko wa juu wa CO hupunguza kiwango cha oksijeni kinachoweza kusafirishwa katika mkondo wa damu hadi kwa viungo muhimu kama vile moyo na ubongo. Katika viwango vya juu sana, ambavyo vinawezekana ndani ya nyumba au katika mazingira mengine yaliyofungwa, CO inaweza kusababisha kizunguzungu, kuchanganyikiwa, kupoteza fahamu na kifo.</v>
      </c>
      <c r="BG229" s="7" t="str">
        <f>IFERROR(__xludf.DUMMYFUNCTION("GoogleTranslate(C229, ""en"", ""sv"")"),"Andningsluft med hög koncentration av CO minskar mängden syre som kan transporteras i blodomloppet till kritiska organ som hjärtat och hjärnan. Vid mycket höga nivåer, som är möjliga inomhus eller i andra slutna miljöer, kan CO orsaka yrsel, förvirring, m"&amp;"edvetslöshet och dödsfall.")</f>
        <v>Andningsluft med hög koncentration av CO minskar mängden syre som kan transporteras i blodomloppet till kritiska organ som hjärtat och hjärnan. Vid mycket höga nivåer, som är möjliga inomhus eller i andra slutna miljöer, kan CO orsaka yrsel, förvirring, medvetslöshet och dödsfall.</v>
      </c>
      <c r="BH229" s="7" t="str">
        <f>IFERROR(__xludf.DUMMYFUNCTION("GoogleTranslate(C229, ""en"", ""te"")"),"CO యొక్క అధిక సాంద్రత కలిగిన గాలిని పీల్చడం వలన గుండె మరియు మెదడు వంటి క్లిష్టమైన అవయవాలకు రక్త ప్రవాహంలో రవాణా చేయగల ఆక్సిజన్ పరిమాణాన్ని తగ్గిస్తుంది. ఇంటి లోపల లేదా ఇతర పరివేష్టిత పరిసరాలలో సాధ్యమయ్యే అధిక స్థాయిలలో, CO మైకము, గందరగోళం, అపస్మారక స్థితి"&amp;" మరియు మరణానికి కారణమవుతుంది.")</f>
        <v>CO యొక్క అధిక సాంద్రత కలిగిన గాలిని పీల్చడం వలన గుండె మరియు మెదడు వంటి క్లిష్టమైన అవయవాలకు రక్త ప్రవాహంలో రవాణా చేయగల ఆక్సిజన్ పరిమాణాన్ని తగ్గిస్తుంది. ఇంటి లోపల లేదా ఇతర పరివేష్టిత పరిసరాలలో సాధ్యమయ్యే అధిక స్థాయిలలో, CO మైకము, గందరగోళం, అపస్మారక స్థితి మరియు మరణానికి కారణమవుతుంది.</v>
      </c>
      <c r="BI229" s="7" t="str">
        <f>IFERROR(__xludf.DUMMYFUNCTION("GoogleTranslate(C229, ""en"", ""th"")"),"อากาศหายใจที่มีความเข้มข้นของ CO สูงจะช่วยลดปริมาณออกซิเจนที่สามารถขนส่งในกระแสเลือดไปยังอวัยวะสำคัญเช่นหัวใจและสมอง ในระดับที่สูงมาก ซึ่งเป็นไปได้ในอาคารหรือในสภาพแวดล้อมปิดอื่นๆ CO อาจทำให้เกิดอาการวิงเวียนศีรษะ สับสน หมดสติ และเสียชีวิตได้")</f>
        <v>อากาศหายใจที่มีความเข้มข้นของ CO สูงจะช่วยลดปริมาณออกซิเจนที่สามารถขนส่งในกระแสเลือดไปยังอวัยวะสำคัญเช่นหัวใจและสมอง ในระดับที่สูงมาก ซึ่งเป็นไปได้ในอาคารหรือในสภาพแวดล้อมปิดอื่นๆ CO อาจทำให้เกิดอาการวิงเวียนศีรษะ สับสน หมดสติ และเสียชีวิตได้</v>
      </c>
      <c r="BJ229" s="7" t="str">
        <f>IFERROR(__xludf.DUMMYFUNCTION("GoogleTranslate(C229, ""en"", ""tr"")"),"Yüksek konsantrasyonda CO içeren havayı solumak, kan dolaşımında kalp ve beyin gibi kritik organlara taşınabilen oksijen miktarını azaltır. İç mekanlarda veya diğer kapalı ortamlarda mümkün olan çok yüksek seviyelerde CO, baş dönmesine, kafa karışıklığına"&amp;", bilinç kaybına ve ölüme neden olabilir.")</f>
        <v>Yüksek konsantrasyonda CO içeren havayı solumak, kan dolaşımında kalp ve beyin gibi kritik organlara taşınabilen oksijen miktarını azaltır. İç mekanlarda veya diğer kapalı ortamlarda mümkün olan çok yüksek seviyelerde CO, baş dönmesine, kafa karışıklığına, bilinç kaybına ve ölüme neden olabilir.</v>
      </c>
      <c r="BK229" s="7" t="str">
        <f>IFERROR(__xludf.DUMMYFUNCTION("GoogleTranslate(C229, ""en"", ""uk"")"),"Вдихання повітря з високою концентрацією вуглекислого газу зменшує кількість кисню, який може транспортуватися кров’ю до таких важливих органів, як серце та мозок. При дуже високих рівнях, які можливі в приміщенні або в інших закритих приміщеннях, CO може"&amp;" викликати запаморочення, сплутаність свідомості, втрату свідомості та смерть.")</f>
        <v>Вдихання повітря з високою концентрацією вуглекислого газу зменшує кількість кисню, який може транспортуватися кров’ю до таких важливих органів, як серце та мозок. При дуже високих рівнях, які можливі в приміщенні або в інших закритих приміщеннях, CO може викликати запаморочення, сплутаність свідомості, втрату свідомості та смерть.</v>
      </c>
      <c r="BL229" s="7" t="str">
        <f>IFERROR(__xludf.DUMMYFUNCTION("GoogleTranslate(C229, ""en"", ""zu"")"),"Umoya ophefumulayo onokugxiliswa okuphezulu kwe-CO kunciphisa inani lomoya-mpilo ongathuthwa emgudwini wegazi uye ezithweni ezibalulekile njengenhliziyo nobuchopho. Emazingeni aphezulu kakhulu, okungenzeka ngaphakathi endlini noma kwezinye izindawo ezival"&amp;"ekile, i-CO ingabangela isiyezi, ukudideka, ukuquleka nokufa.")</f>
        <v>Umoya ophefumulayo onokugxiliswa okuphezulu kwe-CO kunciphisa inani lomoya-mpilo ongathuthwa emgudwini wegazi uye ezithweni ezibalulekile njengenhliziyo nobuchopho. Emazingeni aphezulu kakhulu, okungenzeka ngaphakathi endlini noma kwezinye izindawo ezivalekile, i-CO ingabangela isiyezi, ukudideka, ukuquleka nokufa.</v>
      </c>
    </row>
    <row r="230">
      <c r="A230" s="5" t="str">
        <f t="shared" si="1"/>
        <v>Exposure_to_high_levels_of_lead_may_cause_anemia,_weakness,_and_kidney_and_brain_damage._Very_high_lead_exposure_can_cause_death.</v>
      </c>
      <c r="B230" s="4" t="s">
        <v>273</v>
      </c>
      <c r="C230" s="4" t="s">
        <v>273</v>
      </c>
      <c r="D230" s="7" t="str">
        <f>IFERROR(__xludf.DUMMYFUNCTION("GoogleTranslate(C230, ""en"", ""es"")"),"La exposición a altos niveles de plomo puede causar anemia, debilidad y daño renal y cerebral. Una exposición muy alta al plomo puede causar la muerte.")</f>
        <v>La exposición a altos niveles de plomo puede causar anemia, debilidad y daño renal y cerebral. Una exposición muy alta al plomo puede causar la muerte.</v>
      </c>
      <c r="E230" s="7" t="str">
        <f>IFERROR(__xludf.DUMMYFUNCTION("GoogleTranslate(C230, ""en"", ""ar"")"),"التعرض لمستويات عالية من الرصاص قد يسبب فقر الدم والضعف وتلف الكلى والدماغ. التعرض العالي جدًا للرصاص يمكن أن يسبب الوفاة.")</f>
        <v>التعرض لمستويات عالية من الرصاص قد يسبب فقر الدم والضعف وتلف الكلى والدماغ. التعرض العالي جدًا للرصاص يمكن أن يسبب الوفاة.</v>
      </c>
      <c r="F230" s="7" t="str">
        <f>IFERROR(__xludf.DUMMYFUNCTION("GoogleTranslate(C230, ""en"", ""hy"")"),"Կապարի բարձր մակարդակի ազդեցությունը կարող է առաջացնել անեմիա, թուլություն և երիկամների և ուղեղի վնաս: Կապարի շատ բարձր ազդեցությունը կարող է մահվան պատճառ դառնալ:")</f>
        <v>Կապարի բարձր մակարդակի ազդեցությունը կարող է առաջացնել անեմիա, թուլություն և երիկամների և ուղեղի վնաս: Կապարի շատ բարձր ազդեցությունը կարող է մահվան պատճառ դառնալ:</v>
      </c>
      <c r="G230" s="7" t="str">
        <f>IFERROR(__xludf.DUMMYFUNCTION("GoogleTranslate(C230, ""en"", ""vi"")"),"Tiếp xúc với hàm lượng chì cao có thể gây thiếu máu, suy nhược, tổn thương thận và não. Phơi nhiễm chì rất cao có thể gây tử vong.")</f>
        <v>Tiếp xúc với hàm lượng chì cao có thể gây thiếu máu, suy nhược, tổn thương thận và não. Phơi nhiễm chì rất cao có thể gây tử vong.</v>
      </c>
      <c r="H230" s="7" t="str">
        <f>IFERROR(__xludf.DUMMYFUNCTION("GoogleTranslate(C230, ""en"", ""az"")"),"Yüksək səviyyədə qurğuşuna məruz qalma anemiya, zəiflik, böyrək və beyin zədələnməsinə səbəb ola bilər. Çox yüksək qurğuşun məruz qalması ölümə səbəb ola bilər.")</f>
        <v>Yüksək səviyyədə qurğuşuna məruz qalma anemiya, zəiflik, böyrək və beyin zədələnməsinə səbəb ola bilər. Çox yüksək qurğuşun məruz qalması ölümə səbəb ola bilər.</v>
      </c>
      <c r="I230" s="7" t="str">
        <f>IFERROR(__xludf.DUMMYFUNCTION("GoogleTranslate(C230, ""en"", ""eu"")"),"Berun-maila altuen esposizioak anemia, ahultasuna eta giltzurrun eta garuneko kalteak sor ditzake. Berunaren esposizio oso handiak heriotza eragin dezake.")</f>
        <v>Berun-maila altuen esposizioak anemia, ahultasuna eta giltzurrun eta garuneko kalteak sor ditzake. Berunaren esposizio oso handiak heriotza eragin dezake.</v>
      </c>
      <c r="J230" s="7" t="str">
        <f>IFERROR(__xludf.DUMMYFUNCTION("GoogleTranslate(C230, ""en"", ""be"")"),"Ўздзеянне высокага ўзроўню свінцу можа выклікаць анемію, слабасць і пашкоджанне нырак і мозгу. Вельмі высокае ўздзеянне свінцу можа прывесці да смерці.")</f>
        <v>Ўздзеянне высокага ўзроўню свінцу можа выклікаць анемію, слабасць і пашкоджанне нырак і мозгу. Вельмі высокае ўздзеянне свінцу можа прывесці да смерці.</v>
      </c>
      <c r="K230" s="7" t="str">
        <f>IFERROR(__xludf.DUMMYFUNCTION("GoogleTranslate(C230, ""en"", ""bn"")"),"উচ্চ মাত্রার সীসার সংস্পর্শে অ্যানিমিয়া, দুর্বলতা এবং কিডনি ও মস্তিষ্কের ক্ষতি হতে পারে। খুব বেশি সীসার এক্সপোজার মৃত্যুর কারণ হতে পারে।")</f>
        <v>উচ্চ মাত্রার সীসার সংস্পর্শে অ্যানিমিয়া, দুর্বলতা এবং কিডনি ও মস্তিষ্কের ক্ষতি হতে পারে। খুব বেশি সীসার এক্সপোজার মৃত্যুর কারণ হতে পারে।</v>
      </c>
      <c r="L230" s="7" t="str">
        <f>IFERROR(__xludf.DUMMYFUNCTION("GoogleTranslate(C230, ""en"", ""bg"")"),"Излагането на високи нива на олово може да причини анемия, слабост и увреждане на бъбреците и мозъка. Много високото излагане на олово може да причини смърт.")</f>
        <v>Излагането на високи нива на олово може да причини анемия, слабост и увреждане на бъбреците и мозъка. Много високото излагане на олово може да причини смърт.</v>
      </c>
      <c r="M230" s="7" t="str">
        <f>IFERROR(__xludf.DUMMYFUNCTION("GoogleTranslate(C230, ""en"", ""my"")"),"ခဲဓာတ်မြင့်မားစွာ ထိတွေ့ခြင်းကြောင့် သွေးအားနည်းခြင်း၊ အားနည်းခြင်းနှင့် ကျောက်ကပ်နှင့် ဦးနှောက်တို့ကို ထိခိုက်ပျက်စီးစေနိုင်သည်။ ခဲနှင့်ထိတွေ့မှု အလွန်မြင့်မားပါက သေဆုံးစေနိုင်သည်။")</f>
        <v>ခဲဓာတ်မြင့်မားစွာ ထိတွေ့ခြင်းကြောင့် သွေးအားနည်းခြင်း၊ အားနည်းခြင်းနှင့် ကျောက်ကပ်နှင့် ဦးနှောက်တို့ကို ထိခိုက်ပျက်စီးစေနိုင်သည်။ ခဲနှင့်ထိတွေ့မှု အလွန်မြင့်မားပါက သေဆုံးစေနိုင်သည်။</v>
      </c>
      <c r="N230" s="7" t="str">
        <f>IFERROR(__xludf.DUMMYFUNCTION("GoogleTranslate(C230, ""en"", ""ca"")"),"L'exposició a nivells elevats de plom pot causar anèmia, debilitat i danys renals i cerebrals. Una exposició molt alta al plom pot causar la mort.")</f>
        <v>L'exposició a nivells elevats de plom pot causar anèmia, debilitat i danys renals i cerebrals. Una exposició molt alta al plom pot causar la mort.</v>
      </c>
      <c r="O230" s="7" t="str">
        <f>IFERROR(__xludf.DUMMYFUNCTION("GoogleTranslate(C230, ""en"", ""zh-cn"")"),"接触高浓度的铅可能会导致贫血、虚弱以及肾脏和大脑损伤。非常高的铅暴露会导致死亡。")</f>
        <v>接触高浓度的铅可能会导致贫血、虚弱以及肾脏和大脑损伤。非常高的铅暴露会导致死亡。</v>
      </c>
      <c r="P230" s="7" t="str">
        <f>IFERROR(__xludf.DUMMYFUNCTION("GoogleTranslate(C230, ""en"", ""zh-TW"")"),"接觸高濃度的鉛可能會導致貧血、虛弱以及腎臟和大腦損傷。非常高的鉛暴露會導致死亡。")</f>
        <v>接觸高濃度的鉛可能會導致貧血、虛弱以及腎臟和大腦損傷。非常高的鉛暴露會導致死亡。</v>
      </c>
      <c r="Q230" s="7" t="str">
        <f>IFERROR(__xludf.DUMMYFUNCTION("GoogleTranslate(C230, ""en"", ""hr"")"),"Izloženost visokim razinama olova može uzrokovati anemiju, slabost te oštećenje bubrega i mozga. Vrlo visoka izloženost olovu može uzrokovati smrt.")</f>
        <v>Izloženost visokim razinama olova može uzrokovati anemiju, slabost te oštećenje bubrega i mozga. Vrlo visoka izloženost olovu može uzrokovati smrt.</v>
      </c>
      <c r="R230" s="7" t="str">
        <f>IFERROR(__xludf.DUMMYFUNCTION("GoogleTranslate(C230, ""en"", ""cs"")"),"Vystavení vysokým hladinám olova může způsobit anémii, slabost a poškození ledvin a mozku. Velmi vysoká expozice olova může způsobit smrt.")</f>
        <v>Vystavení vysokým hladinám olova může způsobit anémii, slabost a poškození ledvin a mozku. Velmi vysoká expozice olova může způsobit smrt.</v>
      </c>
      <c r="S230" s="7" t="str">
        <f>IFERROR(__xludf.DUMMYFUNCTION("GoogleTranslate(C230, ""en"", ""da"")"),"Eksponering for høje niveauer af bly kan forårsage anæmi, svaghed og nyre- og hjerneskade. Meget høj blyeksponering kan forårsage død.")</f>
        <v>Eksponering for høje niveauer af bly kan forårsage anæmi, svaghed og nyre- og hjerneskade. Meget høj blyeksponering kan forårsage død.</v>
      </c>
      <c r="T230" s="7" t="str">
        <f>IFERROR(__xludf.DUMMYFUNCTION("GoogleTranslate(C230, ""en"", ""nl"")"),"Blootstelling aan hoge niveaus van lood kan bloedarmoede, zwakte en nier- en hersenbeschadiging veroorzaken. Zeer hoge blootstelling aan lood kan de dood tot gevolg hebben.")</f>
        <v>Blootstelling aan hoge niveaus van lood kan bloedarmoede, zwakte en nier- en hersenbeschadiging veroorzaken. Zeer hoge blootstelling aan lood kan de dood tot gevolg hebben.</v>
      </c>
      <c r="U230" s="7" t="str">
        <f>IFERROR(__xludf.DUMMYFUNCTION("GoogleTranslate(C230, ""en"", ""et"")"),"Kokkupuude suure pliisisaldusega võib põhjustada aneemiat, nõrkust ning neeru- ja ajukahjustusi. Väga suur kokkupuude pliiga võib põhjustada surma.")</f>
        <v>Kokkupuude suure pliisisaldusega võib põhjustada aneemiat, nõrkust ning neeru- ja ajukahjustusi. Väga suur kokkupuude pliiga võib põhjustada surma.</v>
      </c>
      <c r="V230" s="5" t="str">
        <f t="shared" si="3"/>
        <v>Exposure to high levels of lead may cause anemia, weakness, and kidney and brain damage. Very high lead exposure can cause death.</v>
      </c>
      <c r="W230" s="7" t="str">
        <f>IFERROR(__xludf.DUMMYFUNCTION("GoogleTranslate(C230, ""en"", ""fi"")"),"Altistuminen korkeille lyijypitoisuuksille voi aiheuttaa anemiaa, heikkoutta sekä munuais- ja aivovaurioita. Erittäin suuri lyijyaltistus voi aiheuttaa kuoleman.")</f>
        <v>Altistuminen korkeille lyijypitoisuuksille voi aiheuttaa anemiaa, heikkoutta sekä munuais- ja aivovaurioita. Erittäin suuri lyijyaltistus voi aiheuttaa kuoleman.</v>
      </c>
      <c r="X230" s="7" t="str">
        <f>IFERROR(__xludf.DUMMYFUNCTION("GoogleTranslate(C230, ""en"", ""fr"")"),"L'exposition à des niveaux élevés de plomb peut provoquer une anémie, une faiblesse et des lésions rénales et cérébrales. Une exposition très élevée au plomb peut entraîner la mort.")</f>
        <v>L'exposition à des niveaux élevés de plomb peut provoquer une anémie, une faiblesse et des lésions rénales et cérébrales. Une exposition très élevée au plomb peut entraîner la mort.</v>
      </c>
      <c r="Y230" s="7" t="str">
        <f>IFERROR(__xludf.DUMMYFUNCTION("GoogleTranslate(C230, ""en"", ""de"")"),"Die Exposition gegenüber hohen Bleigehalten kann zu Anämie, Schwäche sowie Nieren- und Gehirnschäden führen. Eine sehr hohe Bleibelastung kann zum Tod führen.")</f>
        <v>Die Exposition gegenüber hohen Bleigehalten kann zu Anämie, Schwäche sowie Nieren- und Gehirnschäden führen. Eine sehr hohe Bleibelastung kann zum Tod führen.</v>
      </c>
      <c r="Z230" s="7" t="str">
        <f>IFERROR(__xludf.DUMMYFUNCTION("GoogleTranslate(C230, ""en"", ""el"")"),"Η έκθεση σε υψηλά επίπεδα μολύβδου μπορεί να προκαλέσει αναιμία, αδυναμία και νεφρική και εγκεφαλική βλάβη. Η πολύ υψηλή έκθεση σε μόλυβδο μπορεί να προκαλέσει θάνατο.")</f>
        <v>Η έκθεση σε υψηλά επίπεδα μολύβδου μπορεί να προκαλέσει αναιμία, αδυναμία και νεφρική και εγκεφαλική βλάβη. Η πολύ υψηλή έκθεση σε μόλυβδο μπορεί να προκαλέσει θάνατο.</v>
      </c>
      <c r="AA230" s="7" t="str">
        <f>IFERROR(__xludf.DUMMYFUNCTION("GoogleTranslate(C230, ""en"", ""iw"")"),"חשיפה לרמות גבוהות של עופרת עלולה לגרום לאנמיה, חולשה ונזק לכליות ולמוח. חשיפה גבוהה מאוד לעופרת עלולה לגרום למוות.")</f>
        <v>חשיפה לרמות גבוהות של עופרת עלולה לגרום לאנמיה, חולשה ונזק לכליות ולמוח. חשיפה גבוהה מאוד לעופרת עלולה לגרום למוות.</v>
      </c>
      <c r="AB230" s="7" t="str">
        <f>IFERROR(__xludf.DUMMYFUNCTION("GoogleTranslate(C230, ""en"", ""hi"")"),"सीसे के उच्च स्तर के संपर्क में आने से एनीमिया, कमजोरी और गुर्दे और मस्तिष्क को क्षति हो सकती है। बहुत अधिक सीसे के संपर्क में आने से मृत्यु हो सकती है।")</f>
        <v>सीसे के उच्च स्तर के संपर्क में आने से एनीमिया, कमजोरी और गुर्दे और मस्तिष्क को क्षति हो सकती है। बहुत अधिक सीसे के संपर्क में आने से मृत्यु हो सकती है।</v>
      </c>
      <c r="AC230" s="7" t="str">
        <f>IFERROR(__xludf.DUMMYFUNCTION("GoogleTranslate(C230, ""en"", ""hu"")"),"A nagy mennyiségű ólomnak való kitettség vérszegénységet, gyengeséget, valamint vese- és agykárosodást okozhat. A nagyon magas ólomexpozíció halált okozhat.")</f>
        <v>A nagy mennyiségű ólomnak való kitettség vérszegénységet, gyengeséget, valamint vese- és agykárosodást okozhat. A nagyon magas ólomexpozíció halált okozhat.</v>
      </c>
      <c r="AD230" s="7" t="str">
        <f>IFERROR(__xludf.DUMMYFUNCTION("GoogleTranslate(C230, ""en"", ""is"")"),"Útsetning fyrir miklu blýi getur valdið blóðleysi, máttleysi og nýrna- og heilaskaða. Mjög mikil blýáhrif geta valdið dauða.")</f>
        <v>Útsetning fyrir miklu blýi getur valdið blóðleysi, máttleysi og nýrna- og heilaskaða. Mjög mikil blýáhrif geta valdið dauða.</v>
      </c>
      <c r="AE230" s="7" t="str">
        <f>IFERROR(__xludf.DUMMYFUNCTION("GoogleTranslate(C230, ""en"", ""id"")"),"Paparan timbal dalam jumlah tinggi dapat menyebabkan anemia, kelemahan, serta kerusakan ginjal dan otak. Paparan timbal yang sangat tinggi dapat menyebabkan kematian.")</f>
        <v>Paparan timbal dalam jumlah tinggi dapat menyebabkan anemia, kelemahan, serta kerusakan ginjal dan otak. Paparan timbal yang sangat tinggi dapat menyebabkan kematian.</v>
      </c>
      <c r="AF230" s="7" t="str">
        <f>IFERROR(__xludf.DUMMYFUNCTION("GoogleTranslate(C230, ""en"", ""in"")"),"Paparan timbal dalam jumlah tinggi dapat menyebabkan anemia, kelemahan, serta kerusakan ginjal dan otak. Paparan timbal yang sangat tinggi dapat menyebabkan kematian.")</f>
        <v>Paparan timbal dalam jumlah tinggi dapat menyebabkan anemia, kelemahan, serta kerusakan ginjal dan otak. Paparan timbal yang sangat tinggi dapat menyebabkan kematian.</v>
      </c>
      <c r="AG230" s="7" t="str">
        <f>IFERROR(__xludf.DUMMYFUNCTION("GoogleTranslate(C230, ""en"", ""it"")"),"L’esposizione ad alti livelli di piombo può causare anemia, debolezza e danni ai reni e al cervello. Un'esposizione molto elevata al piombo può causare la morte.")</f>
        <v>L’esposizione ad alti livelli di piombo può causare anemia, debolezza e danni ai reni e al cervello. Un'esposizione molto elevata al piombo può causare la morte.</v>
      </c>
      <c r="AH230" s="7" t="str">
        <f>IFERROR(__xludf.DUMMYFUNCTION("GoogleTranslate(C230, ""en"", ""ja"")"),"高レベルの鉛にさらされると、貧血、衰弱、腎臓や脳の損傷を引き起こす可能性があります。鉛に非常に多く曝露すると、死に至る可能性があります。")</f>
        <v>高レベルの鉛にさらされると、貧血、衰弱、腎臓や脳の損傷を引き起こす可能性があります。鉛に非常に多く曝露すると、死に至る可能性があります。</v>
      </c>
      <c r="AI230" s="7" t="str">
        <f>IFERROR(__xludf.DUMMYFUNCTION("GoogleTranslate(C230, ""en"", ""kn"")"),"ಹೆಚ್ಚಿನ ಮಟ್ಟದ ಸೀಸಕ್ಕೆ ಒಡ್ಡಿಕೊಳ್ಳುವುದರಿಂದ ರಕ್ತಹೀನತೆ, ದೌರ್ಬಲ್ಯ ಮತ್ತು ಮೂತ್ರಪಿಂಡ ಮತ್ತು ಮೆದುಳಿಗೆ ಹಾನಿಯಾಗಬಹುದು. ಅತಿ ಹೆಚ್ಚು ಸೀಸದ ಮಾನ್ಯತೆ ಸಾವಿಗೆ ಕಾರಣವಾಗಬಹುದು.")</f>
        <v>ಹೆಚ್ಚಿನ ಮಟ್ಟದ ಸೀಸಕ್ಕೆ ಒಡ್ಡಿಕೊಳ್ಳುವುದರಿಂದ ರಕ್ತಹೀನತೆ, ದೌರ್ಬಲ್ಯ ಮತ್ತು ಮೂತ್ರಪಿಂಡ ಮತ್ತು ಮೆದುಳಿಗೆ ಹಾನಿಯಾಗಬಹುದು. ಅತಿ ಹೆಚ್ಚು ಸೀಸದ ಮಾನ್ಯತೆ ಸಾವಿಗೆ ಕಾರಣವಾಗಬಹುದು.</v>
      </c>
      <c r="AJ230" s="7" t="str">
        <f>IFERROR(__xludf.DUMMYFUNCTION("GoogleTranslate(C230, ""en"", ""km"")"),"ការ​ប៉ះពាល់​នឹង​កម្រិត​ជាតិ​សំណ​ខ្ពស់​អាច​បណ្តាលឱ្យ​មាន​ភាពស្លេកស្លាំង ភាពទន់ខ្សោយ និង​ខូច​តម្រងនោម និង​ខួរក្បាល​។ ការ​ប៉ះពាល់​សារធាតុ​សំណ​ខ្លាំង​អាច​បណ្តាល​ឱ្យ​ស្លាប់។")</f>
        <v>ការ​ប៉ះពាល់​នឹង​កម្រិត​ជាតិ​សំណ​ខ្ពស់​អាច​បណ្តាលឱ្យ​មាន​ភាពស្លេកស្លាំង ភាពទន់ខ្សោយ និង​ខូច​តម្រងនោម និង​ខួរក្បាល​។ ការ​ប៉ះពាល់​សារធាតុ​សំណ​ខ្លាំង​អាច​បណ្តាល​ឱ្យ​ស្លាប់។</v>
      </c>
      <c r="AK230" s="7" t="str">
        <f>IFERROR(__xludf.DUMMYFUNCTION("GoogleTranslate(C230, ""en"", ""ko"")"),"높은 수준의 납에 노출되면 빈혈, 쇠약, 신장 및 뇌 손상이 발생할 수 있습니다. 매우 높은 납 노출로 인해 사망할 수 있습니다.")</f>
        <v>높은 수준의 납에 노출되면 빈혈, 쇠약, 신장 및 뇌 손상이 발생할 수 있습니다. 매우 높은 납 노출로 인해 사망할 수 있습니다.</v>
      </c>
      <c r="AL230" s="7" t="str">
        <f>IFERROR(__xludf.DUMMYFUNCTION("GoogleTranslate(C230, ""en"", ""lo"")"),"ການໄດ້ຮັບສານຕະກົ່ວໃນປະລິມານສູງອາດຈະເຮັດໃຫ້ເກີດພະຍາດເລືອດຈາງ, ອ່ອນເພຍ, ແລະຄວາມເສຍຫາຍຂອງຫມາກໄຂ່ຫຼັງແລະສະຫມອງ. ການສໍາຜັດສານຂີ້ກົ່ວສູງຫຼາຍສາມາດເຮັດໃຫ້ເສຍຊີວິດໄດ້.")</f>
        <v>ການໄດ້ຮັບສານຕະກົ່ວໃນປະລິມານສູງອາດຈະເຮັດໃຫ້ເກີດພະຍາດເລືອດຈາງ, ອ່ອນເພຍ, ແລະຄວາມເສຍຫາຍຂອງຫມາກໄຂ່ຫຼັງແລະສະຫມອງ. ການສໍາຜັດສານຂີ້ກົ່ວສູງຫຼາຍສາມາດເຮັດໃຫ້ເສຍຊີວິດໄດ້.</v>
      </c>
      <c r="AM230" s="7" t="str">
        <f>IFERROR(__xludf.DUMMYFUNCTION("GoogleTranslate(C230, ""en"", ""lv"")"),"Pakļaušana lielam svina līmenim var izraisīt anēmiju, vājumu un nieru un smadzeņu bojājumus. Ļoti liela svina iedarbība var izraisīt nāvi.")</f>
        <v>Pakļaušana lielam svina līmenim var izraisīt anēmiju, vājumu un nieru un smadzeņu bojājumus. Ļoti liela svina iedarbība var izraisīt nāvi.</v>
      </c>
      <c r="AN230" s="7" t="str">
        <f>IFERROR(__xludf.DUMMYFUNCTION("GoogleTranslate(C230, ""en"", ""lt"")"),"Didelis švino kiekis gali sukelti anemiją, silpnumą ir inkstų bei smegenų pažeidimus. Labai didelis švino poveikis gali sukelti mirtį.")</f>
        <v>Didelis švino kiekis gali sukelti anemiją, silpnumą ir inkstų bei smegenų pažeidimus. Labai didelis švino poveikis gali sukelti mirtį.</v>
      </c>
      <c r="AO230" s="7" t="str">
        <f>IFERROR(__xludf.DUMMYFUNCTION("GoogleTranslate(C230, ""en"", ""mk"")"),"Изложеноста на високи нивоа на олово може да предизвика анемија, слабост и оштетување на бубрезите и мозокот. Многу висока изложеност на олово може да предизвика смрт.")</f>
        <v>Изложеноста на високи нивоа на олово може да предизвика анемија, слабост и оштетување на бубрезите и мозокот. Многу висока изложеност на олово може да предизвика смрт.</v>
      </c>
      <c r="AP230" s="7" t="str">
        <f>IFERROR(__xludf.DUMMYFUNCTION("GoogleTranslate(C230, ""en"", ""ms"")"),"Pendedahan kepada paras plumbum yang tinggi boleh menyebabkan anemia, kelemahan, dan kerosakan buah pinggang dan otak. Pendedahan plumbum yang sangat tinggi boleh menyebabkan kematian.")</f>
        <v>Pendedahan kepada paras plumbum yang tinggi boleh menyebabkan anemia, kelemahan, dan kerosakan buah pinggang dan otak. Pendedahan plumbum yang sangat tinggi boleh menyebabkan kematian.</v>
      </c>
      <c r="AQ230" s="7" t="str">
        <f>IFERROR(__xludf.DUMMYFUNCTION("GoogleTranslate(C230, ""en"", ""ml"")"),"ഉയർന്ന അളവിലുള്ള ലെഡ് എക്സ്പോഷർ വിളർച്ച, ബലഹീനത, വൃക്കകൾക്കും മസ്തിഷ്കത്തിനും തകരാറുണ്ടാക്കാം. വളരെ ഉയർന്ന ലെഡ് എക്സ്പോഷർ മരണത്തിന് കാരണമാകും.")</f>
        <v>ഉയർന്ന അളവിലുള്ള ലെഡ് എക്സ്പോഷർ വിളർച്ച, ബലഹീനത, വൃക്കകൾക്കും മസ്തിഷ്കത്തിനും തകരാറുണ്ടാക്കാം. വളരെ ഉയർന്ന ലെഡ് എക്സ്പോഷർ മരണത്തിന് കാരണമാകും.</v>
      </c>
      <c r="AR230" s="7" t="str">
        <f>IFERROR(__xludf.DUMMYFUNCTION("GoogleTranslate(C230, ""en"", ""mr"")"),"शिशाच्या उच्च पातळीच्या संपर्कात आल्याने अशक्तपणा, अशक्तपणा आणि मूत्रपिंड आणि मेंदूचे नुकसान होऊ शकते. शिशाच्या उच्च प्रदर्शनामुळे मृत्यू होऊ शकतो.")</f>
        <v>शिशाच्या उच्च पातळीच्या संपर्कात आल्याने अशक्तपणा, अशक्तपणा आणि मूत्रपिंड आणि मेंदूचे नुकसान होऊ शकते. शिशाच्या उच्च प्रदर्शनामुळे मृत्यू होऊ शकतो.</v>
      </c>
      <c r="AS230" s="7" t="str">
        <f>IFERROR(__xludf.DUMMYFUNCTION("GoogleTranslate(C230, ""en"", ""mn"")"),"Хар тугалганы өндөр агууламж нь цус багадалт, сул дорой байдал, бөөр, тархины гэмтэл үүсгэдэг. Хар тугалгад маш их өртөх нь үхэлд хүргэдэг.")</f>
        <v>Хар тугалганы өндөр агууламж нь цус багадалт, сул дорой байдал, бөөр, тархины гэмтэл үүсгэдэг. Хар тугалгад маш их өртөх нь үхэлд хүргэдэг.</v>
      </c>
      <c r="AT230" s="7" t="str">
        <f>IFERROR(__xludf.DUMMYFUNCTION("GoogleTranslate(C230, ""en"", ""ne"")"),"सीसाको उच्च स्तरको एक्सपोजरले एनीमिया, कमजोरी, र मृगौला र मस्तिष्क क्षति हुन सक्छ। धेरै उच्च सीसा एक्सपोजरले मृत्यु निम्त्याउन सक्छ।")</f>
        <v>सीसाको उच्च स्तरको एक्सपोजरले एनीमिया, कमजोरी, र मृगौला र मस्तिष्क क्षति हुन सक्छ। धेरै उच्च सीसा एक्सपोजरले मृत्यु निम्त्याउन सक्छ।</v>
      </c>
      <c r="AU230" s="7" t="str">
        <f>IFERROR(__xludf.DUMMYFUNCTION("GoogleTranslate(C230, ""en"", ""nb"")"),"Eksponering for høye nivåer av bly kan forårsake anemi, svakhet og nyre- og hjerneskade. Svært høy blyeksponering kan forårsake død.")</f>
        <v>Eksponering for høye nivåer av bly kan forårsake anemi, svakhet og nyre- og hjerneskade. Svært høy blyeksponering kan forårsake død.</v>
      </c>
      <c r="AV230" s="7" t="str">
        <f>IFERROR(__xludf.DUMMYFUNCTION("GoogleTranslate(C230, ""en"", ""fa"")"),"قرار گرفتن در معرض سطوح بالای سرب ممکن است باعث کم خونی، ضعف و آسیب کلیه و مغز شود. قرار گرفتن در معرض سرب بسیار زیاد می تواند باعث مرگ شود.")</f>
        <v>قرار گرفتن در معرض سطوح بالای سرب ممکن است باعث کم خونی، ضعف و آسیب کلیه و مغز شود. قرار گرفتن در معرض سرب بسیار زیاد می تواند باعث مرگ شود.</v>
      </c>
      <c r="AW230" s="7" t="str">
        <f>IFERROR(__xludf.DUMMYFUNCTION("GoogleTranslate(C230, ""en"", ""pl"")"),"Narażenie na duże stężenia ołowiu może powodować anemię, osłabienie oraz uszkodzenie nerek i mózgu. Bardzo wysokie narażenie na ołów może spowodować śmierć.")</f>
        <v>Narażenie na duże stężenia ołowiu może powodować anemię, osłabienie oraz uszkodzenie nerek i mózgu. Bardzo wysokie narażenie na ołów może spowodować śmierć.</v>
      </c>
      <c r="AX230" s="7" t="str">
        <f>IFERROR(__xludf.DUMMYFUNCTION("GoogleTranslate(C230, ""en"", ""pt"")"),"A exposição a altos níveis de chumbo pode causar anemia, fraqueza e danos renais e cerebrais. Uma exposição muito elevada ao chumbo pode causar a morte.")</f>
        <v>A exposição a altos níveis de chumbo pode causar anemia, fraqueza e danos renais e cerebrais. Uma exposição muito elevada ao chumbo pode causar a morte.</v>
      </c>
      <c r="AY230" s="7" t="str">
        <f>IFERROR(__xludf.DUMMYFUNCTION("GoogleTranslate(C230, ""en"", ""ro"")"),"Expunerea la niveluri ridicate de plumb poate provoca anemie, slăbiciune și leziuni ale rinichilor și creierului. Expunerea foarte mare la plumb poate provoca moartea.")</f>
        <v>Expunerea la niveluri ridicate de plumb poate provoca anemie, slăbiciune și leziuni ale rinichilor și creierului. Expunerea foarte mare la plumb poate provoca moartea.</v>
      </c>
      <c r="AZ230" s="7" t="str">
        <f>IFERROR(__xludf.DUMMYFUNCTION("GoogleTranslate(C230, ""en"", ""ru"")"),"Воздействие высоких уровней свинца может вызвать анемию, слабость, повреждение почек и головного мозга. Очень высокое воздействие свинца может привести к смерти.")</f>
        <v>Воздействие высоких уровней свинца может вызвать анемию, слабость, повреждение почек и головного мозга. Очень высокое воздействие свинца может привести к смерти.</v>
      </c>
      <c r="BA230" s="7" t="str">
        <f>IFERROR(__xludf.DUMMYFUNCTION("GoogleTranslate(C230, ""en"", ""sr"")"),"Изложеност високим нивоима олова може изазвати анемију, слабост и оштећење бубрега и мозга. Веома висока изложеност олову може изазвати смрт.")</f>
        <v>Изложеност високим нивоима олова може изазвати анемију, слабост и оштећење бубрега и мозга. Веома висока изложеност олову може изазвати смрт.</v>
      </c>
      <c r="BB230" s="7" t="str">
        <f>IFERROR(__xludf.DUMMYFUNCTION("GoogleTranslate(C230, ""en"", ""si"")"),"ඊයම් ඉහළ මට්ටමකට නිරාවරණය වීමෙන් රක්තහීනතාවය, දුර්වලතාවය සහ වකුගඩු හා මොළයට හානි සිදු විය හැක. ඉතා ඉහළ ඊයම් නිරාවරණය මරණයට හේතු විය හැක.")</f>
        <v>ඊයම් ඉහළ මට්ටමකට නිරාවරණය වීමෙන් රක්තහීනතාවය, දුර්වලතාවය සහ වකුගඩු හා මොළයට හානි සිදු විය හැක. ඉතා ඉහළ ඊයම් නිරාවරණය මරණයට හේතු විය හැක.</v>
      </c>
      <c r="BC230" s="7" t="str">
        <f>IFERROR(__xludf.DUMMYFUNCTION("GoogleTranslate(C230, ""en"", ""sk"")"),"Vystavenie vysokým hladinám olova môže spôsobiť anémiu, slabosť a poškodenie obličiek a mozgu. Veľmi vysoká expozícia olova môže spôsobiť smrť.")</f>
        <v>Vystavenie vysokým hladinám olova môže spôsobiť anémiu, slabosť a poškodenie obličiek a mozgu. Veľmi vysoká expozícia olova môže spôsobiť smrť.</v>
      </c>
      <c r="BD230" s="7" t="str">
        <f>IFERROR(__xludf.DUMMYFUNCTION("GoogleTranslate(C230, ""en"", ""sl"")"),"Izpostavljenost visokim stopnjam svinca lahko povzroči anemijo, šibkost ter poškodbe ledvic in možganov. Zelo visoka izpostavljenost svincu lahko povzroči smrt.")</f>
        <v>Izpostavljenost visokim stopnjam svinca lahko povzroči anemijo, šibkost ter poškodbe ledvic in možganov. Zelo visoka izpostavljenost svincu lahko povzroči smrt.</v>
      </c>
      <c r="BE230" s="7" t="str">
        <f>IFERROR(__xludf.DUMMYFUNCTION("GoogleTranslate(C230, ""en"", ""es"")"),"La exposición a altos niveles de plomo puede causar anemia, debilidad y daño renal y cerebral. Una exposición muy alta al plomo puede causar la muerte.")</f>
        <v>La exposición a altos niveles de plomo puede causar anemia, debilidad y daño renal y cerebral. Una exposición muy alta al plomo puede causar la muerte.</v>
      </c>
      <c r="BF230" s="7" t="str">
        <f>IFERROR(__xludf.DUMMYFUNCTION("GoogleTranslate(C230, ""en"", ""sw"")"),"Mfiduo wa viwango vya juu vya risasi unaweza kusababisha upungufu wa damu, udhaifu, na uharibifu wa figo na ubongo. Mfiduo wa juu sana wa risasi unaweza kusababisha kifo.")</f>
        <v>Mfiduo wa viwango vya juu vya risasi unaweza kusababisha upungufu wa damu, udhaifu, na uharibifu wa figo na ubongo. Mfiduo wa juu sana wa risasi unaweza kusababisha kifo.</v>
      </c>
      <c r="BG230" s="7" t="str">
        <f>IFERROR(__xludf.DUMMYFUNCTION("GoogleTranslate(C230, ""en"", ""sv"")"),"Exponering för höga halter av bly kan orsaka anemi, svaghet och njur- och hjärnskador. Mycket hög blyexponering kan orsaka dödsfall.")</f>
        <v>Exponering för höga halter av bly kan orsaka anemi, svaghet och njur- och hjärnskador. Mycket hög blyexponering kan orsaka dödsfall.</v>
      </c>
      <c r="BH230" s="7" t="str">
        <f>IFERROR(__xludf.DUMMYFUNCTION("GoogleTranslate(C230, ""en"", ""te"")"),"అధిక స్థాయిలో సీసానికి గురికావడం వల్ల రక్తహీనత, బలహీనత మరియు మూత్రపిండాలు మరియు మెదడు దెబ్బతినవచ్చు. చాలా ఎక్కువ సీసం బహిర్గతం మరణానికి కారణమవుతుంది.")</f>
        <v>అధిక స్థాయిలో సీసానికి గురికావడం వల్ల రక్తహీనత, బలహీనత మరియు మూత్రపిండాలు మరియు మెదడు దెబ్బతినవచ్చు. చాలా ఎక్కువ సీసం బహిర్గతం మరణానికి కారణమవుతుంది.</v>
      </c>
      <c r="BI230" s="7" t="str">
        <f>IFERROR(__xludf.DUMMYFUNCTION("GoogleTranslate(C230, ""en"", ""th"")"),"การได้รับสารตะกั่วในระดับสูงอาจทำให้เกิดภาวะโลหิตจาง อ่อนแรง และไตและสมองถูกทำลายได้ การได้รับสารตะกั่วที่สูงมากอาจทำให้เสียชีวิตได้")</f>
        <v>การได้รับสารตะกั่วในระดับสูงอาจทำให้เกิดภาวะโลหิตจาง อ่อนแรง และไตและสมองถูกทำลายได้ การได้รับสารตะกั่วที่สูงมากอาจทำให้เสียชีวิตได้</v>
      </c>
      <c r="BJ230" s="7" t="str">
        <f>IFERROR(__xludf.DUMMYFUNCTION("GoogleTranslate(C230, ""en"", ""tr"")"),"Yüksek düzeyde kurşuna maruz kalmak anemiye, halsizliğe, böbrek ve beyin hasarına neden olabilir. Çok yüksek kurşun maruziyeti ölüme neden olabilir.")</f>
        <v>Yüksek düzeyde kurşuna maruz kalmak anemiye, halsizliğe, böbrek ve beyin hasarına neden olabilir. Çok yüksek kurşun maruziyeti ölüme neden olabilir.</v>
      </c>
      <c r="BK230" s="7" t="str">
        <f>IFERROR(__xludf.DUMMYFUNCTION("GoogleTranslate(C230, ""en"", ""uk"")"),"Вплив свинцю у високих рівнях може спричинити анемію, слабкість та пошкодження нирок і мозку. Дуже високий вміст свинцю може спричинити смерть.")</f>
        <v>Вплив свинцю у високих рівнях може спричинити анемію, слабкість та пошкодження нирок і мозку. Дуже високий вміст свинцю може спричинити смерть.</v>
      </c>
      <c r="BL230" s="7" t="str">
        <f>IFERROR(__xludf.DUMMYFUNCTION("GoogleTranslate(C230, ""en"", ""zu"")"),"Ukuchayeka emazingeni aphezulu omthofu kungase kubangele i-anemia, ubuthakathaka, nokulimala kwezinso nobuchopho. Ukuchayeka okuphezulu kakhulu komthofu kungadala ukufa.")</f>
        <v>Ukuchayeka emazingeni aphezulu omthofu kungase kubangele i-anemia, ubuthakathaka, nokulimala kwezinso nobuchopho. Ukuchayeka okuphezulu kakhulu komthofu kungadala ukufa.</v>
      </c>
    </row>
    <row r="231">
      <c r="A231" s="5" t="str">
        <f t="shared" si="1"/>
        <v>High_levels_of_ammonia_can_irritate_and_burn_the_skin,_mouth,_throat,_lungs,_and_eyes._Very_high_levels_of_ammonia_can_damage_the_lungs_or_cause_death.</v>
      </c>
      <c r="B231" s="4" t="s">
        <v>274</v>
      </c>
      <c r="C231" s="4" t="s">
        <v>274</v>
      </c>
      <c r="D231" s="7" t="str">
        <f>IFERROR(__xludf.DUMMYFUNCTION("GoogleTranslate(C231, ""en"", ""es"")"),"Los niveles elevados de amoníaco pueden irritar y quemar la piel, la boca, la garganta, los pulmones y los ojos. Niveles muy altos de amoníaco pueden dañar los pulmones o provocar la muerte.")</f>
        <v>Los niveles elevados de amoníaco pueden irritar y quemar la piel, la boca, la garganta, los pulmones y los ojos. Niveles muy altos de amoníaco pueden dañar los pulmones o provocar la muerte.</v>
      </c>
      <c r="E231" s="7" t="str">
        <f>IFERROR(__xludf.DUMMYFUNCTION("GoogleTranslate(C231, ""en"", ""ar"")"),"يمكن لمستويات عالية من الأمونيا أن تهيج وتحرق الجلد والفم والحلق والرئتين والعينين. يمكن لمستويات عالية جدًا من الأمونيا أن تلحق الضرر بالرئتين أو تسبب الوفاة.")</f>
        <v>يمكن لمستويات عالية من الأمونيا أن تهيج وتحرق الجلد والفم والحلق والرئتين والعينين. يمكن لمستويات عالية جدًا من الأمونيا أن تلحق الضرر بالرئتين أو تسبب الوفاة.</v>
      </c>
      <c r="F231" s="7" t="str">
        <f>IFERROR(__xludf.DUMMYFUNCTION("GoogleTranslate(C231, ""en"", ""hy"")"),"Ամոնիակի բարձր մակարդակը կարող է գրգռել և այրել մաշկը, բերանը, կոկորդը, թոքերը և աչքերը: Ամոնիակի շատ բարձր մակարդակը կարող է վնասել թոքերը կամ հանգեցնել մահվան:")</f>
        <v>Ամոնիակի բարձր մակարդակը կարող է գրգռել և այրել մաշկը, բերանը, կոկորդը, թոքերը և աչքերը: Ամոնիակի շատ բարձր մակարդակը կարող է վնասել թոքերը կամ հանգեցնել մահվան:</v>
      </c>
      <c r="G231" s="7" t="str">
        <f>IFERROR(__xludf.DUMMYFUNCTION("GoogleTranslate(C231, ""en"", ""vi"")"),"Nồng độ amoniac cao có thể gây kích ứng và bỏng da, miệng, cổ họng, phổi và mắt. Nồng độ amoniac rất cao có thể làm hỏng phổi hoặc gây tử vong.")</f>
        <v>Nồng độ amoniac cao có thể gây kích ứng và bỏng da, miệng, cổ họng, phổi và mắt. Nồng độ amoniac rất cao có thể làm hỏng phổi hoặc gây tử vong.</v>
      </c>
      <c r="H231" s="7" t="str">
        <f>IFERROR(__xludf.DUMMYFUNCTION("GoogleTranslate(C231, ""en"", ""az"")"),"Yüksək səviyyədə ammonyak dərini, ağızı, boğazı, ağciyərləri və gözləri qıcıqlandıra və yandıra bilər. Çox yüksək miqdarda ammonyak ağciyərlərə zərər verə bilər və ya ölümə səbəb ola bilər.")</f>
        <v>Yüksək səviyyədə ammonyak dərini, ağızı, boğazı, ağciyərləri və gözləri qıcıqlandıra və yandıra bilər. Çox yüksək miqdarda ammonyak ağciyərlərə zərər verə bilər və ya ölümə səbəb ola bilər.</v>
      </c>
      <c r="I231" s="7" t="str">
        <f>IFERROR(__xludf.DUMMYFUNCTION("GoogleTranslate(C231, ""en"", ""eu"")"),"Amoniako maila altuek azala, ahoa, eztarria, birikak eta begiak narrita ditzakete eta erre. Amoniako maila oso altuek birikak kaltetu edo heriotza eragin dezakete.")</f>
        <v>Amoniako maila altuek azala, ahoa, eztarria, birikak eta begiak narrita ditzakete eta erre. Amoniako maila oso altuek birikak kaltetu edo heriotza eragin dezakete.</v>
      </c>
      <c r="J231" s="7" t="str">
        <f>IFERROR(__xludf.DUMMYFUNCTION("GoogleTranslate(C231, ""en"", ""be"")"),"Высокі ўзровень аміяку можа выклікаць раздражненне і апёк скуры, рота, горла, лёгкіх і вачэй. Вельмі высокі ўзровень аміяку можа пашкодзіць лёгкія або прывесці да смерці.")</f>
        <v>Высокі ўзровень аміяку можа выклікаць раздражненне і апёк скуры, рота, горла, лёгкіх і вачэй. Вельмі высокі ўзровень аміяку можа пашкодзіць лёгкія або прывесці да смерці.</v>
      </c>
      <c r="K231" s="7" t="str">
        <f>IFERROR(__xludf.DUMMYFUNCTION("GoogleTranslate(C231, ""en"", ""bn"")"),"উচ্চ মাত্রার অ্যামোনিয়া ত্বক, মুখ, গলা, ফুসফুস এবং চোখকে জ্বালাতন ও পোড়াতে পারে। খুব উচ্চ মাত্রার অ্যামোনিয়া ফুসফুসের ক্ষতি করতে পারে বা মৃত্যুর কারণ হতে পারে।")</f>
        <v>উচ্চ মাত্রার অ্যামোনিয়া ত্বক, মুখ, গলা, ফুসফুস এবং চোখকে জ্বালাতন ও পোড়াতে পারে। খুব উচ্চ মাত্রার অ্যামোনিয়া ফুসফুসের ক্ষতি করতে পারে বা মৃত্যুর কারণ হতে পারে।</v>
      </c>
      <c r="L231" s="7" t="str">
        <f>IFERROR(__xludf.DUMMYFUNCTION("GoogleTranslate(C231, ""en"", ""bg"")"),"Високите нива на амоняк могат да раздразнят и изгорят кожата, устата, гърлото, белите дробове и очите. Много високи нива на амоняк могат да увредят белите дробове или да причинят смърт.")</f>
        <v>Високите нива на амоняк могат да раздразнят и изгорят кожата, устата, гърлото, белите дробове и очите. Много високи нива на амоняк могат да увредят белите дробове или да причинят смърт.</v>
      </c>
      <c r="M231" s="7" t="str">
        <f>IFERROR(__xludf.DUMMYFUNCTION("GoogleTranslate(C231, ""en"", ""my"")"),"အမိုးနီးယားပါဝင်မှု မြင့်မားခြင်းသည် အရေပြား၊ ပါးစပ်၊ လည်ချောင်း၊ အဆုတ်နှင့် မျက်လုံးတို့ကို ယားယံစေပြီး မီးလောင်စေနိုင်သည်။ အမိုးနီးယား အလွန်များသော ပမာဏသည် အဆုတ်ကို ပျက်စီးစေနိုင်သည် သို့မဟုတ် သေစေနိုင်သည်။")</f>
        <v>အမိုးနီးယားပါဝင်မှု မြင့်မားခြင်းသည် အရေပြား၊ ပါးစပ်၊ လည်ချောင်း၊ အဆုတ်နှင့် မျက်လုံးတို့ကို ယားယံစေပြီး မီးလောင်စေနိုင်သည်။ အမိုးနီးယား အလွန်များသော ပမာဏသည် အဆုတ်ကို ပျက်စီးစေနိုင်သည် သို့မဟုတ် သေစေနိုင်သည်။</v>
      </c>
      <c r="N231" s="7" t="str">
        <f>IFERROR(__xludf.DUMMYFUNCTION("GoogleTranslate(C231, ""en"", ""ca"")"),"Els alts nivells d'amoníac poden irritar i cremar la pell, la boca, la gola, els pulmons i els ulls. Nivells molt alts d'amoníac poden danyar els pulmons o causar la mort.")</f>
        <v>Els alts nivells d'amoníac poden irritar i cremar la pell, la boca, la gola, els pulmons i els ulls. Nivells molt alts d'amoníac poden danyar els pulmons o causar la mort.</v>
      </c>
      <c r="O231" s="7" t="str">
        <f>IFERROR(__xludf.DUMMYFUNCTION("GoogleTranslate(C231, ""en"", ""zh-cn"")"),"高浓度的氨会刺激和烧伤皮肤、口腔、喉咙、肺部和眼睛。极高浓度的氨会损害肺部或导致死亡。")</f>
        <v>高浓度的氨会刺激和烧伤皮肤、口腔、喉咙、肺部和眼睛。极高浓度的氨会损害肺部或导致死亡。</v>
      </c>
      <c r="P231" s="7" t="str">
        <f>IFERROR(__xludf.DUMMYFUNCTION("GoogleTranslate(C231, ""en"", ""zh-TW"")"),"高濃度的氨會刺激和燒傷皮膚、口腔、喉嚨、肺部和眼睛。極高濃度的氨會損害肺部或導致死亡。")</f>
        <v>高濃度的氨會刺激和燒傷皮膚、口腔、喉嚨、肺部和眼睛。極高濃度的氨會損害肺部或導致死亡。</v>
      </c>
      <c r="Q231" s="7" t="str">
        <f>IFERROR(__xludf.DUMMYFUNCTION("GoogleTranslate(C231, ""en"", ""hr"")"),"Visoke razine amonijaka mogu iritirati i opeći kožu, usta, grlo, pluća i oči. Vrlo visoke razine amonijaka mogu oštetiti pluća ili uzrokovati smrt.")</f>
        <v>Visoke razine amonijaka mogu iritirati i opeći kožu, usta, grlo, pluća i oči. Vrlo visoke razine amonijaka mogu oštetiti pluća ili uzrokovati smrt.</v>
      </c>
      <c r="R231" s="7" t="str">
        <f>IFERROR(__xludf.DUMMYFUNCTION("GoogleTranslate(C231, ""en"", ""cs"")"),"Vysoké hladiny amoniaku mohou dráždit a pálit kůži, ústa, hrdlo, plíce a oči. Velmi vysoké hladiny amoniaku mohou poškodit plíce nebo způsobit smrt.")</f>
        <v>Vysoké hladiny amoniaku mohou dráždit a pálit kůži, ústa, hrdlo, plíce a oči. Velmi vysoké hladiny amoniaku mohou poškodit plíce nebo způsobit smrt.</v>
      </c>
      <c r="S231" s="7" t="str">
        <f>IFERROR(__xludf.DUMMYFUNCTION("GoogleTranslate(C231, ""en"", ""da"")"),"Høje niveauer af ammoniak kan irritere og brænde hud, mund, hals, lunger og øjne. Meget høje niveauer af ammoniak kan beskadige lungerne eller forårsage død.")</f>
        <v>Høje niveauer af ammoniak kan irritere og brænde hud, mund, hals, lunger og øjne. Meget høje niveauer af ammoniak kan beskadige lungerne eller forårsage død.</v>
      </c>
      <c r="T231" s="7" t="str">
        <f>IFERROR(__xludf.DUMMYFUNCTION("GoogleTranslate(C231, ""en"", ""nl"")"),"Een hoog ammoniakgehalte kan de huid, mond, keel, longen en ogen irriteren en verbranden. Zeer hoge niveaus van ammoniak kunnen de longen beschadigen of de dood veroorzaken.")</f>
        <v>Een hoog ammoniakgehalte kan de huid, mond, keel, longen en ogen irriteren en verbranden. Zeer hoge niveaus van ammoniak kunnen de longen beschadigen of de dood veroorzaken.</v>
      </c>
      <c r="U231" s="7" t="str">
        <f>IFERROR(__xludf.DUMMYFUNCTION("GoogleTranslate(C231, ""en"", ""et"")"),"Kõrge ammoniaagi sisaldus võib ärritada ja põletada nahka, suud, kurku, kopse ja silmi. Väga kõrge ammoniaagi sisaldus võib kahjustada kopse või põhjustada surma.")</f>
        <v>Kõrge ammoniaagi sisaldus võib ärritada ja põletada nahka, suud, kurku, kopse ja silmi. Väga kõrge ammoniaagi sisaldus võib kahjustada kopse või põhjustada surma.</v>
      </c>
      <c r="V231" s="5" t="str">
        <f t="shared" si="3"/>
        <v>High levels of ammonia can irritate and burn the skin, mouth, throat, lungs, and eyes. Very high levels of ammonia can damage the lungs or cause death.</v>
      </c>
      <c r="W231" s="7" t="str">
        <f>IFERROR(__xludf.DUMMYFUNCTION("GoogleTranslate(C231, ""en"", ""fi"")"),"Korkeat ammoniakkipitoisuudet voivat ärsyttää ja polttaa ihoa, suuta, kurkkua, keuhkoja ja silmiä. Erittäin korkeat ammoniakkipitoisuudet voivat vahingoittaa keuhkoja tai aiheuttaa kuoleman.")</f>
        <v>Korkeat ammoniakkipitoisuudet voivat ärsyttää ja polttaa ihoa, suuta, kurkkua, keuhkoja ja silmiä. Erittäin korkeat ammoniakkipitoisuudet voivat vahingoittaa keuhkoja tai aiheuttaa kuoleman.</v>
      </c>
      <c r="X231" s="7" t="str">
        <f>IFERROR(__xludf.DUMMYFUNCTION("GoogleTranslate(C231, ""en"", ""fr"")"),"Des niveaux élevés d'ammoniac peuvent irriter et brûler la peau, la bouche, la gorge, les poumons et les yeux. Des niveaux très élevés d’ammoniac peuvent endommager les poumons ou entraîner la mort.")</f>
        <v>Des niveaux élevés d'ammoniac peuvent irriter et brûler la peau, la bouche, la gorge, les poumons et les yeux. Des niveaux très élevés d’ammoniac peuvent endommager les poumons ou entraîner la mort.</v>
      </c>
      <c r="Y231" s="7" t="str">
        <f>IFERROR(__xludf.DUMMYFUNCTION("GoogleTranslate(C231, ""en"", ""de"")"),"Hohe Ammoniakkonzentrationen können Haut, Mund, Rachen, Lunge und Augen reizen und verbrennen. Sehr hohe Ammoniakkonzentrationen können die Lunge schädigen oder zum Tod führen.")</f>
        <v>Hohe Ammoniakkonzentrationen können Haut, Mund, Rachen, Lunge und Augen reizen und verbrennen. Sehr hohe Ammoniakkonzentrationen können die Lunge schädigen oder zum Tod führen.</v>
      </c>
      <c r="Z231" s="7" t="str">
        <f>IFERROR(__xludf.DUMMYFUNCTION("GoogleTranslate(C231, ""en"", ""el"")"),"Τα υψηλά επίπεδα αμμωνίας μπορεί να ερεθίσουν και να κάψουν το δέρμα, το στόμα, το λαιμό, τους πνεύμονες και τα μάτια. Πολύ υψηλά επίπεδα αμμωνίας μπορεί να βλάψουν τους πνεύμονες ή να προκαλέσουν θάνατο.")</f>
        <v>Τα υψηλά επίπεδα αμμωνίας μπορεί να ερεθίσουν και να κάψουν το δέρμα, το στόμα, το λαιμό, τους πνεύμονες και τα μάτια. Πολύ υψηλά επίπεδα αμμωνίας μπορεί να βλάψουν τους πνεύμονες ή να προκαλέσουν θάνατο.</v>
      </c>
      <c r="AA231" s="7" t="str">
        <f>IFERROR(__xludf.DUMMYFUNCTION("GoogleTranslate(C231, ""en"", ""iw"")"),"רמות גבוהות של אמוניה עלולות לגרות ולצרוב את העור, הפה, הגרון, הריאות והעיניים. רמות גבוהות מאוד של אמוניה עלולות להזיק לריאות או לגרום למוות.")</f>
        <v>רמות גבוהות של אמוניה עלולות לגרות ולצרוב את העור, הפה, הגרון, הריאות והעיניים. רמות גבוהות מאוד של אמוניה עלולות להזיק לריאות או לגרום למוות.</v>
      </c>
      <c r="AB231" s="7" t="str">
        <f>IFERROR(__xludf.DUMMYFUNCTION("GoogleTranslate(C231, ""en"", ""hi"")"),"अमोनिया का उच्च स्तर त्वचा, मुंह, गले, फेफड़ों और आंखों में जलन और जलन पैदा कर सकता है। अमोनिया का बहुत अधिक स्तर फेफड़ों को नुकसान पहुंचा सकता है या मृत्यु का कारण बन सकता है।")</f>
        <v>अमोनिया का उच्च स्तर त्वचा, मुंह, गले, फेफड़ों और आंखों में जलन और जलन पैदा कर सकता है। अमोनिया का बहुत अधिक स्तर फेफड़ों को नुकसान पहुंचा सकता है या मृत्यु का कारण बन सकता है।</v>
      </c>
      <c r="AC231" s="7" t="str">
        <f>IFERROR(__xludf.DUMMYFUNCTION("GoogleTranslate(C231, ""en"", ""hu"")"),"A magas ammóniaszint irritálhatja és megégetheti a bőrt, a szájat, a torkot, a tüdőt és a szemet. A nagyon magas ammóniaszint károsíthatja a tüdőt vagy halált okozhat.")</f>
        <v>A magas ammóniaszint irritálhatja és megégetheti a bőrt, a szájat, a torkot, a tüdőt és a szemet. A nagyon magas ammóniaszint károsíthatja a tüdőt vagy halált okozhat.</v>
      </c>
      <c r="AD231" s="7" t="str">
        <f>IFERROR(__xludf.DUMMYFUNCTION("GoogleTranslate(C231, ""en"", ""is"")"),"Mikið magn af ammoníaki getur ertað og brennt húð, munn, háls, lungu og augu. Mjög mikið magn af ammoníaki getur skemmt lungun eða valdið dauða.")</f>
        <v>Mikið magn af ammoníaki getur ertað og brennt húð, munn, háls, lungu og augu. Mjög mikið magn af ammoníaki getur skemmt lungun eða valdið dauða.</v>
      </c>
      <c r="AE231" s="7" t="str">
        <f>IFERROR(__xludf.DUMMYFUNCTION("GoogleTranslate(C231, ""en"", ""id"")"),"Kadar amonia yang tinggi dapat mengiritasi dan membakar kulit, mulut, tenggorokan, paru-paru, dan mata. Kadar amonia yang sangat tinggi dapat merusak paru-paru atau menyebabkan kematian.")</f>
        <v>Kadar amonia yang tinggi dapat mengiritasi dan membakar kulit, mulut, tenggorokan, paru-paru, dan mata. Kadar amonia yang sangat tinggi dapat merusak paru-paru atau menyebabkan kematian.</v>
      </c>
      <c r="AF231" s="7" t="str">
        <f>IFERROR(__xludf.DUMMYFUNCTION("GoogleTranslate(C231, ""en"", ""in"")"),"Kadar amonia yang tinggi dapat mengiritasi dan membakar kulit, mulut, tenggorokan, paru-paru, dan mata. Kadar amonia yang sangat tinggi dapat merusak paru-paru atau menyebabkan kematian.")</f>
        <v>Kadar amonia yang tinggi dapat mengiritasi dan membakar kulit, mulut, tenggorokan, paru-paru, dan mata. Kadar amonia yang sangat tinggi dapat merusak paru-paru atau menyebabkan kematian.</v>
      </c>
      <c r="AG231" s="7" t="str">
        <f>IFERROR(__xludf.DUMMYFUNCTION("GoogleTranslate(C231, ""en"", ""it"")"),"Alti livelli di ammoniaca possono irritare e bruciare la pelle, la bocca, la gola, i polmoni e gli occhi. Livelli molto elevati di ammoniaca possono danneggiare i polmoni o causare la morte.")</f>
        <v>Alti livelli di ammoniaca possono irritare e bruciare la pelle, la bocca, la gola, i polmoni e gli occhi. Livelli molto elevati di ammoniaca possono danneggiare i polmoni o causare la morte.</v>
      </c>
      <c r="AH231" s="7" t="str">
        <f>IFERROR(__xludf.DUMMYFUNCTION("GoogleTranslate(C231, ""en"", ""ja"")"),"高レベルのアンモニアは、皮膚、口、喉、肺、目を刺激し、火傷を引き起こす可能性があります。非常に高レベルのアンモニアは肺を損傷したり、死に至る可能性があります。")</f>
        <v>高レベルのアンモニアは、皮膚、口、喉、肺、目を刺激し、火傷を引き起こす可能性があります。非常に高レベルのアンモニアは肺を損傷したり、死に至る可能性があります。</v>
      </c>
      <c r="AI231" s="7" t="str">
        <f>IFERROR(__xludf.DUMMYFUNCTION("GoogleTranslate(C231, ""en"", ""kn"")"),"ಹೆಚ್ಚಿನ ಮಟ್ಟದ ಅಮೋನಿಯವು ಚರ್ಮ, ಬಾಯಿ, ಗಂಟಲು, ಶ್ವಾಸಕೋಶಗಳು ಮತ್ತು ಕಣ್ಣುಗಳನ್ನು ಕೆರಳಿಸಬಹುದು ಮತ್ತು ಸುಡಬಹುದು. ಹೆಚ್ಚಿನ ಮಟ್ಟದ ಅಮೋನಿಯವು ಶ್ವಾಸಕೋಶವನ್ನು ಹಾನಿಗೊಳಿಸಬಹುದು ಅಥವಾ ಸಾವಿಗೆ ಕಾರಣವಾಗಬಹುದು.")</f>
        <v>ಹೆಚ್ಚಿನ ಮಟ್ಟದ ಅಮೋನಿಯವು ಚರ್ಮ, ಬಾಯಿ, ಗಂಟಲು, ಶ್ವಾಸಕೋಶಗಳು ಮತ್ತು ಕಣ್ಣುಗಳನ್ನು ಕೆರಳಿಸಬಹುದು ಮತ್ತು ಸುಡಬಹುದು. ಹೆಚ್ಚಿನ ಮಟ್ಟದ ಅಮೋನಿಯವು ಶ್ವಾಸಕೋಶವನ್ನು ಹಾನಿಗೊಳಿಸಬಹುದು ಅಥವಾ ಸಾವಿಗೆ ಕಾರಣವಾಗಬಹುದು.</v>
      </c>
      <c r="AJ231" s="7" t="str">
        <f>IFERROR(__xludf.DUMMYFUNCTION("GoogleTranslate(C231, ""en"", ""km"")"),"កម្រិតខ្ពស់នៃអាម៉ូញាក់អាចរលាក និងរលាកស្បែក មាត់ បំពង់ក សួត និងភ្នែក។ កម្រិតខ្ពស់នៃអាម៉ូញាក់អាចបំផ្លាញសួត ឬបណ្តាលឱ្យស្លាប់។")</f>
        <v>កម្រិតខ្ពស់នៃអាម៉ូញាក់អាចរលាក និងរលាកស្បែក មាត់ បំពង់ក សួត និងភ្នែក។ កម្រិតខ្ពស់នៃអាម៉ូញាក់អាចបំផ្លាញសួត ឬបណ្តាលឱ្យស្លាប់។</v>
      </c>
      <c r="AK231" s="7" t="str">
        <f>IFERROR(__xludf.DUMMYFUNCTION("GoogleTranslate(C231, ""en"", ""ko"")"),"높은 수준의 암모니아는 피부, 입, 목, 폐 및 눈을 자극하고 화상을 입힐 수 있습니다. 매우 높은 수준의 암모니아는 폐를 손상시키거나 사망을 초래할 수 있습니다.")</f>
        <v>높은 수준의 암모니아는 피부, 입, 목, 폐 및 눈을 자극하고 화상을 입힐 수 있습니다. 매우 높은 수준의 암모니아는 폐를 손상시키거나 사망을 초래할 수 있습니다.</v>
      </c>
      <c r="AL231" s="7" t="str">
        <f>IFERROR(__xludf.DUMMYFUNCTION("GoogleTranslate(C231, ""en"", ""lo"")"),"ລະດັບສູງຂອງແອມໂມເນຍສາມາດລະຄາຍເຄືອງແລະບາດແຜຜິວຫນັງ, ປາກ, ຄໍ, ປອດ, ແລະຕາ. ລະດັບອາໂມເນຍສູງຫຼາຍສາມາດທໍາລາຍປອດຫຼືເຮັດໃຫ້ເກີດການເສຍຊີວິດ.")</f>
        <v>ລະດັບສູງຂອງແອມໂມເນຍສາມາດລະຄາຍເຄືອງແລະບາດແຜຜິວຫນັງ, ປາກ, ຄໍ, ປອດ, ແລະຕາ. ລະດັບອາໂມເນຍສູງຫຼາຍສາມາດທໍາລາຍປອດຫຼືເຮັດໃຫ້ເກີດການເສຍຊີວິດ.</v>
      </c>
      <c r="AM231" s="7" t="str">
        <f>IFERROR(__xludf.DUMMYFUNCTION("GoogleTranslate(C231, ""en"", ""lv"")"),"Augsts amonjaka līmenis var kairināt un apdedzināt ādu, muti, kaklu, plaušas un acis. Ļoti augsts amonjaka līmenis var sabojāt plaušas vai izraisīt nāvi.")</f>
        <v>Augsts amonjaka līmenis var kairināt un apdedzināt ādu, muti, kaklu, plaušas un acis. Ļoti augsts amonjaka līmenis var sabojāt plaušas vai izraisīt nāvi.</v>
      </c>
      <c r="AN231" s="7" t="str">
        <f>IFERROR(__xludf.DUMMYFUNCTION("GoogleTranslate(C231, ""en"", ""lt"")"),"Didelis amoniako kiekis gali sudirginti ir nudeginti odą, burną, gerklę, plaučius ir akis. Labai didelis amoniako kiekis gali pažeisti plaučius arba sukelti mirtį.")</f>
        <v>Didelis amoniako kiekis gali sudirginti ir nudeginti odą, burną, gerklę, plaučius ir akis. Labai didelis amoniako kiekis gali pažeisti plaučius arba sukelti mirtį.</v>
      </c>
      <c r="AO231" s="7" t="str">
        <f>IFERROR(__xludf.DUMMYFUNCTION("GoogleTranslate(C231, ""en"", ""mk"")"),"Високото ниво на амонијак може да ја иритира и изгори кожата, устата, грлото, белите дробови и очите. Многу високи нивоа на амонијак може да ги оштетат белите дробови или да предизвикаат смрт.")</f>
        <v>Високото ниво на амонијак може да ја иритира и изгори кожата, устата, грлото, белите дробови и очите. Многу високи нивоа на амонијак може да ги оштетат белите дробови или да предизвикаат смрт.</v>
      </c>
      <c r="AP231" s="7" t="str">
        <f>IFERROR(__xludf.DUMMYFUNCTION("GoogleTranslate(C231, ""en"", ""ms"")"),"Tahap ammonia yang tinggi boleh merengsakan dan membakar kulit, mulut, tekak, paru-paru, dan mata. Tahap ammonia yang sangat tinggi boleh merosakkan paru-paru atau menyebabkan kematian.")</f>
        <v>Tahap ammonia yang tinggi boleh merengsakan dan membakar kulit, mulut, tekak, paru-paru, dan mata. Tahap ammonia yang sangat tinggi boleh merosakkan paru-paru atau menyebabkan kematian.</v>
      </c>
      <c r="AQ231" s="7" t="str">
        <f>IFERROR(__xludf.DUMMYFUNCTION("GoogleTranslate(C231, ""en"", ""ml"")"),"ഉയർന്ന അളവിലുള്ള അമോണിയ ചർമ്മം, വായ, തൊണ്ട, ശ്വാസകോശം, കണ്ണുകൾ എന്നിവയെ പ്രകോപിപ്പിക്കുകയും കത്തിക്കുകയും ചെയ്യും. വളരെ ഉയർന്ന അളവിലുള്ള അമോണിയ ശ്വാസകോശത്തിന് കേടുവരുത്തുകയോ മരണത്തിന് കാരണമാവുകയോ ചെയ്യും.")</f>
        <v>ഉയർന്ന അളവിലുള്ള അമോണിയ ചർമ്മം, വായ, തൊണ്ട, ശ്വാസകോശം, കണ്ണുകൾ എന്നിവയെ പ്രകോപിപ്പിക്കുകയും കത്തിക്കുകയും ചെയ്യും. വളരെ ഉയർന്ന അളവിലുള്ള അമോണിയ ശ്വാസകോശത്തിന് കേടുവരുത്തുകയോ മരണത്തിന് കാരണമാവുകയോ ചെയ്യും.</v>
      </c>
      <c r="AR231" s="7" t="str">
        <f>IFERROR(__xludf.DUMMYFUNCTION("GoogleTranslate(C231, ""en"", ""mr"")"),"अमोनियाची उच्च पातळी त्वचा, तोंड, घसा, फुफ्फुसे आणि डोळे यांना त्रास देऊ शकते आणि बर्न करू शकते. अमोनियाच्या उच्च पातळीमुळे फुफ्फुसांना नुकसान होऊ शकते किंवा मृत्यू होऊ शकतो.")</f>
        <v>अमोनियाची उच्च पातळी त्वचा, तोंड, घसा, फुफ्फुसे आणि डोळे यांना त्रास देऊ शकते आणि बर्न करू शकते. अमोनियाच्या उच्च पातळीमुळे फुफ्फुसांना नुकसान होऊ शकते किंवा मृत्यू होऊ शकतो.</v>
      </c>
      <c r="AS231" s="7" t="str">
        <f>IFERROR(__xludf.DUMMYFUNCTION("GoogleTranslate(C231, ""en"", ""mn"")"),"Аммиакийн өндөр агууламж нь арьс, ам, хоолой, уушиг, нүдийг цочроож, түлдэг. Маш их хэмжээний аммиак нь уушгийг гэмтээж эсвэл үхэлд хүргэдэг.")</f>
        <v>Аммиакийн өндөр агууламж нь арьс, ам, хоолой, уушиг, нүдийг цочроож, түлдэг. Маш их хэмжээний аммиак нь уушгийг гэмтээж эсвэл үхэлд хүргэдэг.</v>
      </c>
      <c r="AT231" s="7" t="str">
        <f>IFERROR(__xludf.DUMMYFUNCTION("GoogleTranslate(C231, ""en"", ""ne"")"),"अमोनियाको उच्च स्तरले छाला, मुख, घाँटी, फोक्सो र आँखा जलाउन र जलाउन सक्छ। अमोनियाको धेरै उच्च स्तरले फोक्सोलाई हानि पुर्‍याउन सक्छ वा मृत्यु निम्त्याउन सक्छ।")</f>
        <v>अमोनियाको उच्च स्तरले छाला, मुख, घाँटी, फोक्सो र आँखा जलाउन र जलाउन सक्छ। अमोनियाको धेरै उच्च स्तरले फोक्सोलाई हानि पुर्‍याउन सक्छ वा मृत्यु निम्त्याउन सक्छ।</v>
      </c>
      <c r="AU231" s="7" t="str">
        <f>IFERROR(__xludf.DUMMYFUNCTION("GoogleTranslate(C231, ""en"", ""nb"")"),"Høye nivåer av ammoniakk kan irritere og brenne hud, munn, svelg, lunger og øyne. Svært høye nivåer av ammoniakk kan skade lungene eller forårsake død.")</f>
        <v>Høye nivåer av ammoniakk kan irritere og brenne hud, munn, svelg, lunger og øyne. Svært høye nivåer av ammoniakk kan skade lungene eller forårsake død.</v>
      </c>
      <c r="AV231" s="7" t="str">
        <f>IFERROR(__xludf.DUMMYFUNCTION("GoogleTranslate(C231, ""en"", ""fa"")"),"سطوح بالای آمونیاک می تواند باعث تحریک و سوزش پوست، دهان، گلو، ریه ها و چشم ها شود. سطوح بسیار بالای آمونیاک می تواند به ریه ها آسیب برساند یا باعث مرگ شود.")</f>
        <v>سطوح بالای آمونیاک می تواند باعث تحریک و سوزش پوست، دهان، گلو، ریه ها و چشم ها شود. سطوح بسیار بالای آمونیاک می تواند به ریه ها آسیب برساند یا باعث مرگ شود.</v>
      </c>
      <c r="AW231" s="7" t="str">
        <f>IFERROR(__xludf.DUMMYFUNCTION("GoogleTranslate(C231, ""en"", ""pl"")"),"Wysoki poziom amoniaku może podrażniać i palić skórę, usta, gardło, płuca i oczy. Bardzo wysoki poziom amoniaku może uszkodzić płuca lub spowodować śmierć.")</f>
        <v>Wysoki poziom amoniaku może podrażniać i palić skórę, usta, gardło, płuca i oczy. Bardzo wysoki poziom amoniaku może uszkodzić płuca lub spowodować śmierć.</v>
      </c>
      <c r="AX231" s="7" t="str">
        <f>IFERROR(__xludf.DUMMYFUNCTION("GoogleTranslate(C231, ""en"", ""pt"")"),"Altos níveis de amônia podem irritar e queimar a pele, boca, garganta, pulmões e olhos. Níveis muito elevados de amônia podem danificar os pulmões ou causar a morte.")</f>
        <v>Altos níveis de amônia podem irritar e queimar a pele, boca, garganta, pulmões e olhos. Níveis muito elevados de amônia podem danificar os pulmões ou causar a morte.</v>
      </c>
      <c r="AY231" s="7" t="str">
        <f>IFERROR(__xludf.DUMMYFUNCTION("GoogleTranslate(C231, ""en"", ""ro"")"),"Nivelurile ridicate de amoniac pot irita și arde pielea, gura, gâtul, plămânii și ochii. Nivelurile foarte ridicate de amoniac pot deteriora plămânii sau pot provoca moartea.")</f>
        <v>Nivelurile ridicate de amoniac pot irita și arde pielea, gura, gâtul, plămânii și ochii. Nivelurile foarte ridicate de amoniac pot deteriora plămânii sau pot provoca moartea.</v>
      </c>
      <c r="AZ231" s="7" t="str">
        <f>IFERROR(__xludf.DUMMYFUNCTION("GoogleTranslate(C231, ""en"", ""ru"")"),"Высокий уровень аммиака может вызвать раздражение и ожог кожи, рта, горла, легких и глаз. Очень высокие уровни аммиака могут повредить легкие или привести к смерти.")</f>
        <v>Высокий уровень аммиака может вызвать раздражение и ожог кожи, рта, горла, легких и глаз. Очень высокие уровни аммиака могут повредить легкие или привести к смерти.</v>
      </c>
      <c r="BA231" s="7" t="str">
        <f>IFERROR(__xludf.DUMMYFUNCTION("GoogleTranslate(C231, ""en"", ""sr"")"),"Висок ниво амонијака може иритирати и запалити кожу, уста, грло, плућа и очи. Веома висок ниво амонијака може оштетити плућа или изазвати смрт.")</f>
        <v>Висок ниво амонијака може иритирати и запалити кожу, уста, грло, плућа и очи. Веома висок ниво амонијака може оштетити плућа или изазвати смрт.</v>
      </c>
      <c r="BB231" s="7" t="str">
        <f>IFERROR(__xludf.DUMMYFUNCTION("GoogleTranslate(C231, ""en"", ""si"")"),"ඉහළ මට්ටමේ ඇමෝනියා සම, මුඛය, උගුර, පෙනහළු සහ ඇස් කුපිත කර පුළුස්සා දැමිය හැක. ඉතා ඉහළ මට්ටමේ ඇමෝනියා පෙණහලුවලට හානි කිරීමට හෝ මරණයට හේතු විය හැක.")</f>
        <v>ඉහළ මට්ටමේ ඇමෝනියා සම, මුඛය, උගුර, පෙනහළු සහ ඇස් කුපිත කර පුළුස්සා දැමිය හැක. ඉතා ඉහළ මට්ටමේ ඇමෝනියා පෙණහලුවලට හානි කිරීමට හෝ මරණයට හේතු විය හැක.</v>
      </c>
      <c r="BC231" s="7" t="str">
        <f>IFERROR(__xludf.DUMMYFUNCTION("GoogleTranslate(C231, ""en"", ""sk"")"),"Vysoké hladiny amoniaku môžu dráždiť a popáliť pokožku, ústa, hrdlo, pľúca a oči. Veľmi vysoké hladiny amoniaku môžu poškodiť pľúca alebo spôsobiť smrť.")</f>
        <v>Vysoké hladiny amoniaku môžu dráždiť a popáliť pokožku, ústa, hrdlo, pľúca a oči. Veľmi vysoké hladiny amoniaku môžu poškodiť pľúca alebo spôsobiť smrť.</v>
      </c>
      <c r="BD231" s="7" t="str">
        <f>IFERROR(__xludf.DUMMYFUNCTION("GoogleTranslate(C231, ""en"", ""sl"")"),"Visoke ravni amoniaka lahko dražijo in opečejo kožo, usta, grlo, pljuča in oči. Zelo visoke ravni amoniaka lahko poškodujejo pljuča ali povzročijo smrt.")</f>
        <v>Visoke ravni amoniaka lahko dražijo in opečejo kožo, usta, grlo, pljuča in oči. Zelo visoke ravni amoniaka lahko poškodujejo pljuča ali povzročijo smrt.</v>
      </c>
      <c r="BE231" s="7" t="str">
        <f>IFERROR(__xludf.DUMMYFUNCTION("GoogleTranslate(C231, ""en"", ""es"")"),"Los niveles elevados de amoníaco pueden irritar y quemar la piel, la boca, la garganta, los pulmones y los ojos. Niveles muy altos de amoníaco pueden dañar los pulmones o provocar la muerte.")</f>
        <v>Los niveles elevados de amoníaco pueden irritar y quemar la piel, la boca, la garganta, los pulmones y los ojos. Niveles muy altos de amoníaco pueden dañar los pulmones o provocar la muerte.</v>
      </c>
      <c r="BF231" s="7" t="str">
        <f>IFERROR(__xludf.DUMMYFUNCTION("GoogleTranslate(C231, ""en"", ""sw"")"),"Viwango vya juu vya amonia vinaweza kuwasha na kuchoma ngozi, mdomo, koo, mapafu na macho. Kiwango cha juu sana cha amonia kinaweza kuharibu mapafu au kusababisha kifo.")</f>
        <v>Viwango vya juu vya amonia vinaweza kuwasha na kuchoma ngozi, mdomo, koo, mapafu na macho. Kiwango cha juu sana cha amonia kinaweza kuharibu mapafu au kusababisha kifo.</v>
      </c>
      <c r="BG231" s="7" t="str">
        <f>IFERROR(__xludf.DUMMYFUNCTION("GoogleTranslate(C231, ""en"", ""sv"")"),"Höga nivåer av ammoniak kan irritera och bränna hud, mun, svalg, lungor och ögon. Mycket höga nivåer av ammoniak kan skada lungorna eller orsaka dödsfall.")</f>
        <v>Höga nivåer av ammoniak kan irritera och bränna hud, mun, svalg, lungor och ögon. Mycket höga nivåer av ammoniak kan skada lungorna eller orsaka dödsfall.</v>
      </c>
      <c r="BH231" s="7" t="str">
        <f>IFERROR(__xludf.DUMMYFUNCTION("GoogleTranslate(C231, ""en"", ""te"")"),"అధిక స్థాయి అమ్మోనియా చర్మం, నోరు, గొంతు, ఊపిరితిత్తులు మరియు కళ్లను చికాకుపెడుతుంది. అమ్మోనియా చాలా ఎక్కువ స్థాయిలో ఊపిరితిత్తులను దెబ్బతీస్తుంది లేదా మరణానికి కారణమవుతుంది.")</f>
        <v>అధిక స్థాయి అమ్మోనియా చర్మం, నోరు, గొంతు, ఊపిరితిత్తులు మరియు కళ్లను చికాకుపెడుతుంది. అమ్మోనియా చాలా ఎక్కువ స్థాయిలో ఊపిరితిత్తులను దెబ్బతీస్తుంది లేదా మరణానికి కారణమవుతుంది.</v>
      </c>
      <c r="BI231" s="7" t="str">
        <f>IFERROR(__xludf.DUMMYFUNCTION("GoogleTranslate(C231, ""en"", ""th"")"),"แอมโมเนียในระดับสูงอาจทำให้ระคายเคืองและแสบผิวหนัง ปาก ลำคอ ปอด และดวงตาได้ แอมโมเนียในระดับที่สูงมากสามารถทำลายปอดหรือทำให้เสียชีวิตได้")</f>
        <v>แอมโมเนียในระดับสูงอาจทำให้ระคายเคืองและแสบผิวหนัง ปาก ลำคอ ปอด และดวงตาได้ แอมโมเนียในระดับที่สูงมากสามารถทำลายปอดหรือทำให้เสียชีวิตได้</v>
      </c>
      <c r="BJ231" s="7" t="str">
        <f>IFERROR(__xludf.DUMMYFUNCTION("GoogleTranslate(C231, ""en"", ""tr"")"),"Yüksek düzeyde amonyak cildi, ağzı, boğazı, akciğerleri ve gözleri tahriş edebilir ve yakabilir. Çok yüksek düzeyde amonyak akciğerlere zarar verebilir veya ölüme neden olabilir.")</f>
        <v>Yüksek düzeyde amonyak cildi, ağzı, boğazı, akciğerleri ve gözleri tahriş edebilir ve yakabilir. Çok yüksek düzeyde amonyak akciğerlere zarar verebilir veya ölüme neden olabilir.</v>
      </c>
      <c r="BK231" s="7" t="str">
        <f>IFERROR(__xludf.DUMMYFUNCTION("GoogleTranslate(C231, ""en"", ""uk"")"),"Високий рівень аміаку може викликати подразнення та опік шкіри, рота, горла, легенів та очей. Дуже високий рівень аміаку може пошкодити легені або спричинити смерть.")</f>
        <v>Високий рівень аміаку може викликати подразнення та опік шкіри, рота, горла, легенів та очей. Дуже високий рівень аміаку може пошкодити легені або спричинити смерть.</v>
      </c>
      <c r="BL231" s="7" t="str">
        <f>IFERROR(__xludf.DUMMYFUNCTION("GoogleTranslate(C231, ""en"", ""zu"")"),"Amazinga aphezulu e-ammonia angacasula futhi ashise isikhumba, umlomo, umphimbo, amaphaphu, namehlo. Amazinga aphezulu kakhulu e-ammonia angalimaza amaphaphu noma abangele ukufa.")</f>
        <v>Amazinga aphezulu e-ammonia angacasula futhi ashise isikhumba, umlomo, umphimbo, amaphaphu, namehlo. Amazinga aphezulu kakhulu e-ammonia angalimaza amaphaphu noma abangele ukufa.</v>
      </c>
    </row>
    <row r="232">
      <c r="A232" s="5" t="str">
        <f t="shared" si="1"/>
        <v>PM10_particles_are_small_enough_to_get_into_your_throat_and_lungs._High_levels_of_PM10_can_make_you_cough,_your_nose_run_and_eyes_sting.</v>
      </c>
      <c r="B232" s="4" t="s">
        <v>275</v>
      </c>
      <c r="C232" s="4" t="s">
        <v>275</v>
      </c>
      <c r="D232" s="7" t="str">
        <f>IFERROR(__xludf.DUMMYFUNCTION("GoogleTranslate(C232, ""en"", ""es"")"),"Las partículas PM10 son lo suficientemente pequeñas como para llegar a la garganta y los pulmones. Los niveles altos de PM10 pueden provocar tos, moqueo nasal y ardor en los ojos.")</f>
        <v>Las partículas PM10 son lo suficientemente pequeñas como para llegar a la garganta y los pulmones. Los niveles altos de PM10 pueden provocar tos, moqueo nasal y ardor en los ojos.</v>
      </c>
      <c r="E232" s="7" t="str">
        <f>IFERROR(__xludf.DUMMYFUNCTION("GoogleTranslate(C232, ""en"", ""ar"")"),"جزيئات PM10 صغيرة بما يكفي للوصول إلى الحلق والرئتين. المستويات العالية من PM10 يمكن أن تجعلك تسعل وسيلان أنفك وتلدغ عينيك.")</f>
        <v>جزيئات PM10 صغيرة بما يكفي للوصول إلى الحلق والرئتين. المستويات العالية من PM10 يمكن أن تجعلك تسعل وسيلان أنفك وتلدغ عينيك.</v>
      </c>
      <c r="F232" s="7" t="str">
        <f>IFERROR(__xludf.DUMMYFUNCTION("GoogleTranslate(C232, ""en"", ""hy"")"),"PM10 մասնիկները բավական փոքր են, որպեսզի մտնեն ձեր կոկորդ և թոքեր: PM10-ի բարձր մակարդակը կարող է առաջացնել հազ, քիթ և աչքերի խայթոց:")</f>
        <v>PM10 մասնիկները բավական փոքր են, որպեսզի մտնեն ձեր կոկորդ և թոքեր: PM10-ի բարձր մակարդակը կարող է առաջացնել հազ, քիթ և աչքերի խայթոց:</v>
      </c>
      <c r="G232" s="7" t="str">
        <f>IFERROR(__xludf.DUMMYFUNCTION("GoogleTranslate(C232, ""en"", ""vi"")"),"Các hạt PM10 đủ nhỏ để đi vào cổ họng và phổi của bạn. Mức độ PM10 cao có thể khiến bạn ho, chảy nước mũi và cay mắt.")</f>
        <v>Các hạt PM10 đủ nhỏ để đi vào cổ họng và phổi của bạn. Mức độ PM10 cao có thể khiến bạn ho, chảy nước mũi và cay mắt.</v>
      </c>
      <c r="H232" s="7" t="str">
        <f>IFERROR(__xludf.DUMMYFUNCTION("GoogleTranslate(C232, ""en"", ""az"")"),"PM10 hissəcikləri boğazınıza və ağciyərlərinizə daxil olmaq üçün kifayət qədər kiçikdir. Yüksək səviyyəli PM10 öskürək, burnunuzun axması və gözlərinizi sancmağa səbəb ola bilər.")</f>
        <v>PM10 hissəcikləri boğazınıza və ağciyərlərinizə daxil olmaq üçün kifayət qədər kiçikdir. Yüksək səviyyəli PM10 öskürək, burnunuzun axması və gözlərinizi sancmağa səbəb ola bilər.</v>
      </c>
      <c r="I232" s="7" t="str">
        <f>IFERROR(__xludf.DUMMYFUNCTION("GoogleTranslate(C232, ""en"", ""eu"")"),"PM10 partikulak nahikoa txikiak dira eztarrian eta biriketan sartzeko. PM10 maila altuek eztula, sudurra korritu eta begiak ziztarazi dezakete.")</f>
        <v>PM10 partikulak nahikoa txikiak dira eztarrian eta biriketan sartzeko. PM10 maila altuek eztula, sudurra korritu eta begiak ziztarazi dezakete.</v>
      </c>
      <c r="J232" s="7" t="str">
        <f>IFERROR(__xludf.DUMMYFUNCTION("GoogleTranslate(C232, ""en"", ""be"")"),"Часціцы PM10 досыць малыя, каб патрапіць у горла і лёгкія. Высокі ўзровень PM10 можа выклікаць кашаль, насмарк і пяршэнне ў вачах.")</f>
        <v>Часціцы PM10 досыць малыя, каб патрапіць у горла і лёгкія. Высокі ўзровень PM10 можа выклікаць кашаль, насмарк і пяршэнне ў вачах.</v>
      </c>
      <c r="K232" s="7" t="str">
        <f>IFERROR(__xludf.DUMMYFUNCTION("GoogleTranslate(C232, ""en"", ""bn"")"),"PM10 কণা আপনার গলা এবং ফুসফুসে প্রবেশ করার জন্য যথেষ্ট ছোট। উচ্চ মাত্রার PM10 আপনাকে কাশি করতে পারে, আপনার নাক দিয়ে পানি পড়তে পারে এবং চোখ দংশন করতে পারে।")</f>
        <v>PM10 কণা আপনার গলা এবং ফুসফুসে প্রবেশ করার জন্য যথেষ্ট ছোট। উচ্চ মাত্রার PM10 আপনাকে কাশি করতে পারে, আপনার নাক দিয়ে পানি পড়তে পারে এবং চোখ দংশন করতে পারে।</v>
      </c>
      <c r="L232" s="7" t="str">
        <f>IFERROR(__xludf.DUMMYFUNCTION("GoogleTranslate(C232, ""en"", ""bg"")"),"Частиците PM10 са достатъчно малки, за да попаднат в гърлото и белите дробове. Високите нива на PM10 могат да ви накарат да кашляте, да тече от носа и да ви щипе в очите.")</f>
        <v>Частиците PM10 са достатъчно малки, за да попаднат в гърлото и белите дробове. Високите нива на PM10 могат да ви накарат да кашляте, да тече от носа и да ви щипе в очите.</v>
      </c>
      <c r="M232" s="7" t="str">
        <f>IFERROR(__xludf.DUMMYFUNCTION("GoogleTranslate(C232, ""en"", ""my"")"),"PM10 အမှုန်အမွှားများသည် သင့်လည်ချောင်းနှင့် အဆုတ်အတွင်းသို့ လုံလောက်စွာသေးငယ်ပါသည်။ မြင့်မားသော PM10 သည် သင့်အား ချောင်းဆိုးခြင်း၊ နှာရည်ယိုခြင်း နှင့် မျက်လုံးများ ညောင်းခြင်းကို ဖြစ်စေနိုင်သည်။")</f>
        <v>PM10 အမှုန်အမွှားများသည် သင့်လည်ချောင်းနှင့် အဆုတ်အတွင်းသို့ လုံလောက်စွာသေးငယ်ပါသည်။ မြင့်မားသော PM10 သည် သင့်အား ချောင်းဆိုးခြင်း၊ နှာရည်ယိုခြင်း နှင့် မျက်လုံးများ ညောင်းခြင်းကို ဖြစ်စေနိုင်သည်။</v>
      </c>
      <c r="N232" s="7" t="str">
        <f>IFERROR(__xludf.DUMMYFUNCTION("GoogleTranslate(C232, ""en"", ""ca"")"),"Les partícules PM10 són prou petites per entrar a la gola i als pulmons. Els alts nivells de PM10 poden fer-te tossir, córrer el nas i fer-te picar els ulls.")</f>
        <v>Les partícules PM10 són prou petites per entrar a la gola i als pulmons. Els alts nivells de PM10 poden fer-te tossir, córrer el nas i fer-te picar els ulls.</v>
      </c>
      <c r="O232" s="7" t="str">
        <f>IFERROR(__xludf.DUMMYFUNCTION("GoogleTranslate(C232, ""en"", ""zh-cn"")"),"PM10 颗粒足够小，可以进入您的喉咙和肺部。高浓度的 PM10 会导致咳嗽、流鼻涕和眼睛刺痛。")</f>
        <v>PM10 颗粒足够小，可以进入您的喉咙和肺部。高浓度的 PM10 会导致咳嗽、流鼻涕和眼睛刺痛。</v>
      </c>
      <c r="P232" s="7" t="str">
        <f>IFERROR(__xludf.DUMMYFUNCTION("GoogleTranslate(C232, ""en"", ""zh-TW"")"),"PM10 顆粒足夠小，可以進入您的喉嚨和肺部。高濃度的 PM10 會導致咳嗽、流鼻水和眼睛刺痛。")</f>
        <v>PM10 顆粒足夠小，可以進入您的喉嚨和肺部。高濃度的 PM10 會導致咳嗽、流鼻水和眼睛刺痛。</v>
      </c>
      <c r="Q232" s="7" t="str">
        <f>IFERROR(__xludf.DUMMYFUNCTION("GoogleTranslate(C232, ""en"", ""hr"")"),"Čestice PM10 dovoljno su male da vam dospiju u grlo i pluća. Visoke razine PM10 mogu izazvati kašalj, curenje iz nosa i peckanje u očima.")</f>
        <v>Čestice PM10 dovoljno su male da vam dospiju u grlo i pluća. Visoke razine PM10 mogu izazvati kašalj, curenje iz nosa i peckanje u očima.</v>
      </c>
      <c r="R232" s="7" t="str">
        <f>IFERROR(__xludf.DUMMYFUNCTION("GoogleTranslate(C232, ""en"", ""cs"")"),"Částice PM10 jsou dostatečně malé, aby se dostaly do krku a plic. Vysoké hladiny PM10 mohou způsobit kašel, tečení z nosu a štípání v očích.")</f>
        <v>Částice PM10 jsou dostatečně malé, aby se dostaly do krku a plic. Vysoké hladiny PM10 mohou způsobit kašel, tečení z nosu a štípání v očích.</v>
      </c>
      <c r="S232" s="7" t="str">
        <f>IFERROR(__xludf.DUMMYFUNCTION("GoogleTranslate(C232, ""en"", ""da"")"),"PM10-partikler er små nok til at komme ind i din hals og lunger. Høje niveauer af PM10 kan få dig til at hoste, løbe i næsen og svie i øjnene.")</f>
        <v>PM10-partikler er små nok til at komme ind i din hals og lunger. Høje niveauer af PM10 kan få dig til at hoste, løbe i næsen og svie i øjnene.</v>
      </c>
      <c r="T232" s="7" t="str">
        <f>IFERROR(__xludf.DUMMYFUNCTION("GoogleTranslate(C232, ""en"", ""nl"")"),"PM10-deeltjes zijn klein genoeg om in uw keel en longen terecht te komen. Een hoog PM10-gehalte kan ervoor zorgen dat u hoest, uw neus loopt en uw ogen prikken.")</f>
        <v>PM10-deeltjes zijn klein genoeg om in uw keel en longen terecht te komen. Een hoog PM10-gehalte kan ervoor zorgen dat u hoest, uw neus loopt en uw ogen prikken.</v>
      </c>
      <c r="U232" s="7" t="str">
        <f>IFERROR(__xludf.DUMMYFUNCTION("GoogleTranslate(C232, ""en"", ""et"")"),"PM10 osakesed on piisavalt väikesed, et sattuda kurku ja kopsudesse. Kõrge PM10 tase võib põhjustada köha, nina jooksmist ja silmade kipitamist.")</f>
        <v>PM10 osakesed on piisavalt väikesed, et sattuda kurku ja kopsudesse. Kõrge PM10 tase võib põhjustada köha, nina jooksmist ja silmade kipitamist.</v>
      </c>
      <c r="V232" s="5" t="str">
        <f t="shared" si="3"/>
        <v>PM10 particles are small enough to get into your throat and lungs. High levels of PM10 can make you cough, your nose run and eyes sting.</v>
      </c>
      <c r="W232" s="7" t="str">
        <f>IFERROR(__xludf.DUMMYFUNCTION("GoogleTranslate(C232, ""en"", ""fi"")"),"PM10-hiukkaset ovat tarpeeksi pieniä päästäkseen kurkkuun ja keuhkoihin. Korkeat PM10-pitoisuudet voivat saada sinut yskimään, nenäsi vuotamaan ja silmiä pistämään.")</f>
        <v>PM10-hiukkaset ovat tarpeeksi pieniä päästäkseen kurkkuun ja keuhkoihin. Korkeat PM10-pitoisuudet voivat saada sinut yskimään, nenäsi vuotamaan ja silmiä pistämään.</v>
      </c>
      <c r="X232" s="7" t="str">
        <f>IFERROR(__xludf.DUMMYFUNCTION("GoogleTranslate(C232, ""en"", ""fr"")"),"Les particules PM10 sont suffisamment petites pour pénétrer dans la gorge et les poumons. Des niveaux élevés de PM10 peuvent vous faire tousser, votre nez couler et vos yeux vous piquer.")</f>
        <v>Les particules PM10 sont suffisamment petites pour pénétrer dans la gorge et les poumons. Des niveaux élevés de PM10 peuvent vous faire tousser, votre nez couler et vos yeux vous piquer.</v>
      </c>
      <c r="Y232" s="7" t="str">
        <f>IFERROR(__xludf.DUMMYFUNCTION("GoogleTranslate(C232, ""en"", ""de"")"),"PM10-Partikel sind klein genug, um in Ihren Rachen und Ihre Lunge zu gelangen. Ein hoher PM10-Wert kann zu Husten, laufender Nase und brennenden Augen führen.")</f>
        <v>PM10-Partikel sind klein genug, um in Ihren Rachen und Ihre Lunge zu gelangen. Ein hoher PM10-Wert kann zu Husten, laufender Nase und brennenden Augen führen.</v>
      </c>
      <c r="Z232" s="7" t="str">
        <f>IFERROR(__xludf.DUMMYFUNCTION("GoogleTranslate(C232, ""en"", ""el"")"),"Τα σωματίδια PM10 είναι αρκετά μικρά για να μπουν στο λαιμό και τους πνεύμονές σας. Τα υψηλά επίπεδα PM10 μπορεί να σας κάνουν να βήξετε, τη μύτη σας να τρέχει και τα μάτια σας να τσιμπήσουν.")</f>
        <v>Τα σωματίδια PM10 είναι αρκετά μικρά για να μπουν στο λαιμό και τους πνεύμονές σας. Τα υψηλά επίπεδα PM10 μπορεί να σας κάνουν να βήξετε, τη μύτη σας να τρέχει και τα μάτια σας να τσιμπήσουν.</v>
      </c>
      <c r="AA232" s="7" t="str">
        <f>IFERROR(__xludf.DUMMYFUNCTION("GoogleTranslate(C232, ""en"", ""iw"")"),"חלקיקי PM10 קטנים מספיק כדי להיכנס לגרון ולריאות שלך. רמות גבוהות של PM10 עלולות לגרום לך להשתעל, לאף שלך לרוץ ולעקוץ בעיניים.")</f>
        <v>חלקיקי PM10 קטנים מספיק כדי להיכנס לגרון ולריאות שלך. רמות גבוהות של PM10 עלולות לגרום לך להשתעל, לאף שלך לרוץ ולעקוץ בעיניים.</v>
      </c>
      <c r="AB232" s="7" t="str">
        <f>IFERROR(__xludf.DUMMYFUNCTION("GoogleTranslate(C232, ""en"", ""hi"")"),"पीएम10 कण इतने छोटे होते हैं कि आपके गले और फेफड़ों में जा सकते हैं। पीएम10 का उच्च स्तर आपको खाँसी, आपकी नाक बहने और आँखों में चुभन का कारण बन सकता है।")</f>
        <v>पीएम10 कण इतने छोटे होते हैं कि आपके गले और फेफड़ों में जा सकते हैं। पीएम10 का उच्च स्तर आपको खाँसी, आपकी नाक बहने और आँखों में चुभन का कारण बन सकता है।</v>
      </c>
      <c r="AC232" s="7" t="str">
        <f>IFERROR(__xludf.DUMMYFUNCTION("GoogleTranslate(C232, ""en"", ""hu"")"),"A PM10 részecskék elég kicsik ahhoz, hogy a torkába és a tüdőbe kerüljenek. A magas PM10 szint köhögést, orrfolyást és szemszúrást okozhat.")</f>
        <v>A PM10 részecskék elég kicsik ahhoz, hogy a torkába és a tüdőbe kerüljenek. A magas PM10 szint köhögést, orrfolyást és szemszúrást okozhat.</v>
      </c>
      <c r="AD232" s="7" t="str">
        <f>IFERROR(__xludf.DUMMYFUNCTION("GoogleTranslate(C232, ""en"", ""is"")"),"PM10 agnir eru nógu litlar til að komast í háls og lungu. Mikið magn af PM10 getur valdið hósta, nefrennsli og sting í augu.")</f>
        <v>PM10 agnir eru nógu litlar til að komast í háls og lungu. Mikið magn af PM10 getur valdið hósta, nefrennsli og sting í augu.</v>
      </c>
      <c r="AE232" s="7" t="str">
        <f>IFERROR(__xludf.DUMMYFUNCTION("GoogleTranslate(C232, ""en"", ""id"")"),"Partikel PM10 cukup kecil untuk masuk ke tenggorokan dan paru-paru Anda. Kadar PM10 yang tinggi dapat membuat Anda batuk, hidung meler, dan mata perih.")</f>
        <v>Partikel PM10 cukup kecil untuk masuk ke tenggorokan dan paru-paru Anda. Kadar PM10 yang tinggi dapat membuat Anda batuk, hidung meler, dan mata perih.</v>
      </c>
      <c r="AF232" s="7" t="str">
        <f>IFERROR(__xludf.DUMMYFUNCTION("GoogleTranslate(C232, ""en"", ""in"")"),"Partikel PM10 cukup kecil untuk masuk ke tenggorokan dan paru-paru Anda. Kadar PM10 yang tinggi dapat membuat Anda batuk, hidung meler, dan mata perih.")</f>
        <v>Partikel PM10 cukup kecil untuk masuk ke tenggorokan dan paru-paru Anda. Kadar PM10 yang tinggi dapat membuat Anda batuk, hidung meler, dan mata perih.</v>
      </c>
      <c r="AG232" s="7" t="str">
        <f>IFERROR(__xludf.DUMMYFUNCTION("GoogleTranslate(C232, ""en"", ""it"")"),"Le particelle PM10 sono abbastanza piccole da entrare nella gola e nei polmoni. Livelli elevati di PM10 possono farti tossire, farti colare il naso e pizzicare gli occhi.")</f>
        <v>Le particelle PM10 sono abbastanza piccole da entrare nella gola e nei polmoni. Livelli elevati di PM10 possono farti tossire, farti colare il naso e pizzicare gli occhi.</v>
      </c>
      <c r="AH232" s="7" t="str">
        <f>IFERROR(__xludf.DUMMYFUNCTION("GoogleTranslate(C232, ""en"", ""ja"")"),"PM10 の粒子は非常に小さいため、喉や肺に入り込みます。 PM10のレベルが高くなると、咳、鼻水、目がヒリヒリすることがあります。")</f>
        <v>PM10 の粒子は非常に小さいため、喉や肺に入り込みます。 PM10のレベルが高くなると、咳、鼻水、目がヒリヒリすることがあります。</v>
      </c>
      <c r="AI232" s="7" t="str">
        <f>IFERROR(__xludf.DUMMYFUNCTION("GoogleTranslate(C232, ""en"", ""kn"")"),"PM10 ಕಣಗಳು ನಿಮ್ಮ ಗಂಟಲು ಮತ್ತು ಶ್ವಾಸಕೋಶಗಳಿಗೆ ಪ್ರವೇಶಿಸುವಷ್ಟು ಚಿಕ್ಕದಾಗಿದೆ. PM10 ನ ಹೆಚ್ಚಿನ ಮಟ್ಟವು ನಿಮಗೆ ಕೆಮ್ಮು, ನಿಮ್ಮ ಮೂಗು ಓಟ ಮತ್ತು ಕಣ್ಣುಗಳನ್ನು ಕುಟುಕುವಂತೆ ಮಾಡುತ್ತದೆ.")</f>
        <v>PM10 ಕಣಗಳು ನಿಮ್ಮ ಗಂಟಲು ಮತ್ತು ಶ್ವಾಸಕೋಶಗಳಿಗೆ ಪ್ರವೇಶಿಸುವಷ್ಟು ಚಿಕ್ಕದಾಗಿದೆ. PM10 ನ ಹೆಚ್ಚಿನ ಮಟ್ಟವು ನಿಮಗೆ ಕೆಮ್ಮು, ನಿಮ್ಮ ಮೂಗು ಓಟ ಮತ್ತು ಕಣ್ಣುಗಳನ್ನು ಕುಟುಕುವಂತೆ ಮಾಡುತ್ತದೆ.</v>
      </c>
      <c r="AJ232" s="7" t="str">
        <f>IFERROR(__xludf.DUMMYFUNCTION("GoogleTranslate(C232, ""en"", ""km"")"),"ភាគល្អិត PM10 មានទំហំតូចល្មមអាចចូលទៅក្នុងបំពង់ក និងសួតរបស់អ្នក។ កម្រិតខ្ពស់នៃ PM10 អាចធ្វើឱ្យអ្នកក្អក ហៀរសំបោរ និងក្រហាយភ្នែក។")</f>
        <v>ភាគល្អិត PM10 មានទំហំតូចល្មមអាចចូលទៅក្នុងបំពង់ក និងសួតរបស់អ្នក។ កម្រិតខ្ពស់នៃ PM10 អាចធ្វើឱ្យអ្នកក្អក ហៀរសំបោរ និងក្រហាយភ្នែក។</v>
      </c>
      <c r="AK232" s="7" t="str">
        <f>IFERROR(__xludf.DUMMYFUNCTION("GoogleTranslate(C232, ""en"", ""ko"")"),"PM10 입자는 목과 폐에 들어갈 정도로 작습니다. PM10 수치가 높으면 기침, 콧물이 흐르고 눈이 따끔거릴 수 있습니다.")</f>
        <v>PM10 입자는 목과 폐에 들어갈 정도로 작습니다. PM10 수치가 높으면 기침, 콧물이 흐르고 눈이 따끔거릴 수 있습니다.</v>
      </c>
      <c r="AL232" s="7" t="str">
        <f>IFERROR(__xludf.DUMMYFUNCTION("GoogleTranslate(C232, ""en"", ""lo"")"),"ອະນຸພາກ PM10 ມີຂະຫນາດນ້ອຍພຽງພໍທີ່ຈະເຂົ້າໄປໃນຄໍແລະປອດຂອງທ່ານ. ລະດັບສູງຂອງ PM10 ສາມາດເຮັດໃຫ້ທ່ານໄອ, ດັງດັງ ແລະ ຕາເປັນແສບ.")</f>
        <v>ອະນຸພາກ PM10 ມີຂະຫນາດນ້ອຍພຽງພໍທີ່ຈະເຂົ້າໄປໃນຄໍແລະປອດຂອງທ່ານ. ລະດັບສູງຂອງ PM10 ສາມາດເຮັດໃຫ້ທ່ານໄອ, ດັງດັງ ແລະ ຕາເປັນແສບ.</v>
      </c>
      <c r="AM232" s="7" t="str">
        <f>IFERROR(__xludf.DUMMYFUNCTION("GoogleTranslate(C232, ""en"", ""lv"")"),"PM10 daļiņas ir pietiekami mazas, lai iekļūtu kaklā un plaušās. Augsts PM10 līmenis var izraisīt klepu, deguna tecēšanu un acu dzeltēšanu.")</f>
        <v>PM10 daļiņas ir pietiekami mazas, lai iekļūtu kaklā un plaušās. Augsts PM10 līmenis var izraisīt klepu, deguna tecēšanu un acu dzeltēšanu.</v>
      </c>
      <c r="AN232" s="7" t="str">
        <f>IFERROR(__xludf.DUMMYFUNCTION("GoogleTranslate(C232, ""en"", ""lt"")"),"PM10 dalelės yra pakankamai mažos, kad galėtų patekti į gerklę ir plaučius. Didelis PM10 kiekis gali sukelti kosulį, bėgti nosį ir perštėti akis.")</f>
        <v>PM10 dalelės yra pakankamai mažos, kad galėtų patekti į gerklę ir plaučius. Didelis PM10 kiekis gali sukelti kosulį, bėgti nosį ir perštėti akis.</v>
      </c>
      <c r="AO232" s="7" t="str">
        <f>IFERROR(__xludf.DUMMYFUNCTION("GoogleTranslate(C232, ""en"", ""mk"")"),"ПМ10 честичките се доволно мали за да влезат во вашето грло и бели дробови. Високото ниво на PM10 може да ве натера да кашлате, да ви тече носот и да ве наежат очите.")</f>
        <v>ПМ10 честичките се доволно мали за да влезат во вашето грло и бели дробови. Високото ниво на PM10 може да ве натера да кашлате, да ви тече носот и да ве наежат очите.</v>
      </c>
      <c r="AP232" s="7" t="str">
        <f>IFERROR(__xludf.DUMMYFUNCTION("GoogleTranslate(C232, ""en"", ""ms"")"),"Zarah PM10 cukup kecil untuk masuk ke dalam kerongkong dan paru-paru anda. Tahap PM10 yang tinggi boleh menyebabkan anda batuk, hidung berair dan mata pedih.")</f>
        <v>Zarah PM10 cukup kecil untuk masuk ke dalam kerongkong dan paru-paru anda. Tahap PM10 yang tinggi boleh menyebabkan anda batuk, hidung berair dan mata pedih.</v>
      </c>
      <c r="AQ232" s="7" t="str">
        <f>IFERROR(__xludf.DUMMYFUNCTION("GoogleTranslate(C232, ""en"", ""ml"")"),"പിഎം10 കണങ്ങൾ നിങ്ങളുടെ തൊണ്ടയിലേക്കും ശ്വാസകോശത്തിലേക്കും പ്രവേശിക്കാൻ പര്യാപ്തമാണ്. PM10 ൻ്റെ ഉയർന്ന അളവ് നിങ്ങളെ ചുമയ്ക്കും, മൂക്ക് ഓടുന്നതിനും, കണ്ണുകൾ കുത്തുന്നതിനും ഇടയാക്കും.")</f>
        <v>പിഎം10 കണങ്ങൾ നിങ്ങളുടെ തൊണ്ടയിലേക്കും ശ്വാസകോശത്തിലേക്കും പ്രവേശിക്കാൻ പര്യാപ്തമാണ്. PM10 ൻ്റെ ഉയർന്ന അളവ് നിങ്ങളെ ചുമയ്ക്കും, മൂക്ക് ഓടുന്നതിനും, കണ്ണുകൾ കുത്തുന്നതിനും ഇടയാക്കും.</v>
      </c>
      <c r="AR232" s="7" t="str">
        <f>IFERROR(__xludf.DUMMYFUNCTION("GoogleTranslate(C232, ""en"", ""mr"")"),"PM10 कण तुमच्या घशात आणि फुफ्फुसात जाण्यासाठी पुरेसे लहान असतात. PM10 च्या उच्च पातळीमुळे तुम्हाला खोकला येऊ शकतो, तुमचे नाक वाहते आणि डोळे गळतात.")</f>
        <v>PM10 कण तुमच्या घशात आणि फुफ्फुसात जाण्यासाठी पुरेसे लहान असतात. PM10 च्या उच्च पातळीमुळे तुम्हाला खोकला येऊ शकतो, तुमचे नाक वाहते आणि डोळे गळतात.</v>
      </c>
      <c r="AS232" s="7" t="str">
        <f>IFERROR(__xludf.DUMMYFUNCTION("GoogleTranslate(C232, ""en"", ""mn"")"),"PM10 тоосонцор нь хоолой, уушгинд ороход хангалттай. PM10-ийн өндөр түвшин нь ханиалгах, хамар гоожих, нүд хорсох зэрэгт хүргэдэг.")</f>
        <v>PM10 тоосонцор нь хоолой, уушгинд ороход хангалттай. PM10-ийн өндөр түвшин нь ханиалгах, хамар гоожих, нүд хорсох зэрэгт хүргэдэг.</v>
      </c>
      <c r="AT232" s="7" t="str">
        <f>IFERROR(__xludf.DUMMYFUNCTION("GoogleTranslate(C232, ""en"", ""ne"")"),"PM10 कणहरू तपाईंको घाँटी र फोक्सोमा पुग्न पर्याप्त मात्रामा छन्। PM10 को उच्च स्तरले तपाईंलाई खोकी लाग्न सक्छ, तपाईंको नाक र आँखा डंक्न सक्छ।")</f>
        <v>PM10 कणहरू तपाईंको घाँटी र फोक्सोमा पुग्न पर्याप्त मात्रामा छन्। PM10 को उच्च स्तरले तपाईंलाई खोकी लाग्न सक्छ, तपाईंको नाक र आँखा डंक्न सक्छ।</v>
      </c>
      <c r="AU232" s="7" t="str">
        <f>IFERROR(__xludf.DUMMYFUNCTION("GoogleTranslate(C232, ""en"", ""nb"")"),"PM10-partikler er små nok til å komme inn i halsen og lungene. Høye nivåer av PM10 kan få deg til å hoste, renne i nesen og svi i øynene.")</f>
        <v>PM10-partikler er små nok til å komme inn i halsen og lungene. Høye nivåer av PM10 kan få deg til å hoste, renne i nesen og svi i øynene.</v>
      </c>
      <c r="AV232" s="7" t="str">
        <f>IFERROR(__xludf.DUMMYFUNCTION("GoogleTranslate(C232, ""en"", ""fa"")"),"ذرات PM10 به اندازه ای کوچک هستند که وارد گلو و ریه های شما شوند. سطوح بالای PM10 می تواند باعث سرفه، ریزش بینی و سوزش چشم شود.")</f>
        <v>ذرات PM10 به اندازه ای کوچک هستند که وارد گلو و ریه های شما شوند. سطوح بالای PM10 می تواند باعث سرفه، ریزش بینی و سوزش چشم شود.</v>
      </c>
      <c r="AW232" s="7" t="str">
        <f>IFERROR(__xludf.DUMMYFUNCTION("GoogleTranslate(C232, ""en"", ""pl"")"),"Cząsteczki PM10 są na tyle małe, że przedostają się do gardła i płuc. Wysoki poziom PM10 może powodować kaszel, katar i szczypanie oczu.")</f>
        <v>Cząsteczki PM10 są na tyle małe, że przedostają się do gardła i płuc. Wysoki poziom PM10 może powodować kaszel, katar i szczypanie oczu.</v>
      </c>
      <c r="AX232" s="7" t="str">
        <f>IFERROR(__xludf.DUMMYFUNCTION("GoogleTranslate(C232, ""en"", ""pt"")"),"As partículas PM10 são pequenas o suficiente para entrar na garganta e nos pulmões. Altos níveis de PM10 podem fazer você tossir, seu nariz escorrer e arder nos olhos.")</f>
        <v>As partículas PM10 são pequenas o suficiente para entrar na garganta e nos pulmões. Altos níveis de PM10 podem fazer você tossir, seu nariz escorrer e arder nos olhos.</v>
      </c>
      <c r="AY232" s="7" t="str">
        <f>IFERROR(__xludf.DUMMYFUNCTION("GoogleTranslate(C232, ""en"", ""ro"")"),"Particulele PM10 sunt suficient de mici pentru a ajunge în gât și plămâni. Nivelurile ridicate de PM10 te pot face să tusești, să îți curgă nasul și să te usture ochii.")</f>
        <v>Particulele PM10 sunt suficient de mici pentru a ajunge în gât și plămâni. Nivelurile ridicate de PM10 te pot face să tusești, să îți curgă nasul și să te usture ochii.</v>
      </c>
      <c r="AZ232" s="7" t="str">
        <f>IFERROR(__xludf.DUMMYFUNCTION("GoogleTranslate(C232, ""en"", ""ru"")"),"Частицы PM10 достаточно малы, чтобы попасть в горло и легкие. Высокий уровень PM10 может вызвать у вас кашель, насморк и жжение в глазах.")</f>
        <v>Частицы PM10 достаточно малы, чтобы попасть в горло и легкие. Высокий уровень PM10 может вызвать у вас кашель, насморк и жжение в глазах.</v>
      </c>
      <c r="BA232" s="7" t="str">
        <f>IFERROR(__xludf.DUMMYFUNCTION("GoogleTranslate(C232, ""en"", ""sr"")"),"ПМ10 честице су довољно мале да уђу у ваше грло и плућа. Висок ниво ПМ10 може изазвати кашаљ, цурење из носа и пецкање очију.")</f>
        <v>ПМ10 честице су довољно мале да уђу у ваше грло и плућа. Висок ниво ПМ10 може изазвати кашаљ, цурење из носа и пецкање очију.</v>
      </c>
      <c r="BB232" s="7" t="str">
        <f>IFERROR(__xludf.DUMMYFUNCTION("GoogleTranslate(C232, ""en"", ""si"")"),"PM10 අංශු ඔබේ උගුරට සහ පෙණහලුවලට ඇතුල් වීමට තරම් කුඩා වේ. PM10 මට්ටම ඉහළ යාමෙන් ඔබට කැස්ස, නාසය ගලා යාම සහ ඇස් දෂ්ට කළ හැකිය.")</f>
        <v>PM10 අංශු ඔබේ උගුරට සහ පෙණහලුවලට ඇතුල් වීමට තරම් කුඩා වේ. PM10 මට්ටම ඉහළ යාමෙන් ඔබට කැස්ස, නාසය ගලා යාම සහ ඇස් දෂ්ට කළ හැකිය.</v>
      </c>
      <c r="BC232" s="7" t="str">
        <f>IFERROR(__xludf.DUMMYFUNCTION("GoogleTranslate(C232, ""en"", ""sk"")"),"Častice PM10 sú dostatočne malé na to, aby sa dostali do hrdla a pľúc. Vysoké hladiny PM10 môžu spôsobiť kašeľ, tečenie z nosa a štípanie v očiach.")</f>
        <v>Častice PM10 sú dostatočne malé na to, aby sa dostali do hrdla a pľúc. Vysoké hladiny PM10 môžu spôsobiť kašeľ, tečenie z nosa a štípanie v očiach.</v>
      </c>
      <c r="BD232" s="7" t="str">
        <f>IFERROR(__xludf.DUMMYFUNCTION("GoogleTranslate(C232, ""en"", ""sl"")"),"Delci PM10 so dovolj majhni, da pridejo v vaše grlo in pljuča. Visoke ravni PM10 lahko povzročijo kašelj, izcedek iz nosu in pekoče oči.")</f>
        <v>Delci PM10 so dovolj majhni, da pridejo v vaše grlo in pljuča. Visoke ravni PM10 lahko povzročijo kašelj, izcedek iz nosu in pekoče oči.</v>
      </c>
      <c r="BE232" s="7" t="str">
        <f>IFERROR(__xludf.DUMMYFUNCTION("GoogleTranslate(C232, ""en"", ""es"")"),"Las partículas PM10 son lo suficientemente pequeñas como para llegar a la garganta y los pulmones. Los niveles altos de PM10 pueden provocar tos, moqueo nasal y ardor en los ojos.")</f>
        <v>Las partículas PM10 son lo suficientemente pequeñas como para llegar a la garganta y los pulmones. Los niveles altos de PM10 pueden provocar tos, moqueo nasal y ardor en los ojos.</v>
      </c>
      <c r="BF232" s="7" t="str">
        <f>IFERROR(__xludf.DUMMYFUNCTION("GoogleTranslate(C232, ""en"", ""sw"")"),"Chembe za PM10 ni ndogo za kutosha kuingia kwenye koo na mapafu yako. Viwango vya juu vya PM10 vinaweza kufanya kukohoa, pua yako na macho kuuma.")</f>
        <v>Chembe za PM10 ni ndogo za kutosha kuingia kwenye koo na mapafu yako. Viwango vya juu vya PM10 vinaweza kufanya kukohoa, pua yako na macho kuuma.</v>
      </c>
      <c r="BG232" s="7" t="str">
        <f>IFERROR(__xludf.DUMMYFUNCTION("GoogleTranslate(C232, ""en"", ""sv"")"),"PM10-partiklar är tillräckligt små för att komma in i halsen och lungorna. Höga nivåer av PM10 kan få dig att hosta, rinna i näsan och svida i ögonen.")</f>
        <v>PM10-partiklar är tillräckligt små för att komma in i halsen och lungorna. Höga nivåer av PM10 kan få dig att hosta, rinna i näsan och svida i ögonen.</v>
      </c>
      <c r="BH232" s="7" t="str">
        <f>IFERROR(__xludf.DUMMYFUNCTION("GoogleTranslate(C232, ""en"", ""te"")"),"PM10 కణాలు మీ గొంతు మరియు ఊపిరితిత్తులలోకి వచ్చేంత చిన్నవి. PM10 యొక్క అధిక స్థాయిలు మీకు దగ్గు, మీ ముక్కు మరియు కళ్ళు కుట్టేలా చేస్తాయి.")</f>
        <v>PM10 కణాలు మీ గొంతు మరియు ఊపిరితిత్తులలోకి వచ్చేంత చిన్నవి. PM10 యొక్క అధిక స్థాయిలు మీకు దగ్గు, మీ ముక్కు మరియు కళ్ళు కుట్టేలా చేస్తాయి.</v>
      </c>
      <c r="BI232" s="7" t="str">
        <f>IFERROR(__xludf.DUMMYFUNCTION("GoogleTranslate(C232, ""en"", ""th"")"),"อนุภาค PM10 มีขนาดเล็กพอที่จะเข้าไปในลำคอและปอดได้ PM10 ในระดับสูงสามารถทำให้คุณไอ น้ำมูกไหล และแสบตาได้")</f>
        <v>อนุภาค PM10 มีขนาดเล็กพอที่จะเข้าไปในลำคอและปอดได้ PM10 ในระดับสูงสามารถทำให้คุณไอ น้ำมูกไหล และแสบตาได้</v>
      </c>
      <c r="BJ232" s="7" t="str">
        <f>IFERROR(__xludf.DUMMYFUNCTION("GoogleTranslate(C232, ""en"", ""tr"")"),"PM10 parçacıkları boğazınıza ve ciğerlerinize girebilecek kadar küçüktür. Yüksek PM10 seviyeleri öksürmenize, burnunuzun akmasına ve gözlerinizin batmasına neden olabilir.")</f>
        <v>PM10 parçacıkları boğazınıza ve ciğerlerinize girebilecek kadar küçüktür. Yüksek PM10 seviyeleri öksürmenize, burnunuzun akmasına ve gözlerinizin batmasına neden olabilir.</v>
      </c>
      <c r="BK232" s="7" t="str">
        <f>IFERROR(__xludf.DUMMYFUNCTION("GoogleTranslate(C232, ""en"", ""uk"")"),"Частинки PM10 досить малі, щоб потрапити у ваше горло та легені. Високий рівень PM10 може спричинити кашель, теч із носа та різь в очах.")</f>
        <v>Частинки PM10 досить малі, щоб потрапити у ваше горло та легені. Високий рівень PM10 може спричинити кашель, теч із носа та різь в очах.</v>
      </c>
      <c r="BL232" s="7" t="str">
        <f>IFERROR(__xludf.DUMMYFUNCTION("GoogleTranslate(C232, ""en"", ""zu"")"),"Izinhlayiya ze-PM10 zincane ngokwanele ukuthi zingangena emphinjeni nasemaphashini akho. Amazinga aphezulu e-PM10 angakwenza ukhwehlele, ikhala lakho ligijime futhi amehlo alume.")</f>
        <v>Izinhlayiya ze-PM10 zincane ngokwanele ukuthi zingangena emphinjeni nasemaphashini akho. Amazinga aphezulu e-PM10 angakwenza ukhwehlele, ikhala lakho ligijime futhi amehlo alume.</v>
      </c>
    </row>
    <row r="233">
      <c r="A233" s="5" t="str">
        <f t="shared" si="1"/>
        <v>PM2.5_particles_are_small_enough_to_enter_the_bloodstream_and_typically_result_from_wildfires,_smoke_ashes,_bacteria_or_small_dust_particles</v>
      </c>
      <c r="B233" s="4" t="s">
        <v>201</v>
      </c>
      <c r="C233" s="4" t="s">
        <v>201</v>
      </c>
      <c r="D233" s="7" t="str">
        <f>IFERROR(__xludf.DUMMYFUNCTION("GoogleTranslate(C233,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E233" s="7" t="str">
        <f>IFERROR(__xludf.DUMMYFUNCTION("GoogleTranslate(C233, ""en"", ""ar"")"),"جسيمات PM2.5 صغيرة بما يكفي لدخول مجرى الدم وتنتج عادةً عن حرائق الغابات أو الرماد الدخاني أو البكتيريا أو جزيئات الغبار الصغيرة")</f>
        <v>جسيمات PM2.5 صغيرة بما يكفي لدخول مجرى الدم وتنتج عادةً عن حرائق الغابات أو الرماد الدخاني أو البكتيريا أو جزيئات الغبار الصغيرة</v>
      </c>
      <c r="F233" s="7" t="str">
        <f>IFERROR(__xludf.DUMMYFUNCTION("GoogleTranslate(C233, ""en"", ""hy"")"),"PM2.5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f>
        <v>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v>
      </c>
      <c r="G233" s="7" t="str">
        <f>IFERROR(__xludf.DUMMYFUNCTION("GoogleTranslate(C233, ""en"", ""vi"")"),"Các hạt PM2.5 đủ nhỏ để đi vào máu và thường là kết quả của cháy rừng, tro khói, vi khuẩn hoặc các hạt bụi nhỏ")</f>
        <v>Các hạt PM2.5 đủ nhỏ để đi vào máu và thường là kết quả của cháy rừng, tro khói, vi khuẩn hoặc các hạt bụi nhỏ</v>
      </c>
      <c r="H233" s="7" t="str">
        <f>IFERROR(__xludf.DUMMYFUNCTION("GoogleTranslate(C233, ""en"", ""az"")"),"PM2.5 hissəcikləri qan dövranına daxil olmaq üçün kifayət qədər kiçikdir və adətən meşə yanğınları, tüstü külləri, bakteriyalar və ya kiçik toz hissəcikləri nəticəsində yaranır.")</f>
        <v>PM2.5 hissəcikləri qan dövranına daxil olmaq üçün kifayət qədər kiçikdir və adətən meşə yanğınları, tüstü külləri, bakteriyalar və ya kiçik toz hissəcikləri nəticəsində yaranır.</v>
      </c>
      <c r="I233" s="7" t="str">
        <f>IFERROR(__xludf.DUMMYFUNCTION("GoogleTranslate(C233, ""en"", ""eu"")"),"PM2,5 partikulak odolera sartzeko bezain txikiak dira eta normalean suteen, ke errautsen, bakterioen edo hauts partikula txikien ondorioz sortzen dira.")</f>
        <v>PM2,5 partikulak odolera sartzeko bezain txikiak dira eta normalean suteen, ke errautsen, bakterioen edo hauts partikula txikien ondorioz sortzen dira.</v>
      </c>
      <c r="J233" s="7" t="str">
        <f>IFERROR(__xludf.DUMMYFUNCTION("GoogleTranslate(C233, ""en"", ""be"")"),"Часціцы PM2,5 досыць малыя, каб патрапіць у кроў, і звычайна ўзнікаюць у выніку лясных пажараў, попелу дыму, бактэрый або дробных часціц пылу")</f>
        <v>Часціцы PM2,5 досыць малыя, каб патрапіць у кроў, і звычайна ўзнікаюць у выніку лясных пажараў, попелу дыму, бактэрый або дробных часціц пылу</v>
      </c>
      <c r="K233" s="7" t="str">
        <f>IFERROR(__xludf.DUMMYFUNCTION("GoogleTranslate(C233, ""en"", ""bn"")"),"PM2.5 কণা রক্তের প্রবাহে প্রবেশ করার জন্য যথেষ্ট ছোট এবং সাধারণত দাবানল, ধোঁয়ার ছাই, ব্যাকটেরিয়া বা ছোট ধুলো কণার ফলে")</f>
        <v>PM2.5 কণা রক্তের প্রবাহে প্রবেশ করার জন্য যথেষ্ট ছোট এবং সাধারণত দাবানল, ধোঁয়ার ছাই, ব্যাকটেরিয়া বা ছোট ধুলো কণার ফলে</v>
      </c>
      <c r="L233" s="7" t="str">
        <f>IFERROR(__xludf.DUMMYFUNCTION("GoogleTranslate(C233, ""en"", ""bg"")"),"Частиците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f>
        <v>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v>
      </c>
      <c r="M233" s="7" t="str">
        <f>IFERROR(__xludf.DUMMYFUNCTION("GoogleTranslate(C233, ""en"", ""my"")"),"PM2.5 အမှုန်အမွှားများသည် သွေးကြောထဲသို့ဝင်ရောက်ရန် လုံလောက်သောသေးငယ်ပြီး များသောအားဖြင့် တောမီးများ၊ မီးခိုးပြာများ၊")</f>
        <v>PM2.5 အမှုန်အမွှားများသည် သွေးကြောထဲသို့ဝင်ရောက်ရန် လုံလောက်သောသေးငယ်ပြီး များသောအားဖြင့် တောမီးများ၊ မီးခိုးပြာများ၊</v>
      </c>
      <c r="N233" s="7" t="str">
        <f>IFERROR(__xludf.DUMMYFUNCTION("GoogleTranslate(C233, ""en"", ""ca"")"),"Les partícules de PM2,5 són prou petites com per entrar al torrent sanguini i normalment resulten d'incendis forestals, cendres de fum, bacteris o petites partícules de pols.")</f>
        <v>Les partícules de PM2,5 són prou petites com per entrar al torrent sanguini i normalment resulten d'incendis forestals, cendres de fum, bacteris o petites partícules de pols.</v>
      </c>
      <c r="O233" s="7" t="str">
        <f>IFERROR(__xludf.DUMMYFUNCTION("GoogleTranslate(C233, ""en"", ""zh-cn"")"),"PM2.5 颗粒小到足以进入血液，通常由野火、烟灰、细菌或小灰尘颗粒产生")</f>
        <v>PM2.5 颗粒小到足以进入血液，通常由野火、烟灰、细菌或小灰尘颗粒产生</v>
      </c>
      <c r="P233" s="7" t="str">
        <f>IFERROR(__xludf.DUMMYFUNCTION("GoogleTranslate(C233, ""en"", ""zh-TW"")"),"PM2.5 顆粒小到足以進入血液，通常由野火、煙灰、細菌或小灰塵顆粒產生")</f>
        <v>PM2.5 顆粒小到足以進入血液，通常由野火、煙灰、細菌或小灰塵顆粒產生</v>
      </c>
      <c r="Q233" s="7" t="str">
        <f>IFERROR(__xludf.DUMMYFUNCTION("GoogleTranslate(C233, ""en"", ""hr"")"),"Čestice PM2.5 dovoljno su male da uđu u krvotok i obično nastaju od šumskih požara, dimnog pepela, bakterija ili malih čestica prašine")</f>
        <v>Čestice PM2.5 dovoljno su male da uđu u krvotok i obično nastaju od šumskih požara, dimnog pepela, bakterija ili malih čestica prašine</v>
      </c>
      <c r="R233" s="7" t="str">
        <f>IFERROR(__xludf.DUMMYFUNCTION("GoogleTranslate(C233, ""en"", ""cs"")"),"Částice PM2,5 jsou dostatečně malé na to, aby se dostaly do krevního oběhu a obvykle pocházejí z lesních požárů, kouřového popela, bakterií nebo malých prachových částic.")</f>
        <v>Částice PM2,5 jsou dostatečně malé na to, aby se dostaly do krevního oběhu a obvykle pocházejí z lesních požárů, kouřového popela, bakterií nebo malých prachových částic.</v>
      </c>
      <c r="S233" s="7" t="str">
        <f>IFERROR(__xludf.DUMMYFUNCTION("GoogleTranslate(C233, ""en"", ""da"")"),"PM2.5-partikler er små nok til at komme ind i blodbanen og skyldes typisk naturbrande, røgaske, bakterier eller små støvpartikler")</f>
        <v>PM2.5-partikler er små nok til at komme ind i blodbanen og skyldes typisk naturbrande, røgaske, bakterier eller små støvpartikler</v>
      </c>
      <c r="T233" s="7" t="str">
        <f>IFERROR(__xludf.DUMMYFUNCTION("GoogleTranslate(C233, ""en"", ""nl"")"),"PM2.5-deeltjes zijn klein genoeg om in de bloedbaan terecht te komen en zijn meestal het gevolg van bosbranden, rookas, bacteriën of kleine stofdeeltjes")</f>
        <v>PM2.5-deeltjes zijn klein genoeg om in de bloedbaan terecht te komen en zijn meestal het gevolg van bosbranden, rookas, bacteriën of kleine stofdeeltjes</v>
      </c>
      <c r="U233" s="7" t="str">
        <f>IFERROR(__xludf.DUMMYFUNCTION("GoogleTranslate(C233, ""en"", ""et"")"),"PM2,5 osakesed on vereringesse sisenemiseks piisavalt väikesed ja tekivad tavaliselt metsatulekahjude, suitsutuha, bakterite või väikeste tolmuosakeste tagajärjel")</f>
        <v>PM2,5 osakesed on vereringesse sisenemiseks piisavalt väikesed ja tekivad tavaliselt metsatulekahjude, suitsutuha, bakterite või väikeste tolmuosakeste tagajärjel</v>
      </c>
      <c r="V233" s="5" t="str">
        <f t="shared" si="3"/>
        <v>PM2.5 particles are small enough to enter the bloodstream and typically result from wildfires, smoke ashes, bacteria or small dust particles</v>
      </c>
      <c r="W233" s="7" t="str">
        <f>IFERROR(__xludf.DUMMYFUNCTION("GoogleTranslate(C233, ""en"", ""fi"")"),"PM2.5-hiukkaset ovat riittävän pieniä päästäkseen verenkiertoon ja ovat tyypillisesti seurausta metsäpaloista, savutuhkasta, bakteereista tai pienistä pölyhiukkasista")</f>
        <v>PM2.5-hiukkaset ovat riittävän pieniä päästäkseen verenkiertoon ja ovat tyypillisesti seurausta metsäpaloista, savutuhkasta, bakteereista tai pienistä pölyhiukkasista</v>
      </c>
      <c r="X233" s="7" t="str">
        <f>IFERROR(__xludf.DUMMYFUNCTION("GoogleTranslate(C233, ""en"", ""fr"")"),"Les particules PM2,5 sont suffisamment petites pour pénétrer dans la circulation sanguine et résultent généralement d'incendies de forêt, de cendres de fumée, de bactéries ou de petites particules de poussière.")</f>
        <v>Les particules PM2,5 sont suffisamment petites pour pénétrer dans la circulation sanguine et résultent généralement d'incendies de forêt, de cendres de fumée, de bactéries ou de petites particules de poussière.</v>
      </c>
      <c r="Y233" s="7" t="str">
        <f>IFERROR(__xludf.DUMMYFUNCTION("GoogleTranslate(C233, ""en"", ""de"")"),"PM2,5-Partikel sind klein genug, um in den Blutkreislauf zu gelangen und entstehen typischerweise durch Waldbrände, Rauchasche, Bakterien oder kleine Staubpartikel")</f>
        <v>PM2,5-Partikel sind klein genug, um in den Blutkreislauf zu gelangen und entstehen typischerweise durch Waldbrände, Rauchasche, Bakterien oder kleine Staubpartikel</v>
      </c>
      <c r="Z233" s="7" t="str">
        <f>IFERROR(__xludf.DUMMYFUNCTION("GoogleTranslate(C233, ""en"", ""el"")"),"Τα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f>
        <v>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v>
      </c>
      <c r="AA233" s="7" t="str">
        <f>IFERROR(__xludf.DUMMYFUNCTION("GoogleTranslate(C233, ""en"", ""iw"")"),"חלקיקי PM2.5 קטנים מספיק כדי להיכנס לזרם הדם ובדרך כלל נובעים משריפות יער, אפר עשן, חיידקים או חלקיקי אבק קטנים")</f>
        <v>חלקיקי PM2.5 קטנים מספיק כדי להיכנס לזרם הדם ובדרך כלל נובעים משריפות יער, אפר עשן, חיידקים או חלקיקי אבק קטנים</v>
      </c>
      <c r="AB233" s="7" t="str">
        <f>IFERROR(__xludf.DUMMYFUNCTION("GoogleTranslate(C233, ""en"", ""hi"")"),"PM2.5 कण रक्तप्रवाह में प्रवेश करने के लिए काफी छोटे होते हैं और आमतौर पर जंगल की आग, धुएं की राख, बैक्टीरिया या छोटे धूल कणों के परिणामस्वरूप होते हैं")</f>
        <v>PM2.5 कण रक्तप्रवाह में प्रवेश करने के लिए काफी छोटे होते हैं और आमतौर पर जंगल की आग, धुएं की राख, बैक्टीरिया या छोटे धूल कणों के परिणामस्वरूप होते हैं</v>
      </c>
      <c r="AC233" s="7" t="str">
        <f>IFERROR(__xludf.DUMMYFUNCTION("GoogleTranslate(C233, ""en"", ""hu"")"),"A PM2.5 részecskék elég kicsik ahhoz, hogy bejussanak a véráramba, és jellemzően erdőtüzekből, füsthamuból, baktériumokból vagy apró porszemcsékből származnak")</f>
        <v>A PM2.5 részecskék elég kicsik ahhoz, hogy bejussanak a véráramba, és jellemzően erdőtüzekből, füsthamuból, baktériumokból vagy apró porszemcsékből származnak</v>
      </c>
      <c r="AD233" s="7" t="str">
        <f>IFERROR(__xludf.DUMMYFUNCTION("GoogleTranslate(C233, ""en"", ""is"")"),"PM2.5 agnir eru nógu litlar til að komast inn í blóðrásina og stafa venjulega af skógareldum, reykösku, bakteríum eða litlum rykagnum")</f>
        <v>PM2.5 agnir eru nógu litlar til að komast inn í blóðrásina og stafa venjulega af skógareldum, reykösku, bakteríum eða litlum rykagnum</v>
      </c>
      <c r="AE233" s="7" t="str">
        <f>IFERROR(__xludf.DUMMYFUNCTION("GoogleTranslate(C233, ""en"", ""id"")"),"Partikel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F233" s="7" t="str">
        <f>IFERROR(__xludf.DUMMYFUNCTION("GoogleTranslate(C233, ""en"", ""in"")"),"Partikel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G233" s="7" t="str">
        <f>IFERROR(__xludf.DUMMYFUNCTION("GoogleTranslate(C233, ""en"", ""it"")"),"Le particelle PM2,5 sono abbastanza piccole da entrare nel flusso sanguigno e in genere derivano da incendi, ceneri di fumo, batteri o piccole particelle di polvere")</f>
        <v>Le particelle PM2,5 sono abbastanza piccole da entrare nel flusso sanguigno e in genere derivano da incendi, ceneri di fumo, batteri o piccole particelle di polvere</v>
      </c>
      <c r="AH233" s="7" t="str">
        <f>IFERROR(__xludf.DUMMYFUNCTION("GoogleTranslate(C233, ""en"", ""ja"")"),"PM2.5 粒子は血流に入るほど小さく、通常は山火事、煙の灰、細菌、または小さな粉塵粒子によって発生します。")</f>
        <v>PM2.5 粒子は血流に入るほど小さく、通常は山火事、煙の灰、細菌、または小さな粉塵粒子によって発生します。</v>
      </c>
      <c r="AI233" s="7" t="str">
        <f>IFERROR(__xludf.DUMMYFUNCTION("GoogleTranslate(C233, ""en"", ""kn"")"),"PM2.5 ಕಣಗಳು ರಕ್ತಪ್ರವಾಹಕ್ಕೆ ಪ್ರವೇಶಿಸುವಷ್ಟು ಚಿಕ್ಕದಾಗಿದೆ ಮತ್ತು ಸಾಮಾನ್ಯವಾಗಿ ಕಾಳ್ಗಿಚ್ಚು, ಹೊಗೆ ಬೂದಿ, ಬ್ಯಾಕ್ಟೀರಿಯಾ ಅಥವಾ ಸಣ್ಣ ಧೂಳಿನ ಕಣಗಳಿಂದ ಉಂಟಾಗುತ್ತದೆ.")</f>
        <v>PM2.5 ಕಣಗಳು ರಕ್ತಪ್ರವಾಹಕ್ಕೆ ಪ್ರವೇಶಿಸುವಷ್ಟು ಚಿಕ್ಕದಾಗಿದೆ ಮತ್ತು ಸಾಮಾನ್ಯವಾಗಿ ಕಾಳ್ಗಿಚ್ಚು, ಹೊಗೆ ಬೂದಿ, ಬ್ಯಾಕ್ಟೀರಿಯಾ ಅಥವಾ ಸಣ್ಣ ಧೂಳಿನ ಕಣಗಳಿಂದ ಉಂಟಾಗುತ್ತದೆ.</v>
      </c>
      <c r="AJ233" s="7" t="str">
        <f>IFERROR(__xludf.DUMMYFUNCTION("GoogleTranslate(C233, ""en"", ""km"")"),"ភាគល្អិត PM2.5 មានទំហំតូចល្មមចូលទៅក្នុងចរន្តឈាម ហើយជាធម្មតាបណ្តាលមកពីភ្លើងឆេះព្រៃ ផេះផ្សែង បាក់តេរី ឬភាគល្អិតធូលីតូចៗ។")</f>
        <v>ភាគល្អិត PM2.5 មានទំហំតូចល្មមចូលទៅក្នុងចរន្តឈាម ហើយជាធម្មតាបណ្តាលមកពីភ្លើងឆេះព្រៃ ផេះផ្សែង បាក់តេរី ឬភាគល្អិតធូលីតូចៗ។</v>
      </c>
      <c r="AK233" s="7" t="str">
        <f>IFERROR(__xludf.DUMMYFUNCTION("GoogleTranslate(C233, ""en"", ""ko"")"),"PM2.5 입자는 혈류에 들어갈 만큼 작으며 일반적으로 산불, 연기 재, 박테리아 또는 작은 먼지 입자로 인해 발생합니다.")</f>
        <v>PM2.5 입자는 혈류에 들어갈 만큼 작으며 일반적으로 산불, 연기 재, 박테리아 또는 작은 먼지 입자로 인해 발생합니다.</v>
      </c>
      <c r="AL233" s="7" t="str">
        <f>IFERROR(__xludf.DUMMYFUNCTION("GoogleTranslate(C233, ""en"", ""lo"")"),"ອະນຸພາກ PM2.5 ແມ່ນມີຂະໜາດນ້ອຍພໍທີ່ຈະເຂົ້າສູ່ກະແສເລືອດ ແລະ ໂດຍທົ່ວໄປແລ້ວເກີດຈາກໄຟໄໝ້ປ່າ, ຂີ້ເຖົ່າຄວັນໄຟ, ເຊື້ອແບັກທີເຣັຍ ຫຼື ຂີ້ຝຸ່ນນ້ອຍໆ.")</f>
        <v>ອະນຸພາກ PM2.5 ແມ່ນມີຂະໜາດນ້ອຍພໍທີ່ຈະເຂົ້າສູ່ກະແສເລືອດ ແລະ ໂດຍທົ່ວໄປແລ້ວເກີດຈາກໄຟໄໝ້ປ່າ, ຂີ້ເຖົ່າຄວັນໄຟ, ເຊື້ອແບັກທີເຣັຍ ຫຼື ຂີ້ຝຸ່ນນ້ອຍໆ.</v>
      </c>
      <c r="AM233" s="7" t="str">
        <f>IFERROR(__xludf.DUMMYFUNCTION("GoogleTranslate(C233, ""en"", ""lv"")"),"PM2.5 daļiņas ir pietiekami mazas, lai iekļūtu asinsritē, un tās parasti rodas ugunsgrēku, dūmu pelnu, baktēriju vai sīku putekļu daļiņu rezultātā.")</f>
        <v>PM2.5 daļiņas ir pietiekami mazas, lai iekļūtu asinsritē, un tās parasti rodas ugunsgrēku, dūmu pelnu, baktēriju vai sīku putekļu daļiņu rezultātā.</v>
      </c>
      <c r="AN233" s="7" t="str">
        <f>IFERROR(__xludf.DUMMYFUNCTION("GoogleTranslate(C233, ""en"", ""lt"")"),"KD2,5 dalelės yra pakankamai mažos, kad patektų į kraują ir paprastai susidaro dėl gaisrų, dūmų pelenų, bakterijų ar smulkių dulkių dalelių")</f>
        <v>KD2,5 dalelės yra pakankamai mažos, kad patektų į kraują ir paprastai susidaro dėl gaisrų, dūmų pelenų, bakterijų ar smulkių dulkių dalelių</v>
      </c>
      <c r="AO233" s="7" t="str">
        <f>IFERROR(__xludf.DUMMYFUNCTION("GoogleTranslate(C233, ""en"", ""mk"")"),"ПМ2.5 честичките се доволно мали за да влезат во крвотокот и обично се резултат од шумски пожари, чад пепел, бактерии или мали честички прашина")</f>
        <v>ПМ2.5 честичките се доволно мали за да влезат во крвотокот и обично се резултат од шумски пожари, чад пепел, бактерии или мали честички прашина</v>
      </c>
      <c r="AP233" s="7" t="str">
        <f>IFERROR(__xludf.DUMMYFUNCTION("GoogleTranslate(C233, ""en"", ""ms"")"),"Zarah PM2.5 cukup kecil untuk memasuki aliran darah dan biasanya terhasil daripada kebakaran hutan, abu asap, bakteria atau zarah debu kecil")</f>
        <v>Zarah PM2.5 cukup kecil untuk memasuki aliran darah dan biasanya terhasil daripada kebakaran hutan, abu asap, bakteria atau zarah debu kecil</v>
      </c>
      <c r="AQ233" s="7" t="str">
        <f>IFERROR(__xludf.DUMMYFUNCTION("GoogleTranslate(C233, ""en"", ""ml"")"),"PM2.5 കണങ്ങൾ രക്തത്തിൽ പ്രവേശിക്കാൻ പര്യാപ്തമാണ്, സാധാരണയായി കാട്ടുതീ, പുക ചാരം, ബാക്ടീരിയ അല്ലെങ്കിൽ ചെറിയ പൊടിപടലങ്ങൾ")</f>
        <v>PM2.5 കണങ്ങൾ രക്തത്തിൽ പ്രവേശിക്കാൻ പര്യാപ്തമാണ്, സാധാരണയായി കാട്ടുതീ, പുക ചാരം, ബാക്ടീരിയ അല്ലെങ്കിൽ ചെറിയ പൊടിപടലങ്ങൾ</v>
      </c>
      <c r="AR233" s="7" t="str">
        <f>IFERROR(__xludf.DUMMYFUNCTION("GoogleTranslate(C233, ""en"", ""mr"")"),"PM2.5 कण रक्तप्रवाहात प्रवेश करण्यासाठी पुरेसे लहान असतात आणि सामान्यत: जंगलातील आग, धुराची राख, बॅक्टेरिया किंवा लहान धुळीच्या कणांमुळे उद्भवतात.")</f>
        <v>PM2.5 कण रक्तप्रवाहात प्रवेश करण्यासाठी पुरेसे लहान असतात आणि सामान्यत: जंगलातील आग, धुराची राख, बॅक्टेरिया किंवा लहान धुळीच्या कणांमुळे उद्भवतात.</v>
      </c>
      <c r="AS233" s="7" t="str">
        <f>IFERROR(__xludf.DUMMYFUNCTION("GoogleTranslate(C233, ""en"", ""mn"")"),"PM2.5 тоосонцор нь цусны урсгалд ороход хангалттай жижиг бөгөөд ихэвчлэн ой хээрийн түймэр, утааны үнс, бактери, тоосны жижиг хэсгүүдээс үүсдэг.")</f>
        <v>PM2.5 тоосонцор нь цусны урсгалд ороход хангалттай жижиг бөгөөд ихэвчлэн ой хээрийн түймэр, утааны үнс, бактери, тоосны жижиг хэсгүүдээс үүсдэг.</v>
      </c>
      <c r="AT233" s="7" t="str">
        <f>IFERROR(__xludf.DUMMYFUNCTION("GoogleTranslate(C233, ""en"", ""ne"")"),"PM2.5 कणहरू रक्तप्रवाहमा प्रवेश गर्न पर्याप्त मात्रामा साना हुन्छन् र सामान्यतया जंगलको आगो, धुवाँको खरानी, ​​ब्याक्टेरिया वा सानो धुलो कणहरूको परिणाम हो।")</f>
        <v>PM2.5 कणहरू रक्तप्रवाहमा प्रवेश गर्न पर्याप्त मात्रामा साना हुन्छन् र सामान्यतया जंगलको आगो, धुवाँको खरानी, ​​ब्याक्टेरिया वा सानो धुलो कणहरूको परिणाम हो।</v>
      </c>
      <c r="AU233" s="7" t="str">
        <f>IFERROR(__xludf.DUMMYFUNCTION("GoogleTranslate(C233, ""en"", ""nb"")"),"PM2.5-partikler er små nok til å komme inn i blodet og skyldes vanligvis skogbranner, røykaske, bakterier eller små støvpartikler")</f>
        <v>PM2.5-partikler er små nok til å komme inn i blodet og skyldes vanligvis skogbranner, røykaske, bakterier eller små støvpartikler</v>
      </c>
      <c r="AV233" s="7" t="str">
        <f>IFERROR(__xludf.DUMMYFUNCTION("GoogleTranslate(C233, ""en"", ""fa"")"),"ذرات PM2.5 به اندازه‌ای کوچک هستند که وارد جریان خون شوند و معمولاً ناشی از آتش‌سوزی‌های جنگلی، خاکستر دود، باکتری‌ها یا ذرات ریز گرد و غبار هستند.")</f>
        <v>ذرات PM2.5 به اندازه‌ای کوچک هستند که وارد جریان خون شوند و معمولاً ناشی از آتش‌سوزی‌های جنگلی، خاکستر دود، باکتری‌ها یا ذرات ریز گرد و غبار هستند.</v>
      </c>
      <c r="AW233" s="7" t="str">
        <f>IFERROR(__xludf.DUMMYFUNCTION("GoogleTranslate(C233, ""en"", ""pl"")"),"Cząstki PM2,5 są wystarczająco małe, aby przedostać się do krwiobiegu i zazwyczaj powstają w wyniku pożarów, popiołów dymnych, bakterii lub małych cząstek pyłu")</f>
        <v>Cząstki PM2,5 są wystarczająco małe, aby przedostać się do krwiobiegu i zazwyczaj powstają w wyniku pożarów, popiołów dymnych, bakterii lub małych cząstek pyłu</v>
      </c>
      <c r="AX233" s="7" t="str">
        <f>IFERROR(__xludf.DUMMYFUNCTION("GoogleTranslate(C233, ""en"", ""pt"")"),"As partículas PM2.5 são pequenas o suficiente para entrar na corrente sanguínea e normalmente resultam de incêndios florestais, cinzas de fumaça, bactérias ou pequenas partículas de poeira")</f>
        <v>As partículas PM2.5 são pequenas o suficiente para entrar na corrente sanguínea e normalmente resultam de incêndios florestais, cinzas de fumaça, bactérias ou pequenas partículas de poeira</v>
      </c>
      <c r="AY233" s="7" t="str">
        <f>IFERROR(__xludf.DUMMYFUNCTION("GoogleTranslate(C233, ""en"", ""ro"")"),"Particulele PM2.5 sunt suficient de mici pentru a intra în sânge și, de obicei, rezultă din incendii de vegetație, cenușă de fum, bacterii sau particule mici de praf")</f>
        <v>Particulele PM2.5 sunt suficient de mici pentru a intra în sânge și, de obicei, rezultă din incendii de vegetație, cenușă de fum, bacterii sau particule mici de praf</v>
      </c>
      <c r="AZ233" s="7" t="str">
        <f>IFERROR(__xludf.DUMMYFUNCTION("GoogleTranslate(C233, ""en"", ""ru"")"),"Частицы PM2,5 достаточно малы, чтобы попасть в кровоток, и обычно возникают в результате лесных пожаров, дыма, бактерий или мелких частиц пыли.")</f>
        <v>Частицы PM2,5 достаточно малы, чтобы попасть в кровоток, и обычно возникают в результате лесных пожаров, дыма, бактерий или мелких частиц пыли.</v>
      </c>
      <c r="BA233" s="7" t="str">
        <f>IFERROR(__xludf.DUMMYFUNCTION("GoogleTranslate(C233, ""en"", ""sr"")"),"ПМ2,5 честице су довољно мале да уђу у крвоток и обично су резултат шумских пожара, димног пепела, бактерија или малих честица прашине")</f>
        <v>ПМ2,5 честице су довољно мале да уђу у крвоток и обично су резултат шумских пожара, димног пепела, бактерија или малих честица прашине</v>
      </c>
      <c r="BB233" s="7" t="str">
        <f>IFERROR(__xludf.DUMMYFUNCTION("GoogleTranslate(C233, ""en"", ""si"")"),"PM2.5 අංශු රුධිරයට ඇතුළු වීමට තරම් කුඩා වන අතර සාමාන්‍යයෙන් ලැව්ගිනි, දුම් අළු, බැක්ටීරියා හෝ කුඩා දූවිලි අංශු නිසා ඇතිවේ.")</f>
        <v>PM2.5 අංශු රුධිරයට ඇතුළු වීමට තරම් කුඩා වන අතර සාමාන්‍යයෙන් ලැව්ගිනි, දුම් අළු, බැක්ටීරියා හෝ කුඩා දූවිලි අංශු නිසා ඇතිවේ.</v>
      </c>
      <c r="BC233" s="7" t="str">
        <f>IFERROR(__xludf.DUMMYFUNCTION("GoogleTranslate(C233, ""en"", ""sk"")"),"Častice PM2,5 sú dostatočne malé na to, aby sa dostali do krvného obehu a zvyčajne sú výsledkom požiarov, dymového popola, baktérií alebo malých prachových častíc")</f>
        <v>Častice PM2,5 sú dostatočne malé na to, aby sa dostali do krvného obehu a zvyčajne sú výsledkom požiarov, dymového popola, baktérií alebo malých prachových častíc</v>
      </c>
      <c r="BD233" s="7" t="str">
        <f>IFERROR(__xludf.DUMMYFUNCTION("GoogleTranslate(C233, ""en"", ""sl"")"),"Delci PM2,5 so dovolj majhni, da vstopijo v krvni obtok in so običajno posledica požarov, dimnega pepela, bakterij ali majhnih prašnih delcev.")</f>
        <v>Delci PM2,5 so dovolj majhni, da vstopijo v krvni obtok in so običajno posledica požarov, dimnega pepela, bakterij ali majhnih prašnih delcev.</v>
      </c>
      <c r="BE233" s="7" t="str">
        <f>IFERROR(__xludf.DUMMYFUNCTION("GoogleTranslate(C233,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BF233" s="7" t="str">
        <f>IFERROR(__xludf.DUMMYFUNCTION("GoogleTranslate(C233, ""en"", ""sw"")"),"Chembechembe za PM2.5 ni ndogo za kutosha kuingia kwenye mkondo wa damu na kwa kawaida hutokana na moto wa nyika, majivu ya moshi, bakteria au chembe ndogo za vumbi.")</f>
        <v>Chembechembe za PM2.5 ni ndogo za kutosha kuingia kwenye mkondo wa damu na kwa kawaida hutokana na moto wa nyika, majivu ya moshi, bakteria au chembe ndogo za vumbi.</v>
      </c>
      <c r="BG233" s="7" t="str">
        <f>IFERROR(__xludf.DUMMYFUNCTION("GoogleTranslate(C233, ""en"", ""sv"")"),"PM2.5-partiklar är tillräckligt små för att komma in i blodomloppet och härrör vanligtvis från skogsbränder, rökaska, bakterier eller små dammpartiklar")</f>
        <v>PM2.5-partiklar är tillräckligt små för att komma in i blodomloppet och härrör vanligtvis från skogsbränder, rökaska, bakterier eller små dammpartiklar</v>
      </c>
      <c r="BH233" s="7" t="str">
        <f>IFERROR(__xludf.DUMMYFUNCTION("GoogleTranslate(C233, ""en"", ""te"")"),"PM2.5 కణాలు రక్తప్రవాహంలోకి ప్రవేశించేంత చిన్నవి మరియు సాధారణంగా అడవి మంటలు, పొగ బూడిద, బ్యాక్టీరియా లేదా చిన్న ధూళి కణాల ఫలితంగా ఉంటాయి.")</f>
        <v>PM2.5 కణాలు రక్తప్రవాహంలోకి ప్రవేశించేంత చిన్నవి మరియు సాధారణంగా అడవి మంటలు, పొగ బూడిద, బ్యాక్టీరియా లేదా చిన్న ధూళి కణాల ఫలితంగా ఉంటాయి.</v>
      </c>
      <c r="BI233" s="7" t="str">
        <f>IFERROR(__xludf.DUMMYFUNCTION("GoogleTranslate(C233, ""en"", ""th"")"),"อนุภาค PM2.5 มีขนาดเล็กพอที่จะเข้าสู่กระแสเลือดและมักเกิดจากไฟป่า ขี้เถ้าควัน แบคทีเรีย หรือฝุ่นละอองขนาดเล็ก")</f>
        <v>อนุภาค PM2.5 มีขนาดเล็กพอที่จะเข้าสู่กระแสเลือดและมักเกิดจากไฟป่า ขี้เถ้าควัน แบคทีเรีย หรือฝุ่นละอองขนาดเล็ก</v>
      </c>
      <c r="BJ233" s="7" t="str">
        <f>IFERROR(__xludf.DUMMYFUNCTION("GoogleTranslate(C233, ""en"", ""tr"")"),"PM2.5 parçacıkları kan dolaşımına girebilecek kadar küçüktür ve genellikle orman yangınlarından, duman küllerinden, bakterilerden veya küçük toz parçacıklarından kaynaklanır.")</f>
        <v>PM2.5 parçacıkları kan dolaşımına girebilecek kadar küçüktür ve genellikle orman yangınlarından, duman küllerinden, bakterilerden veya küçük toz parçacıklarından kaynaklanır.</v>
      </c>
      <c r="BK233" s="7" t="str">
        <f>IFERROR(__xludf.DUMMYFUNCTION("GoogleTranslate(C233, ""en"", ""uk"")"),"Частинки PM2,5 досить малі, щоб потрапити в кров, і зазвичай утворюються в результаті лісових пожеж, попелу диму, бактерій або дрібних частинок пилу.")</f>
        <v>Частинки PM2,5 досить малі, щоб потрапити в кров, і зазвичай утворюються в результаті лісових пожеж, попелу диму, бактерій або дрібних частинок пилу.</v>
      </c>
      <c r="BL233" s="7" t="str">
        <f>IFERROR(__xludf.DUMMYFUNCTION("GoogleTranslate(C233, ""en"", ""zu"")"),"Izinhlayiya ze-PM2.5 zincane ngokwanele ukuthi zingangena egazini futhi ngokuvamile zibangelwa imililo yequbula, umlotha wentuthu, amagciwane noma izinhlayiya zothuli.")</f>
        <v>Izinhlayiya ze-PM2.5 zincane ngokwanele ukuthi zingangena egazini futhi ngokuvamile zibangelwa imililo yequbula, umlotha wentuthu, amagciwane noma izinhlayiya zothuli.</v>
      </c>
    </row>
    <row r="234">
      <c r="A234" s="5" t="str">
        <f t="shared" si="1"/>
        <v>Oops!_The_page_your_requested_was_not_found!</v>
      </c>
      <c r="B234" s="4" t="s">
        <v>276</v>
      </c>
      <c r="C234" s="4" t="s">
        <v>276</v>
      </c>
      <c r="D234" s="7" t="str">
        <f>IFERROR(__xludf.DUMMYFUNCTION("GoogleTranslate(C234, ""en"", ""es"")"),"¡Ups! ¡La página solicitada no fue encontrada!")</f>
        <v>¡Ups! ¡La página solicitada no fue encontrada!</v>
      </c>
      <c r="E234" s="7" t="str">
        <f>IFERROR(__xludf.DUMMYFUNCTION("GoogleTranslate(C234, ""en"", ""ar"")"),"أُووبس! لم يتم العثور على الصفحة التي طلبتها!")</f>
        <v>أُووبس! لم يتم العثور على الصفحة التي طلبتها!</v>
      </c>
      <c r="F234" s="7" t="str">
        <f>IFERROR(__xludf.DUMMYFUNCTION("GoogleTranslate(C234, ""en"", ""hy"")"),"Վա՜յ Ձեր խնդրած էջը չի գտնվել:")</f>
        <v>Վա՜յ Ձեր խնդրած էջը չի գտնվել:</v>
      </c>
      <c r="G234" s="7" t="str">
        <f>IFERROR(__xludf.DUMMYFUNCTION("GoogleTranslate(C234, ""en"", ""vi"")"),"Ối! Trang bạn yêu cầu không được tìm thấy!")</f>
        <v>Ối! Trang bạn yêu cầu không được tìm thấy!</v>
      </c>
      <c r="H234" s="7" t="str">
        <f>IFERROR(__xludf.DUMMYFUNCTION("GoogleTranslate(C234, ""en"", ""az"")"),"Vay! İstədiyiniz səhifə tapılmadı!")</f>
        <v>Vay! İstədiyiniz səhifə tapılmadı!</v>
      </c>
      <c r="I234" s="7" t="str">
        <f>IFERROR(__xludf.DUMMYFUNCTION("GoogleTranslate(C234, ""en"", ""eu"")"),"Aupa! Zuk eskatutako orria ez da aurkitu!")</f>
        <v>Aupa! Zuk eskatutako orria ez da aurkitu!</v>
      </c>
      <c r="J234" s="7" t="str">
        <f>IFERROR(__xludf.DUMMYFUNCTION("GoogleTranslate(C234, ""en"", ""be"")"),"Ой! Запытаная вамі старонка не знойдзена!")</f>
        <v>Ой! Запытаная вамі старонка не знойдзена!</v>
      </c>
      <c r="K234" s="7" t="str">
        <f>IFERROR(__xludf.DUMMYFUNCTION("GoogleTranslate(C234, ""en"", ""bn"")"),"উফ! আপনার অনুরোধ করা পৃষ্ঠাটি পাওয়া যায়নি!")</f>
        <v>উফ! আপনার অনুরোধ করা পৃষ্ঠাটি পাওয়া যায়নি!</v>
      </c>
      <c r="L234" s="7" t="str">
        <f>IFERROR(__xludf.DUMMYFUNCTION("GoogleTranslate(C234, ""en"", ""bg"")"),"Опа! Страницата, която искахте, не беше намерена!")</f>
        <v>Опа! Страницата, която искахте, не беше намерена!</v>
      </c>
      <c r="M234" s="7" t="str">
        <f>IFERROR(__xludf.DUMMYFUNCTION("GoogleTranslate(C234, ""en"", ""my"")"),"သည်းခံပါ သင်တောင်းဆိုထားသည့် စာမျက်နှာကို ရှာမတွေ့ပါ။")</f>
        <v>သည်းခံပါ သင်တောင်းဆိုထားသည့် စာမျက်နှာကို ရှာမတွေ့ပါ။</v>
      </c>
      <c r="N234" s="7" t="str">
        <f>IFERROR(__xludf.DUMMYFUNCTION("GoogleTranslate(C234, ""en"", ""ca"")"),"Vaja! No s'ha trobat la pàgina que heu sol·licitat!")</f>
        <v>Vaja! No s'ha trobat la pàgina que heu sol·licitat!</v>
      </c>
      <c r="O234" s="7" t="str">
        <f>IFERROR(__xludf.DUMMYFUNCTION("GoogleTranslate(C234, ""en"", ""zh-cn"")"),"哎呀！未找到您请求的页面！")</f>
        <v>哎呀！未找到您请求的页面！</v>
      </c>
      <c r="P234" s="7" t="str">
        <f>IFERROR(__xludf.DUMMYFUNCTION("GoogleTranslate(C234, ""en"", ""zh-TW"")"),"哎呀！未找到您請求的頁面！")</f>
        <v>哎呀！未找到您請求的頁面！</v>
      </c>
      <c r="Q234" s="7" t="str">
        <f>IFERROR(__xludf.DUMMYFUNCTION("GoogleTranslate(C234, ""en"", ""hr"")"),"Ups! Stranica koju ste tražili nije pronađena!")</f>
        <v>Ups! Stranica koju ste tražili nije pronađena!</v>
      </c>
      <c r="R234" s="7" t="str">
        <f>IFERROR(__xludf.DUMMYFUNCTION("GoogleTranslate(C234, ""en"", ""cs"")"),"Jejda! Vámi požadovaná stránka nebyla nalezena!")</f>
        <v>Jejda! Vámi požadovaná stránka nebyla nalezena!</v>
      </c>
      <c r="S234" s="7" t="str">
        <f>IFERROR(__xludf.DUMMYFUNCTION("GoogleTranslate(C234, ""en"", ""da"")"),"Ups! Den side, du anmodede om, blev ikke fundet!")</f>
        <v>Ups! Den side, du anmodede om, blev ikke fundet!</v>
      </c>
      <c r="T234" s="7" t="str">
        <f>IFERROR(__xludf.DUMMYFUNCTION("GoogleTranslate(C234, ""en"", ""nl"")"),"Oeps! De door u opgevraagde pagina is niet gevonden!")</f>
        <v>Oeps! De door u opgevraagde pagina is niet gevonden!</v>
      </c>
      <c r="U234" s="7" t="str">
        <f>IFERROR(__xludf.DUMMYFUNCTION("GoogleTranslate(C234, ""en"", ""et"")"),"Oih! Teie soovitud lehte ei leitud!")</f>
        <v>Oih! Teie soovitud lehte ei leitud!</v>
      </c>
      <c r="V234" s="5" t="str">
        <f t="shared" si="3"/>
        <v>Oops! The page your requested was not found!</v>
      </c>
      <c r="W234" s="7" t="str">
        <f>IFERROR(__xludf.DUMMYFUNCTION("GoogleTranslate(C234, ""en"", ""fi"")"),"Oho! Pyytämääsi sivua ei löytynyt!")</f>
        <v>Oho! Pyytämääsi sivua ei löytynyt!</v>
      </c>
      <c r="X234" s="7" t="str">
        <f>IFERROR(__xludf.DUMMYFUNCTION("GoogleTranslate(C234, ""en"", ""fr"")"),"Oups ! La page que vous avez demandée n'a pas été trouvée !")</f>
        <v>Oups ! La page que vous avez demandée n'a pas été trouvée !</v>
      </c>
      <c r="Y234" s="7" t="str">
        <f>IFERROR(__xludf.DUMMYFUNCTION("GoogleTranslate(C234, ""en"", ""de"")"),"Hoppla! Die von Ihnen angeforderte Seite wurde nicht gefunden!")</f>
        <v>Hoppla! Die von Ihnen angeforderte Seite wurde nicht gefunden!</v>
      </c>
      <c r="Z234" s="7" t="str">
        <f>IFERROR(__xludf.DUMMYFUNCTION("GoogleTranslate(C234, ""en"", ""el"")"),"Ωχ! Η σελίδα που ζητήσατε δεν βρέθηκε!")</f>
        <v>Ωχ! Η σελίδα που ζητήσατε δεν βρέθηκε!</v>
      </c>
      <c r="AA234" s="7" t="str">
        <f>IFERROR(__xludf.DUMMYFUNCTION("GoogleTranslate(C234, ""en"", ""iw"")"),"אופס! הדף שביקשת לא נמצא!")</f>
        <v>אופס! הדף שביקשת לא נמצא!</v>
      </c>
      <c r="AB234" s="7" t="str">
        <f>IFERROR(__xludf.DUMMYFUNCTION("GoogleTranslate(C234, ""en"", ""hi"")"),"उफ़! आपके द्वारा अनुरोधित पृष्ठ नहीं मिला!")</f>
        <v>उफ़! आपके द्वारा अनुरोधित पृष्ठ नहीं मिला!</v>
      </c>
      <c r="AC234" s="7" t="str">
        <f>IFERROR(__xludf.DUMMYFUNCTION("GoogleTranslate(C234, ""en"", ""hu"")"),"Hoppá! A keresett oldal nem található!")</f>
        <v>Hoppá! A keresett oldal nem található!</v>
      </c>
      <c r="AD234" s="7" t="str">
        <f>IFERROR(__xludf.DUMMYFUNCTION("GoogleTranslate(C234, ""en"", ""is"")"),"Úps! Síðan sem þú baðst um fannst ekki!")</f>
        <v>Úps! Síðan sem þú baðst um fannst ekki!</v>
      </c>
      <c r="AE234" s="7" t="str">
        <f>IFERROR(__xludf.DUMMYFUNCTION("GoogleTranslate(C234, ""en"", ""id"")"),"Ups! Halaman yang Anda minta tidak ditemukan!")</f>
        <v>Ups! Halaman yang Anda minta tidak ditemukan!</v>
      </c>
      <c r="AF234" s="7" t="str">
        <f>IFERROR(__xludf.DUMMYFUNCTION("GoogleTranslate(C234, ""en"", ""in"")"),"Ups! Halaman yang Anda minta tidak ditemukan!")</f>
        <v>Ups! Halaman yang Anda minta tidak ditemukan!</v>
      </c>
      <c r="AG234" s="7" t="str">
        <f>IFERROR(__xludf.DUMMYFUNCTION("GoogleTranslate(C234, ""en"", ""it"")"),"Ops! La pagina richiesta non è stata trovata!")</f>
        <v>Ops! La pagina richiesta non è stata trovata!</v>
      </c>
      <c r="AH234" s="7" t="str">
        <f>IFERROR(__xludf.DUMMYFUNCTION("GoogleTranslate(C234, ""en"", ""ja"")"),"おっと！要求したページは見つかりませんでした。")</f>
        <v>おっと！要求したページは見つかりませんでした。</v>
      </c>
      <c r="AI234" s="7" t="str">
        <f>IFERROR(__xludf.DUMMYFUNCTION("GoogleTranslate(C234, ""en"", ""kn"")"),"ಓಹ್! ನೀವು ವಿನಂತಿಸಿದ ಪುಟವು ಕಂಡುಬಂದಿಲ್ಲ!")</f>
        <v>ಓಹ್! ನೀವು ವಿನಂತಿಸಿದ ಪುಟವು ಕಂಡುಬಂದಿಲ್ಲ!</v>
      </c>
      <c r="AJ234" s="7" t="str">
        <f>IFERROR(__xludf.DUMMYFUNCTION("GoogleTranslate(C234, ""en"", ""km"")"),"ឱ! រកមិនឃើញទំព័រដែលអ្នកស្នើសុំ!")</f>
        <v>ឱ! រកមិនឃើញទំព័រដែលអ្នកស្នើសុំ!</v>
      </c>
      <c r="AK234" s="7" t="str">
        <f>IFERROR(__xludf.DUMMYFUNCTION("GoogleTranslate(C234, ""en"", ""ko"")"),"이런! 요청하신 페이지를 찾을 수 없습니다!")</f>
        <v>이런! 요청하신 페이지를 찾을 수 없습니다!</v>
      </c>
      <c r="AL234" s="7" t="str">
        <f>IFERROR(__xludf.DUMMYFUNCTION("GoogleTranslate(C234, ""en"", ""lo"")"),"ອຸຍ! ບໍ່ພົບໜ້າທີ່ທ່ານຮ້ອງຂໍ!")</f>
        <v>ອຸຍ! ບໍ່ພົບໜ້າທີ່ທ່ານຮ້ອງຂໍ!</v>
      </c>
      <c r="AM234" s="7" t="str">
        <f>IFERROR(__xludf.DUMMYFUNCTION("GoogleTranslate(C234, ""en"", ""lv"")"),"Hmm! Jūsu pieprasītā lapa netika atrasta!")</f>
        <v>Hmm! Jūsu pieprasītā lapa netika atrasta!</v>
      </c>
      <c r="AN234" s="7" t="str">
        <f>IFERROR(__xludf.DUMMYFUNCTION("GoogleTranslate(C234, ""en"", ""lt"")"),"Oi! Puslapis, kurio prašėte, nerastas!")</f>
        <v>Oi! Puslapis, kurio prašėte, nerastas!</v>
      </c>
      <c r="AO234" s="7" t="str">
        <f>IFERROR(__xludf.DUMMYFUNCTION("GoogleTranslate(C234, ""en"", ""mk"")"),"Упс! Страницата што ја баравте не е пронајдена!")</f>
        <v>Упс! Страницата што ја баравте не е пронајдена!</v>
      </c>
      <c r="AP234" s="7" t="str">
        <f>IFERROR(__xludf.DUMMYFUNCTION("GoogleTranslate(C234, ""en"", ""ms"")"),"Aduh! Halaman yang anda minta tidak ditemui!")</f>
        <v>Aduh! Halaman yang anda minta tidak ditemui!</v>
      </c>
      <c r="AQ234" s="7" t="str">
        <f>IFERROR(__xludf.DUMMYFUNCTION("GoogleTranslate(C234, ""en"", ""ml"")"),"ശ്ശോ! നിങ്ങൾ അഭ്യർത്ഥിച്ച പേജ് കണ്ടെത്തിയില്ല!")</f>
        <v>ശ്ശോ! നിങ്ങൾ അഭ്യർത്ഥിച്ച പേജ് കണ്ടെത്തിയില്ല!</v>
      </c>
      <c r="AR234" s="7" t="str">
        <f>IFERROR(__xludf.DUMMYFUNCTION("GoogleTranslate(C234, ""en"", ""mr"")"),"अरेरे! तुम्ही विनंती केलेले पान सापडले नाही!")</f>
        <v>अरेरे! तुम्ही विनंती केलेले पान सापडले नाही!</v>
      </c>
      <c r="AS234" s="7" t="str">
        <f>IFERROR(__xludf.DUMMYFUNCTION("GoogleTranslate(C234, ""en"", ""mn"")"),"Өө! Таны хүссэн хуудас олдсонгүй!")</f>
        <v>Өө! Таны хүссэн хуудас олдсонгүй!</v>
      </c>
      <c r="AT234" s="7" t="str">
        <f>IFERROR(__xludf.DUMMYFUNCTION("GoogleTranslate(C234, ""en"", ""ne"")"),"उफ्! तपाईंले अनुरोध गर्नुभएको पृष्ठ फेला परेन!")</f>
        <v>उफ्! तपाईंले अनुरोध गर्नुभएको पृष्ठ फेला परेन!</v>
      </c>
      <c r="AU234" s="7" t="str">
        <f>IFERROR(__xludf.DUMMYFUNCTION("GoogleTranslate(C234, ""en"", ""nb"")"),"Oops! Siden du forespurte ble ikke funnet!")</f>
        <v>Oops! Siden du forespurte ble ikke funnet!</v>
      </c>
      <c r="AV234" s="7" t="str">
        <f>IFERROR(__xludf.DUMMYFUNCTION("GoogleTranslate(C234, ""en"", ""fa"")"),"اوه! صفحه درخواستی شما پیدا نشد!")</f>
        <v>اوه! صفحه درخواستی شما پیدا نشد!</v>
      </c>
      <c r="AW234" s="7" t="str">
        <f>IFERROR(__xludf.DUMMYFUNCTION("GoogleTranslate(C234, ""en"", ""pl"")"),"Ups! Strona, o którą prosiłeś, nie została znaleziona!")</f>
        <v>Ups! Strona, o którą prosiłeś, nie została znaleziona!</v>
      </c>
      <c r="AX234" s="7" t="str">
        <f>IFERROR(__xludf.DUMMYFUNCTION("GoogleTranslate(C234, ""en"", ""pt"")"),"Ops! A página solicitada não foi encontrada!")</f>
        <v>Ops! A página solicitada não foi encontrada!</v>
      </c>
      <c r="AY234" s="7" t="str">
        <f>IFERROR(__xludf.DUMMYFUNCTION("GoogleTranslate(C234, ""en"", ""ro"")"),"Hopa! Pagina solicitată de dvs. nu a fost găsită!")</f>
        <v>Hopa! Pagina solicitată de dvs. nu a fost găsită!</v>
      </c>
      <c r="AZ234" s="7" t="str">
        <f>IFERROR(__xludf.DUMMYFUNCTION("GoogleTranslate(C234, ""en"", ""ru"")"),"Упс! Запрошенная вами страница не найдена!")</f>
        <v>Упс! Запрошенная вами страница не найдена!</v>
      </c>
      <c r="BA234" s="7" t="str">
        <f>IFERROR(__xludf.DUMMYFUNCTION("GoogleTranslate(C234, ""en"", ""sr"")"),"Упс! Страница коју сте тражили није пронађена!")</f>
        <v>Упс! Страница коју сте тражили није пронађена!</v>
      </c>
      <c r="BB234" s="7" t="str">
        <f>IFERROR(__xludf.DUMMYFUNCTION("GoogleTranslate(C234, ""en"", ""si"")"),"අපොයි! ඔබ ඉල්ලූ පිටුව හමු නොවීය!")</f>
        <v>අපොයි! ඔබ ඉල්ලූ පිටුව හමු නොවීය!</v>
      </c>
      <c r="BC234" s="7" t="str">
        <f>IFERROR(__xludf.DUMMYFUNCTION("GoogleTranslate(C234, ""en"", ""sk"")"),"Ojoj! Vami požadovaná stránka sa nenašla!")</f>
        <v>Ojoj! Vami požadovaná stránka sa nenašla!</v>
      </c>
      <c r="BD234" s="7" t="str">
        <f>IFERROR(__xludf.DUMMYFUNCTION("GoogleTranslate(C234, ""en"", ""sl"")"),"Ups! Stran, ki ste jo zahtevali, ni bila najdena!")</f>
        <v>Ups! Stran, ki ste jo zahtevali, ni bila najdena!</v>
      </c>
      <c r="BE234" s="7" t="str">
        <f>IFERROR(__xludf.DUMMYFUNCTION("GoogleTranslate(C234, ""en"", ""es"")"),"¡Ups! ¡La página solicitada no fue encontrada!")</f>
        <v>¡Ups! ¡La página solicitada no fue encontrada!</v>
      </c>
      <c r="BF234" s="7" t="str">
        <f>IFERROR(__xludf.DUMMYFUNCTION("GoogleTranslate(C234, ""en"", ""sw"")"),"Lo! Ukurasa ulioomba haukupatikana!")</f>
        <v>Lo! Ukurasa ulioomba haukupatikana!</v>
      </c>
      <c r="BG234" s="7" t="str">
        <f>IFERROR(__xludf.DUMMYFUNCTION("GoogleTranslate(C234, ""en"", ""sv"")"),"hoppsan! Sidan du efterfrågade hittades inte!")</f>
        <v>hoppsan! Sidan du efterfrågade hittades inte!</v>
      </c>
      <c r="BH234" s="7" t="str">
        <f>IFERROR(__xludf.DUMMYFUNCTION("GoogleTranslate(C234, ""en"", ""te"")"),"అయ్యో! మీరు అభ్యర్థించిన పేజీ కనుగొనబడలేదు!")</f>
        <v>అయ్యో! మీరు అభ్యర్థించిన పేజీ కనుగొనబడలేదు!</v>
      </c>
      <c r="BI234" s="7" t="str">
        <f>IFERROR(__xludf.DUMMYFUNCTION("GoogleTranslate(C234, ""en"", ""th"")"),"อ๊ะ! ไม่พบเพจที่คุณร้องขอ!")</f>
        <v>อ๊ะ! ไม่พบเพจที่คุณร้องขอ!</v>
      </c>
      <c r="BJ234" s="7" t="str">
        <f>IFERROR(__xludf.DUMMYFUNCTION("GoogleTranslate(C234, ""en"", ""tr"")"),"Hata! İstediğiniz sayfa bulunamadı!")</f>
        <v>Hata! İstediğiniz sayfa bulunamadı!</v>
      </c>
      <c r="BK234" s="7" t="str">
        <f>IFERROR(__xludf.DUMMYFUNCTION("GoogleTranslate(C234, ""en"", ""uk"")"),"Ой! Сторінка, яку ви запитували, не знайдена!")</f>
        <v>Ой! Сторінка, яку ви запитували, не знайдена!</v>
      </c>
      <c r="BL234" s="7" t="str">
        <f>IFERROR(__xludf.DUMMYFUNCTION("GoogleTranslate(C234, ""en"", ""zu"")"),"Eshu! Ikhasi olicelile alitholakalanga!")</f>
        <v>Eshu! Ikhasi olicelile alitholakalanga!</v>
      </c>
    </row>
    <row r="235">
      <c r="A235" s="5" t="str">
        <f t="shared" si="1"/>
        <v>Now</v>
      </c>
      <c r="B235" s="4" t="s">
        <v>277</v>
      </c>
      <c r="C235" s="4" t="s">
        <v>277</v>
      </c>
      <c r="D235" s="7" t="str">
        <f>IFERROR(__xludf.DUMMYFUNCTION("GoogleTranslate(C235, ""en"", ""es"")"),"Ahora")</f>
        <v>Ahora</v>
      </c>
      <c r="E235" s="7" t="str">
        <f>IFERROR(__xludf.DUMMYFUNCTION("GoogleTranslate(C235, ""en"", ""ar"")"),"الآن")</f>
        <v>الآن</v>
      </c>
      <c r="F235" s="7" t="str">
        <f>IFERROR(__xludf.DUMMYFUNCTION("GoogleTranslate(C235, ""en"", ""hy"")"),"Հիմա")</f>
        <v>Հիմա</v>
      </c>
      <c r="G235" s="7" t="str">
        <f>IFERROR(__xludf.DUMMYFUNCTION("GoogleTranslate(C235, ""en"", ""vi"")"),"Hiện nay")</f>
        <v>Hiện nay</v>
      </c>
      <c r="H235" s="7" t="str">
        <f>IFERROR(__xludf.DUMMYFUNCTION("GoogleTranslate(C235, ""en"", ""az"")"),"İndi")</f>
        <v>İndi</v>
      </c>
      <c r="I235" s="7" t="str">
        <f>IFERROR(__xludf.DUMMYFUNCTION("GoogleTranslate(C235, ""en"", ""eu"")"),"Orain")</f>
        <v>Orain</v>
      </c>
      <c r="J235" s="7" t="str">
        <f>IFERROR(__xludf.DUMMYFUNCTION("GoogleTranslate(C235, ""en"", ""be"")"),"зараз")</f>
        <v>зараз</v>
      </c>
      <c r="K235" s="7" t="str">
        <f>IFERROR(__xludf.DUMMYFUNCTION("GoogleTranslate(C235, ""en"", ""bn"")"),"এখন")</f>
        <v>এখন</v>
      </c>
      <c r="L235" s="7" t="str">
        <f>IFERROR(__xludf.DUMMYFUNCTION("GoogleTranslate(C235, ""en"", ""bg"")"),"Сега")</f>
        <v>Сега</v>
      </c>
      <c r="M235" s="7" t="str">
        <f>IFERROR(__xludf.DUMMYFUNCTION("GoogleTranslate(C235, ""en"", ""my"")"),"ကဲ")</f>
        <v>ကဲ</v>
      </c>
      <c r="N235" s="7" t="str">
        <f>IFERROR(__xludf.DUMMYFUNCTION("GoogleTranslate(C235, ""en"", ""ca"")"),"Ara")</f>
        <v>Ara</v>
      </c>
      <c r="O235" s="7" t="str">
        <f>IFERROR(__xludf.DUMMYFUNCTION("GoogleTranslate(C235, ""en"", ""zh-cn"")"),"现在")</f>
        <v>现在</v>
      </c>
      <c r="P235" s="7" t="str">
        <f>IFERROR(__xludf.DUMMYFUNCTION("GoogleTranslate(C235, ""en"", ""zh-TW"")"),"現在")</f>
        <v>現在</v>
      </c>
      <c r="Q235" s="7" t="str">
        <f>IFERROR(__xludf.DUMMYFUNCTION("GoogleTranslate(C235, ""en"", ""hr"")"),"Sada")</f>
        <v>Sada</v>
      </c>
      <c r="R235" s="7" t="str">
        <f>IFERROR(__xludf.DUMMYFUNCTION("GoogleTranslate(C235, ""en"", ""cs"")"),"Teď")</f>
        <v>Teď</v>
      </c>
      <c r="S235" s="7" t="str">
        <f>IFERROR(__xludf.DUMMYFUNCTION("GoogleTranslate(C235, ""en"", ""da"")"),"Nu")</f>
        <v>Nu</v>
      </c>
      <c r="T235" s="7" t="str">
        <f>IFERROR(__xludf.DUMMYFUNCTION("GoogleTranslate(C235, ""en"", ""nl"")"),"Nu")</f>
        <v>Nu</v>
      </c>
      <c r="U235" s="7" t="str">
        <f>IFERROR(__xludf.DUMMYFUNCTION("GoogleTranslate(C235, ""en"", ""et"")"),"Nüüd")</f>
        <v>Nüüd</v>
      </c>
      <c r="V235" s="5" t="str">
        <f t="shared" si="3"/>
        <v>Now</v>
      </c>
      <c r="W235" s="7" t="str">
        <f>IFERROR(__xludf.DUMMYFUNCTION("GoogleTranslate(C235, ""en"", ""fi"")"),"Nyt")</f>
        <v>Nyt</v>
      </c>
      <c r="X235" s="7" t="str">
        <f>IFERROR(__xludf.DUMMYFUNCTION("GoogleTranslate(C235, ""en"", ""fr"")"),"Maintenant")</f>
        <v>Maintenant</v>
      </c>
      <c r="Y235" s="7" t="str">
        <f>IFERROR(__xludf.DUMMYFUNCTION("GoogleTranslate(C235, ""en"", ""de"")"),"Jetzt")</f>
        <v>Jetzt</v>
      </c>
      <c r="Z235" s="7" t="str">
        <f>IFERROR(__xludf.DUMMYFUNCTION("GoogleTranslate(C235, ""en"", ""el"")"),"Τώρα")</f>
        <v>Τώρα</v>
      </c>
      <c r="AA235" s="7" t="str">
        <f>IFERROR(__xludf.DUMMYFUNCTION("GoogleTranslate(C235, ""en"", ""iw"")"),"עַכשָׁיו")</f>
        <v>עַכשָׁיו</v>
      </c>
      <c r="AB235" s="7" t="str">
        <f>IFERROR(__xludf.DUMMYFUNCTION("GoogleTranslate(C235, ""en"", ""hi"")"),"अब")</f>
        <v>अब</v>
      </c>
      <c r="AC235" s="7" t="str">
        <f>IFERROR(__xludf.DUMMYFUNCTION("GoogleTranslate(C235, ""en"", ""hu"")"),"Jelenleg")</f>
        <v>Jelenleg</v>
      </c>
      <c r="AD235" s="7" t="str">
        <f>IFERROR(__xludf.DUMMYFUNCTION("GoogleTranslate(C235, ""en"", ""is"")"),"Nú")</f>
        <v>Nú</v>
      </c>
      <c r="AE235" s="7" t="str">
        <f>IFERROR(__xludf.DUMMYFUNCTION("GoogleTranslate(C235, ""en"", ""id"")"),"Sekarang")</f>
        <v>Sekarang</v>
      </c>
      <c r="AF235" s="7" t="str">
        <f>IFERROR(__xludf.DUMMYFUNCTION("GoogleTranslate(C235, ""en"", ""in"")"),"Sekarang")</f>
        <v>Sekarang</v>
      </c>
      <c r="AG235" s="7" t="str">
        <f>IFERROR(__xludf.DUMMYFUNCTION("GoogleTranslate(C235, ""en"", ""it"")"),"Ora")</f>
        <v>Ora</v>
      </c>
      <c r="AH235" s="7" t="str">
        <f>IFERROR(__xludf.DUMMYFUNCTION("GoogleTranslate(C235, ""en"", ""ja"")"),"今")</f>
        <v>今</v>
      </c>
      <c r="AI235" s="7" t="str">
        <f>IFERROR(__xludf.DUMMYFUNCTION("GoogleTranslate(C235, ""en"", ""kn"")"),"ಈಗ")</f>
        <v>ಈಗ</v>
      </c>
      <c r="AJ235" s="7" t="str">
        <f>IFERROR(__xludf.DUMMYFUNCTION("GoogleTranslate(C235, ""en"", ""km"")"),"ឥឡូវនេះ")</f>
        <v>ឥឡូវនេះ</v>
      </c>
      <c r="AK235" s="7" t="str">
        <f>IFERROR(__xludf.DUMMYFUNCTION("GoogleTranslate(C235, ""en"", ""ko"")"),"지금")</f>
        <v>지금</v>
      </c>
      <c r="AL235" s="7" t="str">
        <f>IFERROR(__xludf.DUMMYFUNCTION("GoogleTranslate(C235, ""en"", ""lo"")"),"ດຽວນີ້")</f>
        <v>ດຽວນີ້</v>
      </c>
      <c r="AM235" s="7" t="str">
        <f>IFERROR(__xludf.DUMMYFUNCTION("GoogleTranslate(C235, ""en"", ""lv"")"),"Tagad")</f>
        <v>Tagad</v>
      </c>
      <c r="AN235" s="7" t="str">
        <f>IFERROR(__xludf.DUMMYFUNCTION("GoogleTranslate(C235, ""en"", ""lt"")"),"Dabar")</f>
        <v>Dabar</v>
      </c>
      <c r="AO235" s="7" t="str">
        <f>IFERROR(__xludf.DUMMYFUNCTION("GoogleTranslate(C235, ""en"", ""mk"")"),"Сега")</f>
        <v>Сега</v>
      </c>
      <c r="AP235" s="7" t="str">
        <f>IFERROR(__xludf.DUMMYFUNCTION("GoogleTranslate(C235, ""en"", ""ms"")"),"Sekarang")</f>
        <v>Sekarang</v>
      </c>
      <c r="AQ235" s="7" t="str">
        <f>IFERROR(__xludf.DUMMYFUNCTION("GoogleTranslate(C235, ""en"", ""ml"")"),"ഇപ്പോൾ")</f>
        <v>ഇപ്പോൾ</v>
      </c>
      <c r="AR235" s="7" t="str">
        <f>IFERROR(__xludf.DUMMYFUNCTION("GoogleTranslate(C235, ""en"", ""mr"")"),"आता")</f>
        <v>आता</v>
      </c>
      <c r="AS235" s="7" t="str">
        <f>IFERROR(__xludf.DUMMYFUNCTION("GoogleTranslate(C235, ""en"", ""mn"")"),"Одоо")</f>
        <v>Одоо</v>
      </c>
      <c r="AT235" s="7" t="str">
        <f>IFERROR(__xludf.DUMMYFUNCTION("GoogleTranslate(C235, ""en"", ""ne"")"),"अब")</f>
        <v>अब</v>
      </c>
      <c r="AU235" s="7" t="str">
        <f>IFERROR(__xludf.DUMMYFUNCTION("GoogleTranslate(C235, ""en"", ""nb"")"),"Nå")</f>
        <v>Nå</v>
      </c>
      <c r="AV235" s="7" t="str">
        <f>IFERROR(__xludf.DUMMYFUNCTION("GoogleTranslate(C235, ""en"", ""fa"")"),"در حال حاضر")</f>
        <v>در حال حاضر</v>
      </c>
      <c r="AW235" s="7" t="str">
        <f>IFERROR(__xludf.DUMMYFUNCTION("GoogleTranslate(C235, ""en"", ""pl"")"),"Teraz")</f>
        <v>Teraz</v>
      </c>
      <c r="AX235" s="7" t="str">
        <f>IFERROR(__xludf.DUMMYFUNCTION("GoogleTranslate(C235, ""en"", ""pt"")"),"Agora")</f>
        <v>Agora</v>
      </c>
      <c r="AY235" s="7" t="str">
        <f>IFERROR(__xludf.DUMMYFUNCTION("GoogleTranslate(C235, ""en"", ""ro"")"),"Acum")</f>
        <v>Acum</v>
      </c>
      <c r="AZ235" s="7" t="str">
        <f>IFERROR(__xludf.DUMMYFUNCTION("GoogleTranslate(C235, ""en"", ""ru"")"),"Сейчас")</f>
        <v>Сейчас</v>
      </c>
      <c r="BA235" s="7" t="str">
        <f>IFERROR(__xludf.DUMMYFUNCTION("GoogleTranslate(C235, ""en"", ""sr"")"),"Сада")</f>
        <v>Сада</v>
      </c>
      <c r="BB235" s="7" t="str">
        <f>IFERROR(__xludf.DUMMYFUNCTION("GoogleTranslate(C235, ""en"", ""si"")"),"දැන්")</f>
        <v>දැන්</v>
      </c>
      <c r="BC235" s="7" t="str">
        <f>IFERROR(__xludf.DUMMYFUNCTION("GoogleTranslate(C235, ""en"", ""sk"")"),"Teraz")</f>
        <v>Teraz</v>
      </c>
      <c r="BD235" s="7" t="str">
        <f>IFERROR(__xludf.DUMMYFUNCTION("GoogleTranslate(C235, ""en"", ""sl"")"),"zdaj")</f>
        <v>zdaj</v>
      </c>
      <c r="BE235" s="7" t="str">
        <f>IFERROR(__xludf.DUMMYFUNCTION("GoogleTranslate(C235, ""en"", ""es"")"),"Ahora")</f>
        <v>Ahora</v>
      </c>
      <c r="BF235" s="7" t="str">
        <f>IFERROR(__xludf.DUMMYFUNCTION("GoogleTranslate(C235, ""en"", ""sw"")"),"Sasa")</f>
        <v>Sasa</v>
      </c>
      <c r="BG235" s="7" t="str">
        <f>IFERROR(__xludf.DUMMYFUNCTION("GoogleTranslate(C235, ""en"", ""sv"")"),"Nu")</f>
        <v>Nu</v>
      </c>
      <c r="BH235" s="7" t="str">
        <f>IFERROR(__xludf.DUMMYFUNCTION("GoogleTranslate(C235, ""en"", ""te"")"),"ఇప్పుడు")</f>
        <v>ఇప్పుడు</v>
      </c>
      <c r="BI235" s="7" t="str">
        <f>IFERROR(__xludf.DUMMYFUNCTION("GoogleTranslate(C235, ""en"", ""th"")"),"ตอนนี้")</f>
        <v>ตอนนี้</v>
      </c>
      <c r="BJ235" s="7" t="str">
        <f>IFERROR(__xludf.DUMMYFUNCTION("GoogleTranslate(C235, ""en"", ""tr"")"),"Şimdi")</f>
        <v>Şimdi</v>
      </c>
      <c r="BK235" s="7" t="str">
        <f>IFERROR(__xludf.DUMMYFUNCTION("GoogleTranslate(C235, ""en"", ""uk"")"),"Зараз")</f>
        <v>Зараз</v>
      </c>
      <c r="BL235" s="7" t="str">
        <f>IFERROR(__xludf.DUMMYFUNCTION("GoogleTranslate(C235, ""en"", ""zu"")"),"Manje")</f>
        <v>Manje</v>
      </c>
    </row>
    <row r="236">
      <c r="A236" s="5" t="str">
        <f t="shared" si="1"/>
        <v>Precip_Intensity</v>
      </c>
      <c r="B236" s="4" t="s">
        <v>278</v>
      </c>
      <c r="C236" s="4" t="s">
        <v>278</v>
      </c>
      <c r="D236" s="7" t="str">
        <f>IFERROR(__xludf.DUMMYFUNCTION("GoogleTranslate(C236, ""en"", ""es"")"),"Intensidad de la precipitación")</f>
        <v>Intensidad de la precipitación</v>
      </c>
      <c r="E236" s="7" t="str">
        <f>IFERROR(__xludf.DUMMYFUNCTION("GoogleTranslate(C236, ""en"", ""ar"")"),"شدة الهطول")</f>
        <v>شدة الهطول</v>
      </c>
      <c r="F236" s="7" t="str">
        <f>IFERROR(__xludf.DUMMYFUNCTION("GoogleTranslate(C236, ""en"", ""hy"")"),"Տեղումների ինտենսիվությունը")</f>
        <v>Տեղումների ինտենսիվությունը</v>
      </c>
      <c r="G236" s="7" t="str">
        <f>IFERROR(__xludf.DUMMYFUNCTION("GoogleTranslate(C236, ""en"", ""vi"")"),"Cường độ mưa")</f>
        <v>Cường độ mưa</v>
      </c>
      <c r="H236" s="7" t="str">
        <f>IFERROR(__xludf.DUMMYFUNCTION("GoogleTranslate(C236, ""en"", ""az"")"),"Yağıntının intensivliyi")</f>
        <v>Yağıntının intensivliyi</v>
      </c>
      <c r="I236" s="7" t="str">
        <f>IFERROR(__xludf.DUMMYFUNCTION("GoogleTranslate(C236, ""en"", ""eu"")"),"Precip Intentsitatea")</f>
        <v>Precip Intentsitatea</v>
      </c>
      <c r="J236" s="7" t="str">
        <f>IFERROR(__xludf.DUMMYFUNCTION("GoogleTranslate(C236, ""en"", ""be"")"),"Інтэнсіўнасць ападкаў")</f>
        <v>Інтэнсіўнасць ападкаў</v>
      </c>
      <c r="K236" s="7" t="str">
        <f>IFERROR(__xludf.DUMMYFUNCTION("GoogleTranslate(C236, ""en"", ""bn"")"),"বৃষ্টিপাতের তীব্রতা")</f>
        <v>বৃষ্টিপাতের তীব্রতা</v>
      </c>
      <c r="L236" s="7" t="str">
        <f>IFERROR(__xludf.DUMMYFUNCTION("GoogleTranslate(C236, ""en"", ""bg"")"),"Интензивност на валежите")</f>
        <v>Интензивност на валежите</v>
      </c>
      <c r="M236" s="7" t="str">
        <f>IFERROR(__xludf.DUMMYFUNCTION("GoogleTranslate(C236, ""en"", ""my"")"),"မိုးရွာသွန်းမှုပြင်းထန်မှု")</f>
        <v>မိုးရွာသွန်းမှုပြင်းထန်မှု</v>
      </c>
      <c r="N236" s="7" t="str">
        <f>IFERROR(__xludf.DUMMYFUNCTION("GoogleTranslate(C236, ""en"", ""ca"")"),"Intensitat de precipitació")</f>
        <v>Intensitat de precipitació</v>
      </c>
      <c r="O236" s="7" t="str">
        <f>IFERROR(__xludf.DUMMYFUNCTION("GoogleTranslate(C236, ""en"", ""zh-cn"")"),"降水强度")</f>
        <v>降水强度</v>
      </c>
      <c r="P236" s="7" t="str">
        <f>IFERROR(__xludf.DUMMYFUNCTION("GoogleTranslate(C236, ""en"", ""zh-TW"")"),"降水強度")</f>
        <v>降水強度</v>
      </c>
      <c r="Q236" s="7" t="str">
        <f>IFERROR(__xludf.DUMMYFUNCTION("GoogleTranslate(C236, ""en"", ""hr"")"),"Intenzitet oborina")</f>
        <v>Intenzitet oborina</v>
      </c>
      <c r="R236" s="7" t="str">
        <f>IFERROR(__xludf.DUMMYFUNCTION("GoogleTranslate(C236, ""en"", ""cs"")"),"Intenzita srážek")</f>
        <v>Intenzita srážek</v>
      </c>
      <c r="S236" s="7" t="str">
        <f>IFERROR(__xludf.DUMMYFUNCTION("GoogleTranslate(C236, ""en"", ""da"")"),"Nedbrydningsintensitet")</f>
        <v>Nedbrydningsintensitet</v>
      </c>
      <c r="T236" s="7" t="str">
        <f>IFERROR(__xludf.DUMMYFUNCTION("GoogleTranslate(C236, ""en"", ""nl"")"),"Neerslagintensiteit")</f>
        <v>Neerslagintensiteit</v>
      </c>
      <c r="U236" s="7" t="str">
        <f>IFERROR(__xludf.DUMMYFUNCTION("GoogleTranslate(C236, ""en"", ""et"")"),"Sademete intensiivsus")</f>
        <v>Sademete intensiivsus</v>
      </c>
      <c r="V236" s="5" t="str">
        <f t="shared" si="3"/>
        <v>Precip Intensity</v>
      </c>
      <c r="W236" s="7" t="str">
        <f>IFERROR(__xludf.DUMMYFUNCTION("GoogleTranslate(C236, ""en"", ""fi"")"),"Sateen voimakkuus")</f>
        <v>Sateen voimakkuus</v>
      </c>
      <c r="X236" s="7" t="str">
        <f>IFERROR(__xludf.DUMMYFUNCTION("GoogleTranslate(C236, ""en"", ""fr"")"),"Intensité des précipitations")</f>
        <v>Intensité des précipitations</v>
      </c>
      <c r="Y236" s="7" t="str">
        <f>IFERROR(__xludf.DUMMYFUNCTION("GoogleTranslate(C236, ""en"", ""de"")"),"Niederschlagsintensität")</f>
        <v>Niederschlagsintensität</v>
      </c>
      <c r="Z236" s="7" t="str">
        <f>IFERROR(__xludf.DUMMYFUNCTION("GoogleTranslate(C236, ""en"", ""el"")"),"Ένταση βροχόπτωσης")</f>
        <v>Ένταση βροχόπτωσης</v>
      </c>
      <c r="AA236" s="7" t="str">
        <f>IFERROR(__xludf.DUMMYFUNCTION("GoogleTranslate(C236, ""en"", ""iw"")"),"עוצמת משקעים")</f>
        <v>עוצמת משקעים</v>
      </c>
      <c r="AB236" s="7" t="str">
        <f>IFERROR(__xludf.DUMMYFUNCTION("GoogleTranslate(C236, ""en"", ""hi"")"),"वर्षा की तीव्रता")</f>
        <v>वर्षा की तीव्रता</v>
      </c>
      <c r="AC236" s="7" t="str">
        <f>IFERROR(__xludf.DUMMYFUNCTION("GoogleTranslate(C236, ""en"", ""hu"")"),"Csapadék intenzitása")</f>
        <v>Csapadék intenzitása</v>
      </c>
      <c r="AD236" s="7" t="str">
        <f>IFERROR(__xludf.DUMMYFUNCTION("GoogleTranslate(C236, ""en"", ""is"")"),"Úrkomustyrkur")</f>
        <v>Úrkomustyrkur</v>
      </c>
      <c r="AE236" s="7" t="str">
        <f>IFERROR(__xludf.DUMMYFUNCTION("GoogleTranslate(C236, ""en"", ""id"")"),"Intensitas Presipitasi")</f>
        <v>Intensitas Presipitasi</v>
      </c>
      <c r="AF236" s="7" t="str">
        <f>IFERROR(__xludf.DUMMYFUNCTION("GoogleTranslate(C236, ""en"", ""in"")"),"Intensitas Presipitasi")</f>
        <v>Intensitas Presipitasi</v>
      </c>
      <c r="AG236" s="7" t="str">
        <f>IFERROR(__xludf.DUMMYFUNCTION("GoogleTranslate(C236, ""en"", ""it"")"),"Intensità della precipitazione")</f>
        <v>Intensità della precipitazione</v>
      </c>
      <c r="AH236" s="7" t="str">
        <f>IFERROR(__xludf.DUMMYFUNCTION("GoogleTranslate(C236, ""en"", ""ja"")"),"降水強度")</f>
        <v>降水強度</v>
      </c>
      <c r="AI236" s="7" t="str">
        <f>IFERROR(__xludf.DUMMYFUNCTION("GoogleTranslate(C236, ""en"", ""kn"")"),"ಮಳೆಯ ತೀವ್ರತೆ")</f>
        <v>ಮಳೆಯ ತೀವ್ರತೆ</v>
      </c>
      <c r="AJ236" s="7" t="str">
        <f>IFERROR(__xludf.DUMMYFUNCTION("GoogleTranslate(C236, ""en"", ""km"")"),"អាំងតង់ស៊ីតេទឹកភ្លៀង")</f>
        <v>អាំងតង់ស៊ីតេទឹកភ្លៀង</v>
      </c>
      <c r="AK236" s="7" t="str">
        <f>IFERROR(__xludf.DUMMYFUNCTION("GoogleTranslate(C236, ""en"", ""ko"")"),"강수량 강도")</f>
        <v>강수량 강도</v>
      </c>
      <c r="AL236" s="7" t="str">
        <f>IFERROR(__xludf.DUMMYFUNCTION("GoogleTranslate(C236, ""en"", ""lo"")"),"ຄວາມເຂັ້ມຂຸ້ນຂອງ Precip")</f>
        <v>ຄວາມເຂັ້ມຂຸ້ນຂອງ Precip</v>
      </c>
      <c r="AM236" s="7" t="str">
        <f>IFERROR(__xludf.DUMMYFUNCTION("GoogleTranslate(C236, ""en"", ""lv"")"),"Nokrišņu intensitāte")</f>
        <v>Nokrišņu intensitāte</v>
      </c>
      <c r="AN236" s="7" t="str">
        <f>IFERROR(__xludf.DUMMYFUNCTION("GoogleTranslate(C236, ""en"", ""lt"")"),"Kritulių intensyvumas")</f>
        <v>Kritulių intensyvumas</v>
      </c>
      <c r="AO236" s="7" t="str">
        <f>IFERROR(__xludf.DUMMYFUNCTION("GoogleTranslate(C236, ""en"", ""mk"")"),"Интензитетот на врнежите")</f>
        <v>Интензитетот на врнежите</v>
      </c>
      <c r="AP236" s="7" t="str">
        <f>IFERROR(__xludf.DUMMYFUNCTION("GoogleTranslate(C236, ""en"", ""ms"")"),"Intensiti Hujan")</f>
        <v>Intensiti Hujan</v>
      </c>
      <c r="AQ236" s="7" t="str">
        <f>IFERROR(__xludf.DUMMYFUNCTION("GoogleTranslate(C236, ""en"", ""ml"")"),"മഴയുടെ തീവ്രത")</f>
        <v>മഴയുടെ തീവ്രത</v>
      </c>
      <c r="AR236" s="7" t="str">
        <f>IFERROR(__xludf.DUMMYFUNCTION("GoogleTranslate(C236, ""en"", ""mr"")"),"पर्जन्य तीव्रता")</f>
        <v>पर्जन्य तीव्रता</v>
      </c>
      <c r="AS236" s="7" t="str">
        <f>IFERROR(__xludf.DUMMYFUNCTION("GoogleTranslate(C236, ""en"", ""mn"")"),"Хур тунадасны эрчим")</f>
        <v>Хур тунадасны эрчим</v>
      </c>
      <c r="AT236" s="7" t="str">
        <f>IFERROR(__xludf.DUMMYFUNCTION("GoogleTranslate(C236, ""en"", ""ne"")"),"वर्षा तीव्रता")</f>
        <v>वर्षा तीव्रता</v>
      </c>
      <c r="AU236" s="7" t="str">
        <f>IFERROR(__xludf.DUMMYFUNCTION("GoogleTranslate(C236, ""en"", ""nb"")"),"Nedbørsintensitet")</f>
        <v>Nedbørsintensitet</v>
      </c>
      <c r="AV236" s="7" t="str">
        <f>IFERROR(__xludf.DUMMYFUNCTION("GoogleTranslate(C236, ""en"", ""fa"")"),"شدت بارش")</f>
        <v>شدت بارش</v>
      </c>
      <c r="AW236" s="7" t="str">
        <f>IFERROR(__xludf.DUMMYFUNCTION("GoogleTranslate(C236, ""en"", ""pl"")"),"Intensywność opadów")</f>
        <v>Intensywność opadów</v>
      </c>
      <c r="AX236" s="7" t="str">
        <f>IFERROR(__xludf.DUMMYFUNCTION("GoogleTranslate(C236, ""en"", ""pt"")"),"Intensidade de precipitação")</f>
        <v>Intensidade de precipitação</v>
      </c>
      <c r="AY236" s="7" t="str">
        <f>IFERROR(__xludf.DUMMYFUNCTION("GoogleTranslate(C236, ""en"", ""ro"")"),"Intensitatea precipitațiilor")</f>
        <v>Intensitatea precipitațiilor</v>
      </c>
      <c r="AZ236" s="7" t="str">
        <f>IFERROR(__xludf.DUMMYFUNCTION("GoogleTranslate(C236, ""en"", ""ru"")"),"Интенсивность осадков")</f>
        <v>Интенсивность осадков</v>
      </c>
      <c r="BA236" s="7" t="str">
        <f>IFERROR(__xludf.DUMMYFUNCTION("GoogleTranslate(C236, ""en"", ""sr"")"),"Интензитет падавина")</f>
        <v>Интензитет падавина</v>
      </c>
      <c r="BB236" s="7" t="str">
        <f>IFERROR(__xludf.DUMMYFUNCTION("GoogleTranslate(C236, ""en"", ""si"")"),"වර්ෂාපතන තීව්රතාව")</f>
        <v>වර්ෂාපතන තීව්රතාව</v>
      </c>
      <c r="BC236" s="7" t="str">
        <f>IFERROR(__xludf.DUMMYFUNCTION("GoogleTranslate(C236, ""en"", ""sk"")"),"Intenzita zrážok")</f>
        <v>Intenzita zrážok</v>
      </c>
      <c r="BD236" s="7" t="str">
        <f>IFERROR(__xludf.DUMMYFUNCTION("GoogleTranslate(C236, ""en"", ""sl"")"),"Intenzivnost padavin")</f>
        <v>Intenzivnost padavin</v>
      </c>
      <c r="BE236" s="7" t="str">
        <f>IFERROR(__xludf.DUMMYFUNCTION("GoogleTranslate(C236, ""en"", ""es"")"),"Intensidad de la precipitación")</f>
        <v>Intensidad de la precipitación</v>
      </c>
      <c r="BF236" s="7" t="str">
        <f>IFERROR(__xludf.DUMMYFUNCTION("GoogleTranslate(C236, ""en"", ""sw"")"),"Kiwango cha Mvua")</f>
        <v>Kiwango cha Mvua</v>
      </c>
      <c r="BG236" s="7" t="str">
        <f>IFERROR(__xludf.DUMMYFUNCTION("GoogleTranslate(C236, ""en"", ""sv"")"),"Nederbördsintensitet")</f>
        <v>Nederbördsintensitet</v>
      </c>
      <c r="BH236" s="7" t="str">
        <f>IFERROR(__xludf.DUMMYFUNCTION("GoogleTranslate(C236, ""en"", ""te"")"),"అవపాతం తీవ్రత")</f>
        <v>అవపాతం తీవ్రత</v>
      </c>
      <c r="BI236" s="7" t="str">
        <f>IFERROR(__xludf.DUMMYFUNCTION("GoogleTranslate(C236, ""en"", ""th"")"),"ความเข้มของฝน")</f>
        <v>ความเข้มของฝน</v>
      </c>
      <c r="BJ236" s="7" t="str">
        <f>IFERROR(__xludf.DUMMYFUNCTION("GoogleTranslate(C236, ""en"", ""tr"")"),"Yağış Yoğunluğu")</f>
        <v>Yağış Yoğunluğu</v>
      </c>
      <c r="BK236" s="7" t="str">
        <f>IFERROR(__xludf.DUMMYFUNCTION("GoogleTranslate(C236, ""en"", ""uk"")"),"Інтенсивність опадів")</f>
        <v>Інтенсивність опадів</v>
      </c>
      <c r="BL236" s="7" t="str">
        <f>IFERROR(__xludf.DUMMYFUNCTION("GoogleTranslate(C236, ""en"", ""zu"")"),"I-Precip Intensity")</f>
        <v>I-Precip Intensity</v>
      </c>
    </row>
    <row r="237">
      <c r="A237" s="5" t="str">
        <f t="shared" si="1"/>
        <v>Precip_Probability</v>
      </c>
      <c r="B237" s="4" t="s">
        <v>279</v>
      </c>
      <c r="C237" s="4" t="s">
        <v>279</v>
      </c>
      <c r="D237" s="7" t="str">
        <f>IFERROR(__xludf.DUMMYFUNCTION("GoogleTranslate(C237, ""en"", ""es"")"),"Probabilidad de precipitación")</f>
        <v>Probabilidad de precipitación</v>
      </c>
      <c r="E237" s="7" t="str">
        <f>IFERROR(__xludf.DUMMYFUNCTION("GoogleTranslate(C237, ""en"", ""ar"")"),"احتمالية الهطول")</f>
        <v>احتمالية الهطول</v>
      </c>
      <c r="F237" s="7" t="str">
        <f>IFERROR(__xludf.DUMMYFUNCTION("GoogleTranslate(C237, ""en"", ""hy"")"),"Անձրևի հավանականություն")</f>
        <v>Անձրևի հավանականություն</v>
      </c>
      <c r="G237" s="7" t="str">
        <f>IFERROR(__xludf.DUMMYFUNCTION("GoogleTranslate(C237, ""en"", ""vi"")"),"Xác suất mưa")</f>
        <v>Xác suất mưa</v>
      </c>
      <c r="H237" s="7" t="str">
        <f>IFERROR(__xludf.DUMMYFUNCTION("GoogleTranslate(C237, ""en"", ""az"")"),"Yağış ehtimalı")</f>
        <v>Yağış ehtimalı</v>
      </c>
      <c r="I237" s="7" t="str">
        <f>IFERROR(__xludf.DUMMYFUNCTION("GoogleTranslate(C237, ""en"", ""eu"")"),"Prezipitazioaren probabilitatea")</f>
        <v>Prezipitazioaren probabilitatea</v>
      </c>
      <c r="J237" s="7" t="str">
        <f>IFERROR(__xludf.DUMMYFUNCTION("GoogleTranslate(C237, ""en"", ""be"")"),"Верагоднасць ападкаў")</f>
        <v>Верагоднасць ападкаў</v>
      </c>
      <c r="K237" s="7" t="str">
        <f>IFERROR(__xludf.DUMMYFUNCTION("GoogleTranslate(C237, ""en"", ""bn"")"),"বৃষ্টিপাতের সম্ভাবনা")</f>
        <v>বৃষ্টিপাতের সম্ভাবনা</v>
      </c>
      <c r="L237" s="7" t="str">
        <f>IFERROR(__xludf.DUMMYFUNCTION("GoogleTranslate(C237, ""en"", ""bg"")"),"Вероятност за валеж")</f>
        <v>Вероятност за валеж</v>
      </c>
      <c r="M237" s="7" t="str">
        <f>IFERROR(__xludf.DUMMYFUNCTION("GoogleTranslate(C237, ""en"", ""my"")"),"မိုးရွာနိုင်ခြေ")</f>
        <v>မိုးရွာနိုင်ခြေ</v>
      </c>
      <c r="N237" s="7" t="str">
        <f>IFERROR(__xludf.DUMMYFUNCTION("GoogleTranslate(C237, ""en"", ""ca"")"),"Probabilitat de precipitació")</f>
        <v>Probabilitat de precipitació</v>
      </c>
      <c r="O237" s="7" t="str">
        <f>IFERROR(__xludf.DUMMYFUNCTION("GoogleTranslate(C237, ""en"", ""zh-cn"")"),"降水概率")</f>
        <v>降水概率</v>
      </c>
      <c r="P237" s="7" t="str">
        <f>IFERROR(__xludf.DUMMYFUNCTION("GoogleTranslate(C237, ""en"", ""zh-TW"")"),"降水機率")</f>
        <v>降水機率</v>
      </c>
      <c r="Q237" s="7" t="str">
        <f>IFERROR(__xludf.DUMMYFUNCTION("GoogleTranslate(C237, ""en"", ""hr"")"),"Vjerojatnost padavina")</f>
        <v>Vjerojatnost padavina</v>
      </c>
      <c r="R237" s="7" t="str">
        <f>IFERROR(__xludf.DUMMYFUNCTION("GoogleTranslate(C237, ""en"", ""cs"")"),"Pravděpodobnost srážek")</f>
        <v>Pravděpodobnost srážek</v>
      </c>
      <c r="S237" s="7" t="str">
        <f>IFERROR(__xludf.DUMMYFUNCTION("GoogleTranslate(C237, ""en"", ""da"")"),"Sandsynlighed for nedbør")</f>
        <v>Sandsynlighed for nedbør</v>
      </c>
      <c r="T237" s="7" t="str">
        <f>IFERROR(__xludf.DUMMYFUNCTION("GoogleTranslate(C237, ""en"", ""nl"")"),"Neerslagwaarschijnlijkheid")</f>
        <v>Neerslagwaarschijnlijkheid</v>
      </c>
      <c r="U237" s="7" t="str">
        <f>IFERROR(__xludf.DUMMYFUNCTION("GoogleTranslate(C237, ""en"", ""et"")"),"Sademete tõenäosus")</f>
        <v>Sademete tõenäosus</v>
      </c>
      <c r="V237" s="5" t="str">
        <f t="shared" si="3"/>
        <v>Precip Probability</v>
      </c>
      <c r="W237" s="7" t="str">
        <f>IFERROR(__xludf.DUMMYFUNCTION("GoogleTranslate(C237, ""en"", ""fi"")"),"Sateen todennäköisyys")</f>
        <v>Sateen todennäköisyys</v>
      </c>
      <c r="X237" s="7" t="str">
        <f>IFERROR(__xludf.DUMMYFUNCTION("GoogleTranslate(C237, ""en"", ""fr"")"),"Probabilité de précipitation")</f>
        <v>Probabilité de précipitation</v>
      </c>
      <c r="Y237" s="7" t="str">
        <f>IFERROR(__xludf.DUMMYFUNCTION("GoogleTranslate(C237, ""en"", ""de"")"),"Niederschlagswahrscheinlichkeit")</f>
        <v>Niederschlagswahrscheinlichkeit</v>
      </c>
      <c r="Z237" s="7" t="str">
        <f>IFERROR(__xludf.DUMMYFUNCTION("GoogleTranslate(C237, ""en"", ""el"")"),"Πιθανότητα βροχόπτωσης")</f>
        <v>Πιθανότητα βροχόπτωσης</v>
      </c>
      <c r="AA237" s="7" t="str">
        <f>IFERROR(__xludf.DUMMYFUNCTION("GoogleTranslate(C237, ""en"", ""iw"")"),"הסתברות משקעים")</f>
        <v>הסתברות משקעים</v>
      </c>
      <c r="AB237" s="7" t="str">
        <f>IFERROR(__xludf.DUMMYFUNCTION("GoogleTranslate(C237, ""en"", ""hi"")"),"वर्षा की संभावना")</f>
        <v>वर्षा की संभावना</v>
      </c>
      <c r="AC237" s="7" t="str">
        <f>IFERROR(__xludf.DUMMYFUNCTION("GoogleTranslate(C237, ""en"", ""hu"")"),"Csapadék valószínűsége")</f>
        <v>Csapadék valószínűsége</v>
      </c>
      <c r="AD237" s="7" t="str">
        <f>IFERROR(__xludf.DUMMYFUNCTION("GoogleTranslate(C237, ""en"", ""is"")"),"Líkur á úrkomu")</f>
        <v>Líkur á úrkomu</v>
      </c>
      <c r="AE237" s="7" t="str">
        <f>IFERROR(__xludf.DUMMYFUNCTION("GoogleTranslate(C237, ""en"", ""id"")"),"Probabilitas Tetesan")</f>
        <v>Probabilitas Tetesan</v>
      </c>
      <c r="AF237" s="7" t="str">
        <f>IFERROR(__xludf.DUMMYFUNCTION("GoogleTranslate(C237, ""en"", ""in"")"),"Probabilitas Tetesan")</f>
        <v>Probabilitas Tetesan</v>
      </c>
      <c r="AG237" s="7" t="str">
        <f>IFERROR(__xludf.DUMMYFUNCTION("GoogleTranslate(C237, ""en"", ""it"")"),"Probabilità di precipitazione")</f>
        <v>Probabilità di precipitazione</v>
      </c>
      <c r="AH237" s="7" t="str">
        <f>IFERROR(__xludf.DUMMYFUNCTION("GoogleTranslate(C237, ""en"", ""ja"")"),"降水確率")</f>
        <v>降水確率</v>
      </c>
      <c r="AI237" s="7" t="str">
        <f>IFERROR(__xludf.DUMMYFUNCTION("GoogleTranslate(C237, ""en"", ""kn"")"),"ಅವಕ್ಷೇಪನ ಸಂಭವನೀಯತೆ")</f>
        <v>ಅವಕ್ಷೇಪನ ಸಂಭವನೀಯತೆ</v>
      </c>
      <c r="AJ237" s="7" t="str">
        <f>IFERROR(__xludf.DUMMYFUNCTION("GoogleTranslate(C237, ""en"", ""km"")"),"ប្រូបាប៊ីលីតេនៃទឹកភ្លៀង")</f>
        <v>ប្រូបាប៊ីលីតេនៃទឹកភ្លៀង</v>
      </c>
      <c r="AK237" s="7" t="str">
        <f>IFERROR(__xludf.DUMMYFUNCTION("GoogleTranslate(C237, ""en"", ""ko"")"),"강수확률")</f>
        <v>강수확률</v>
      </c>
      <c r="AL237" s="7" t="str">
        <f>IFERROR(__xludf.DUMMYFUNCTION("GoogleTranslate(C237, ""en"", ""lo"")"),"ຄວາມເປັນໄປໄດ້ຂອງ Precip")</f>
        <v>ຄວາມເປັນໄປໄດ້ຂອງ Precip</v>
      </c>
      <c r="AM237" s="7" t="str">
        <f>IFERROR(__xludf.DUMMYFUNCTION("GoogleTranslate(C237, ""en"", ""lv"")"),"Nokrišņu varbūtība")</f>
        <v>Nokrišņu varbūtība</v>
      </c>
      <c r="AN237" s="7" t="str">
        <f>IFERROR(__xludf.DUMMYFUNCTION("GoogleTranslate(C237, ""en"", ""lt"")"),"Kritulių tikimybė")</f>
        <v>Kritulių tikimybė</v>
      </c>
      <c r="AO237" s="7" t="str">
        <f>IFERROR(__xludf.DUMMYFUNCTION("GoogleTranslate(C237, ""en"", ""mk"")"),"Веројатност за врнежи")</f>
        <v>Веројатност за врнежи</v>
      </c>
      <c r="AP237" s="7" t="str">
        <f>IFERROR(__xludf.DUMMYFUNCTION("GoogleTranslate(C237, ""en"", ""ms"")"),"Kebarangkalian Presip")</f>
        <v>Kebarangkalian Presip</v>
      </c>
      <c r="AQ237" s="7" t="str">
        <f>IFERROR(__xludf.DUMMYFUNCTION("GoogleTranslate(C237, ""en"", ""ml"")"),"മഴ പെയ്യാനുള്ള സാധ്യത")</f>
        <v>മഴ പെയ്യാനുള്ള സാധ്യത</v>
      </c>
      <c r="AR237" s="7" t="str">
        <f>IFERROR(__xludf.DUMMYFUNCTION("GoogleTranslate(C237, ""en"", ""mr"")"),"वर्षाव संभाव्यता")</f>
        <v>वर्षाव संभाव्यता</v>
      </c>
      <c r="AS237" s="7" t="str">
        <f>IFERROR(__xludf.DUMMYFUNCTION("GoogleTranslate(C237, ""en"", ""mn"")"),"Хур тунадас орох магадлал")</f>
        <v>Хур тунадас орох магадлал</v>
      </c>
      <c r="AT237" s="7" t="str">
        <f>IFERROR(__xludf.DUMMYFUNCTION("GoogleTranslate(C237, ""en"", ""ne"")"),"Precip सम्भाव्यता")</f>
        <v>Precip सम्भाव्यता</v>
      </c>
      <c r="AU237" s="7" t="str">
        <f>IFERROR(__xludf.DUMMYFUNCTION("GoogleTranslate(C237, ""en"", ""nb"")"),"Sannsynlighet for nedbør")</f>
        <v>Sannsynlighet for nedbør</v>
      </c>
      <c r="AV237" s="7" t="str">
        <f>IFERROR(__xludf.DUMMYFUNCTION("GoogleTranslate(C237, ""en"", ""fa"")"),"احتمال بارش")</f>
        <v>احتمال بارش</v>
      </c>
      <c r="AW237" s="7" t="str">
        <f>IFERROR(__xludf.DUMMYFUNCTION("GoogleTranslate(C237, ""en"", ""pl"")"),"Prawdopodobieństwo opadów")</f>
        <v>Prawdopodobieństwo opadów</v>
      </c>
      <c r="AX237" s="7" t="str">
        <f>IFERROR(__xludf.DUMMYFUNCTION("GoogleTranslate(C237, ""en"", ""pt"")"),"Probabilidade de precipitação")</f>
        <v>Probabilidade de precipitação</v>
      </c>
      <c r="AY237" s="7" t="str">
        <f>IFERROR(__xludf.DUMMYFUNCTION("GoogleTranslate(C237, ""en"", ""ro"")"),"Probabilitatea precipitațiilor")</f>
        <v>Probabilitatea precipitațiilor</v>
      </c>
      <c r="AZ237" s="7" t="str">
        <f>IFERROR(__xludf.DUMMYFUNCTION("GoogleTranslate(C237, ""en"", ""ru"")"),"Вероятность осадков")</f>
        <v>Вероятность осадков</v>
      </c>
      <c r="BA237" s="7" t="str">
        <f>IFERROR(__xludf.DUMMYFUNCTION("GoogleTranslate(C237, ""en"", ""sr"")"),"Вероватноћа падавина")</f>
        <v>Вероватноћа падавина</v>
      </c>
      <c r="BB237" s="7" t="str">
        <f>IFERROR(__xludf.DUMMYFUNCTION("GoogleTranslate(C237, ""en"", ""si"")"),"වර්ෂාපතන සම්භාවිතාව")</f>
        <v>වර්ෂාපතන සම්භාවිතාව</v>
      </c>
      <c r="BC237" s="7" t="str">
        <f>IFERROR(__xludf.DUMMYFUNCTION("GoogleTranslate(C237, ""en"", ""sk"")"),"Pravdepodobnosť zrážok")</f>
        <v>Pravdepodobnosť zrážok</v>
      </c>
      <c r="BD237" s="7" t="str">
        <f>IFERROR(__xludf.DUMMYFUNCTION("GoogleTranslate(C237, ""en"", ""sl"")"),"Verjetnost padavin")</f>
        <v>Verjetnost padavin</v>
      </c>
      <c r="BE237" s="7" t="str">
        <f>IFERROR(__xludf.DUMMYFUNCTION("GoogleTranslate(C237, ""en"", ""es"")"),"Probabilidad de precipitación")</f>
        <v>Probabilidad de precipitación</v>
      </c>
      <c r="BF237" s="7" t="str">
        <f>IFERROR(__xludf.DUMMYFUNCTION("GoogleTranslate(C237, ""en"", ""sw"")"),"Uwezekano wa Kunyesha")</f>
        <v>Uwezekano wa Kunyesha</v>
      </c>
      <c r="BG237" s="7" t="str">
        <f>IFERROR(__xludf.DUMMYFUNCTION("GoogleTranslate(C237, ""en"", ""sv"")"),"Sannolikhet för nederbörd")</f>
        <v>Sannolikhet för nederbörd</v>
      </c>
      <c r="BH237" s="7" t="str">
        <f>IFERROR(__xludf.DUMMYFUNCTION("GoogleTranslate(C237, ""en"", ""te"")"),"అవపాతం సంభావ్యత")</f>
        <v>అవపాతం సంభావ్యత</v>
      </c>
      <c r="BI237" s="7" t="str">
        <f>IFERROR(__xludf.DUMMYFUNCTION("GoogleTranslate(C237, ""en"", ""th"")"),"ความน่าจะเป็นของปริมาณน้ำฝน")</f>
        <v>ความน่าจะเป็นของปริมาณน้ำฝน</v>
      </c>
      <c r="BJ237" s="7" t="str">
        <f>IFERROR(__xludf.DUMMYFUNCTION("GoogleTranslate(C237, ""en"", ""tr"")"),"Yağış Olasılığı")</f>
        <v>Yağış Olasılığı</v>
      </c>
      <c r="BK237" s="7" t="str">
        <f>IFERROR(__xludf.DUMMYFUNCTION("GoogleTranslate(C237, ""en"", ""uk"")"),"Імовірність опадів")</f>
        <v>Імовірність опадів</v>
      </c>
      <c r="BL237" s="7" t="str">
        <f>IFERROR(__xludf.DUMMYFUNCTION("GoogleTranslate(C237, ""en"", ""zu"")"),"I-Precip Probability")</f>
        <v>I-Precip Probability</v>
      </c>
    </row>
    <row r="238">
      <c r="A238" s="5" t="str">
        <f t="shared" si="1"/>
        <v>Today</v>
      </c>
      <c r="B238" s="4" t="s">
        <v>280</v>
      </c>
      <c r="C238" s="4" t="s">
        <v>280</v>
      </c>
      <c r="D238" s="7" t="str">
        <f>IFERROR(__xludf.DUMMYFUNCTION("GoogleTranslate(C238, ""en"", ""es"")"),"Hoy")</f>
        <v>Hoy</v>
      </c>
      <c r="E238" s="7" t="str">
        <f>IFERROR(__xludf.DUMMYFUNCTION("GoogleTranslate(C238, ""en"", ""ar"")"),"اليوم")</f>
        <v>اليوم</v>
      </c>
      <c r="F238" s="7" t="str">
        <f>IFERROR(__xludf.DUMMYFUNCTION("GoogleTranslate(C238, ""en"", ""hy"")"),"Այսօր")</f>
        <v>Այսօր</v>
      </c>
      <c r="G238" s="7" t="str">
        <f>IFERROR(__xludf.DUMMYFUNCTION("GoogleTranslate(C238, ""en"", ""vi"")"),"Hôm nay")</f>
        <v>Hôm nay</v>
      </c>
      <c r="H238" s="7" t="str">
        <f>IFERROR(__xludf.DUMMYFUNCTION("GoogleTranslate(C238, ""en"", ""az"")"),"Bu gün")</f>
        <v>Bu gün</v>
      </c>
      <c r="I238" s="7" t="str">
        <f>IFERROR(__xludf.DUMMYFUNCTION("GoogleTranslate(C238, ""en"", ""eu"")"),"Gaur")</f>
        <v>Gaur</v>
      </c>
      <c r="J238" s="7" t="str">
        <f>IFERROR(__xludf.DUMMYFUNCTION("GoogleTranslate(C238, ""en"", ""be"")"),"сёння")</f>
        <v>сёння</v>
      </c>
      <c r="K238" s="7" t="str">
        <f>IFERROR(__xludf.DUMMYFUNCTION("GoogleTranslate(C238, ""en"", ""bn"")"),"আজ")</f>
        <v>আজ</v>
      </c>
      <c r="L238" s="7" t="str">
        <f>IFERROR(__xludf.DUMMYFUNCTION("GoogleTranslate(C238, ""en"", ""bg"")"),"Днес")</f>
        <v>Днес</v>
      </c>
      <c r="M238" s="7" t="str">
        <f>IFERROR(__xludf.DUMMYFUNCTION("GoogleTranslate(C238, ""en"", ""my"")"),"ဒီနေ့")</f>
        <v>ဒီနေ့</v>
      </c>
      <c r="N238" s="7" t="str">
        <f>IFERROR(__xludf.DUMMYFUNCTION("GoogleTranslate(C238, ""en"", ""ca"")"),"Avui")</f>
        <v>Avui</v>
      </c>
      <c r="O238" s="7" t="str">
        <f>IFERROR(__xludf.DUMMYFUNCTION("GoogleTranslate(C238, ""en"", ""zh-cn"")"),"今天")</f>
        <v>今天</v>
      </c>
      <c r="P238" s="7" t="str">
        <f>IFERROR(__xludf.DUMMYFUNCTION("GoogleTranslate(C238, ""en"", ""zh-TW"")"),"今天")</f>
        <v>今天</v>
      </c>
      <c r="Q238" s="7" t="str">
        <f>IFERROR(__xludf.DUMMYFUNCTION("GoogleTranslate(C238, ""en"", ""hr"")"),"Danas")</f>
        <v>Danas</v>
      </c>
      <c r="R238" s="7" t="str">
        <f>IFERROR(__xludf.DUMMYFUNCTION("GoogleTranslate(C238, ""en"", ""cs"")"),"Dnes")</f>
        <v>Dnes</v>
      </c>
      <c r="S238" s="7" t="str">
        <f>IFERROR(__xludf.DUMMYFUNCTION("GoogleTranslate(C238, ""en"", ""da"")"),"I dag")</f>
        <v>I dag</v>
      </c>
      <c r="T238" s="7" t="str">
        <f>IFERROR(__xludf.DUMMYFUNCTION("GoogleTranslate(C238, ""en"", ""nl"")"),"Vandaag")</f>
        <v>Vandaag</v>
      </c>
      <c r="U238" s="7" t="str">
        <f>IFERROR(__xludf.DUMMYFUNCTION("GoogleTranslate(C238, ""en"", ""et"")"),"Täna")</f>
        <v>Täna</v>
      </c>
      <c r="V238" s="5" t="str">
        <f t="shared" si="3"/>
        <v>Today</v>
      </c>
      <c r="W238" s="7" t="str">
        <f>IFERROR(__xludf.DUMMYFUNCTION("GoogleTranslate(C238, ""en"", ""fi"")"),"Tänään")</f>
        <v>Tänään</v>
      </c>
      <c r="X238" s="7" t="str">
        <f>IFERROR(__xludf.DUMMYFUNCTION("GoogleTranslate(C238, ""en"", ""fr"")"),"Aujourd'hui")</f>
        <v>Aujourd'hui</v>
      </c>
      <c r="Y238" s="7" t="str">
        <f>IFERROR(__xludf.DUMMYFUNCTION("GoogleTranslate(C238, ""en"", ""de"")"),"Heute")</f>
        <v>Heute</v>
      </c>
      <c r="Z238" s="7" t="str">
        <f>IFERROR(__xludf.DUMMYFUNCTION("GoogleTranslate(C238, ""en"", ""el"")"),"Σήμερα")</f>
        <v>Σήμερα</v>
      </c>
      <c r="AA238" s="7" t="str">
        <f>IFERROR(__xludf.DUMMYFUNCTION("GoogleTranslate(C238, ""en"", ""iw"")"),"הַיוֹם")</f>
        <v>הַיוֹם</v>
      </c>
      <c r="AB238" s="7" t="str">
        <f>IFERROR(__xludf.DUMMYFUNCTION("GoogleTranslate(C238, ""en"", ""hi"")"),"आज")</f>
        <v>आज</v>
      </c>
      <c r="AC238" s="7" t="str">
        <f>IFERROR(__xludf.DUMMYFUNCTION("GoogleTranslate(C238, ""en"", ""hu"")"),"Ma")</f>
        <v>Ma</v>
      </c>
      <c r="AD238" s="7" t="str">
        <f>IFERROR(__xludf.DUMMYFUNCTION("GoogleTranslate(C238, ""en"", ""is"")"),"Í dag")</f>
        <v>Í dag</v>
      </c>
      <c r="AE238" s="7" t="str">
        <f>IFERROR(__xludf.DUMMYFUNCTION("GoogleTranslate(C238, ""en"", ""id"")"),"Hari ini")</f>
        <v>Hari ini</v>
      </c>
      <c r="AF238" s="7" t="str">
        <f>IFERROR(__xludf.DUMMYFUNCTION("GoogleTranslate(C238, ""en"", ""in"")"),"Hari ini")</f>
        <v>Hari ini</v>
      </c>
      <c r="AG238" s="7" t="str">
        <f>IFERROR(__xludf.DUMMYFUNCTION("GoogleTranslate(C238, ""en"", ""it"")"),"Oggi")</f>
        <v>Oggi</v>
      </c>
      <c r="AH238" s="7" t="str">
        <f>IFERROR(__xludf.DUMMYFUNCTION("GoogleTranslate(C238, ""en"", ""ja"")"),"今日")</f>
        <v>今日</v>
      </c>
      <c r="AI238" s="7" t="str">
        <f>IFERROR(__xludf.DUMMYFUNCTION("GoogleTranslate(C238, ""en"", ""kn"")"),"ಇಂದು")</f>
        <v>ಇಂದು</v>
      </c>
      <c r="AJ238" s="7" t="str">
        <f>IFERROR(__xludf.DUMMYFUNCTION("GoogleTranslate(C238, ""en"", ""km"")"),"ថ្ងៃនេះ")</f>
        <v>ថ្ងៃនេះ</v>
      </c>
      <c r="AK238" s="7" t="str">
        <f>IFERROR(__xludf.DUMMYFUNCTION("GoogleTranslate(C238, ""en"", ""ko"")"),"오늘")</f>
        <v>오늘</v>
      </c>
      <c r="AL238" s="7" t="str">
        <f>IFERROR(__xludf.DUMMYFUNCTION("GoogleTranslate(C238, ""en"", ""lo"")"),"ມື້ນີ້")</f>
        <v>ມື້ນີ້</v>
      </c>
      <c r="AM238" s="7" t="str">
        <f>IFERROR(__xludf.DUMMYFUNCTION("GoogleTranslate(C238, ""en"", ""lv"")"),"Šodien")</f>
        <v>Šodien</v>
      </c>
      <c r="AN238" s="7" t="str">
        <f>IFERROR(__xludf.DUMMYFUNCTION("GoogleTranslate(C238, ""en"", ""lt"")"),"Šiandien")</f>
        <v>Šiandien</v>
      </c>
      <c r="AO238" s="7" t="str">
        <f>IFERROR(__xludf.DUMMYFUNCTION("GoogleTranslate(C238, ""en"", ""mk"")"),"Денес")</f>
        <v>Денес</v>
      </c>
      <c r="AP238" s="7" t="str">
        <f>IFERROR(__xludf.DUMMYFUNCTION("GoogleTranslate(C238, ""en"", ""ms"")"),"Hari ini")</f>
        <v>Hari ini</v>
      </c>
      <c r="AQ238" s="7" t="str">
        <f>IFERROR(__xludf.DUMMYFUNCTION("GoogleTranslate(C238, ""en"", ""ml"")"),"ഇന്ന്")</f>
        <v>ഇന്ന്</v>
      </c>
      <c r="AR238" s="7" t="str">
        <f>IFERROR(__xludf.DUMMYFUNCTION("GoogleTranslate(C238, ""en"", ""mr"")"),"आज")</f>
        <v>आज</v>
      </c>
      <c r="AS238" s="7" t="str">
        <f>IFERROR(__xludf.DUMMYFUNCTION("GoogleTranslate(C238, ""en"", ""mn"")"),"Өнөөдөр")</f>
        <v>Өнөөдөр</v>
      </c>
      <c r="AT238" s="7" t="str">
        <f>IFERROR(__xludf.DUMMYFUNCTION("GoogleTranslate(C238, ""en"", ""ne"")"),"आज")</f>
        <v>आज</v>
      </c>
      <c r="AU238" s="7" t="str">
        <f>IFERROR(__xludf.DUMMYFUNCTION("GoogleTranslate(C238, ""en"", ""nb"")"),"I dag")</f>
        <v>I dag</v>
      </c>
      <c r="AV238" s="7" t="str">
        <f>IFERROR(__xludf.DUMMYFUNCTION("GoogleTranslate(C238, ""en"", ""fa"")"),"امروز")</f>
        <v>امروز</v>
      </c>
      <c r="AW238" s="7" t="str">
        <f>IFERROR(__xludf.DUMMYFUNCTION("GoogleTranslate(C238, ""en"", ""pl"")"),"Dzisiaj")</f>
        <v>Dzisiaj</v>
      </c>
      <c r="AX238" s="7" t="str">
        <f>IFERROR(__xludf.DUMMYFUNCTION("GoogleTranslate(C238, ""en"", ""pt"")"),"Hoje")</f>
        <v>Hoje</v>
      </c>
      <c r="AY238" s="7" t="str">
        <f>IFERROR(__xludf.DUMMYFUNCTION("GoogleTranslate(C238, ""en"", ""ro"")"),"Astăzi")</f>
        <v>Astăzi</v>
      </c>
      <c r="AZ238" s="7" t="str">
        <f>IFERROR(__xludf.DUMMYFUNCTION("GoogleTranslate(C238, ""en"", ""ru"")"),"Сегодня")</f>
        <v>Сегодня</v>
      </c>
      <c r="BA238" s="7" t="str">
        <f>IFERROR(__xludf.DUMMYFUNCTION("GoogleTranslate(C238, ""en"", ""sr"")"),"данас")</f>
        <v>данас</v>
      </c>
      <c r="BB238" s="7" t="str">
        <f>IFERROR(__xludf.DUMMYFUNCTION("GoogleTranslate(C238, ""en"", ""si"")"),"අද")</f>
        <v>අද</v>
      </c>
      <c r="BC238" s="7" t="str">
        <f>IFERROR(__xludf.DUMMYFUNCTION("GoogleTranslate(C238, ""en"", ""sk"")"),"Dnes")</f>
        <v>Dnes</v>
      </c>
      <c r="BD238" s="7" t="str">
        <f>IFERROR(__xludf.DUMMYFUNCTION("GoogleTranslate(C238, ""en"", ""sl"")"),"Danes")</f>
        <v>Danes</v>
      </c>
      <c r="BE238" s="7" t="str">
        <f>IFERROR(__xludf.DUMMYFUNCTION("GoogleTranslate(C238, ""en"", ""es"")"),"Hoy")</f>
        <v>Hoy</v>
      </c>
      <c r="BF238" s="7" t="str">
        <f>IFERROR(__xludf.DUMMYFUNCTION("GoogleTranslate(C238, ""en"", ""sw"")"),"Leo")</f>
        <v>Leo</v>
      </c>
      <c r="BG238" s="7" t="str">
        <f>IFERROR(__xludf.DUMMYFUNCTION("GoogleTranslate(C238, ""en"", ""sv"")"),"I dag")</f>
        <v>I dag</v>
      </c>
      <c r="BH238" s="7" t="str">
        <f>IFERROR(__xludf.DUMMYFUNCTION("GoogleTranslate(C238, ""en"", ""te"")"),"ఈరోజు")</f>
        <v>ఈరోజు</v>
      </c>
      <c r="BI238" s="7" t="str">
        <f>IFERROR(__xludf.DUMMYFUNCTION("GoogleTranslate(C238, ""en"", ""th"")"),"วันนี้")</f>
        <v>วันนี้</v>
      </c>
      <c r="BJ238" s="7" t="str">
        <f>IFERROR(__xludf.DUMMYFUNCTION("GoogleTranslate(C238, ""en"", ""tr"")"),"Bugün")</f>
        <v>Bugün</v>
      </c>
      <c r="BK238" s="7" t="str">
        <f>IFERROR(__xludf.DUMMYFUNCTION("GoogleTranslate(C238, ""en"", ""uk"")"),"Сьогодні")</f>
        <v>Сьогодні</v>
      </c>
      <c r="BL238" s="7" t="str">
        <f>IFERROR(__xludf.DUMMYFUNCTION("GoogleTranslate(C238, ""en"", ""zu"")"),"Namuhla")</f>
        <v>Namuhla</v>
      </c>
    </row>
    <row r="239">
      <c r="A239" s="5" t="str">
        <f t="shared" si="1"/>
        <v>The_dew_point_is_{number}°_right_now</v>
      </c>
      <c r="B239" s="4" t="s">
        <v>281</v>
      </c>
      <c r="C239" s="4" t="s">
        <v>281</v>
      </c>
      <c r="D239" s="7" t="str">
        <f>IFERROR(__xludf.DUMMYFUNCTION("GoogleTranslate(C239, ""en"", ""es"")"),"El punto de rocío es {número}° en este momento")</f>
        <v>El punto de rocío es {número}° en este momento</v>
      </c>
      <c r="E239" s="7" t="str">
        <f>IFERROR(__xludf.DUMMYFUNCTION("GoogleTranslate(C239, ""en"", ""ar"")"),"نقطة الندى هي {number}° الآن")</f>
        <v>نقطة الندى هي {number}° الآن</v>
      </c>
      <c r="F239" s="7" t="str">
        <f>IFERROR(__xludf.DUMMYFUNCTION("GoogleTranslate(C239, ""en"", ""hy"")"),"Ցողի կետն այս պահին {թիվ}° է")</f>
        <v>Ցողի կետն այս պահին {թիվ}° է</v>
      </c>
      <c r="G239" s="7" t="str">
        <f>IFERROR(__xludf.DUMMYFUNCTION("GoogleTranslate(C239, ""en"", ""vi"")"),"Điểm sương lúc này là {number}°")</f>
        <v>Điểm sương lúc này là {number}°</v>
      </c>
      <c r="H239" s="7" t="str">
        <f>IFERROR(__xludf.DUMMYFUNCTION("GoogleTranslate(C239, ""en"", ""az"")"),"Çiy nöqtəsi hazırda {number}°-dir")</f>
        <v>Çiy nöqtəsi hazırda {number}°-dir</v>
      </c>
      <c r="I239" s="7" t="str">
        <f>IFERROR(__xludf.DUMMYFUNCTION("GoogleTranslate(C239, ""en"", ""eu"")"),"Ihintz-puntua {zenbakia}°-koa da une honetan")</f>
        <v>Ihintz-puntua {zenbakia}°-koa da une honetan</v>
      </c>
      <c r="J239" s="7" t="str">
        <f>IFERROR(__xludf.DUMMYFUNCTION("GoogleTranslate(C239, ""en"", ""be"")"),"Зараз кропка расы складае {number}°")</f>
        <v>Зараз кропка расы складае {number}°</v>
      </c>
      <c r="K239" s="7" t="str">
        <f>IFERROR(__xludf.DUMMYFUNCTION("GoogleTranslate(C239, ""en"", ""bn"")"),"শিশির বিন্দু এই মুহূর্তে {number}°")</f>
        <v>শিশির বিন্দু এই মুহূর্তে {number}°</v>
      </c>
      <c r="L239" s="7" t="str">
        <f>IFERROR(__xludf.DUMMYFUNCTION("GoogleTranslate(C239, ""en"", ""bg"")"),"Точката на оросяване е {number}° в момента")</f>
        <v>Точката на оросяване е {number}° в момента</v>
      </c>
      <c r="M239" s="7" t="str">
        <f>IFERROR(__xludf.DUMMYFUNCTION("GoogleTranslate(C239, ""en"", ""my"")"),"ယခုအချိန်တွင် နှင်းရည်အမှတ်သည် {number}° ဖြစ်သည်။")</f>
        <v>ယခုအချိန်တွင် နှင်းရည်အမှတ်သည် {number}° ဖြစ်သည်။</v>
      </c>
      <c r="N239" s="7" t="str">
        <f>IFERROR(__xludf.DUMMYFUNCTION("GoogleTranslate(C239, ""en"", ""ca"")"),"El punt de rosada és de {nombre}° ara mateix")</f>
        <v>El punt de rosada és de {nombre}° ara mateix</v>
      </c>
      <c r="O239" s="7" t="str">
        <f>IFERROR(__xludf.DUMMYFUNCTION("GoogleTranslate(C239, ""en"", ""zh-cn"")"),"现在露点是 {number}°")</f>
        <v>现在露点是 {number}°</v>
      </c>
      <c r="P239" s="7" t="str">
        <f>IFERROR(__xludf.DUMMYFUNCTION("GoogleTranslate(C239, ""en"", ""zh-TW"")"),"現在露點是 {number}°")</f>
        <v>現在露點是 {number}°</v>
      </c>
      <c r="Q239" s="7" t="str">
        <f>IFERROR(__xludf.DUMMYFUNCTION("GoogleTranslate(C239, ""en"", ""hr"")"),"Rosište je trenutno {number}°")</f>
        <v>Rosište je trenutno {number}°</v>
      </c>
      <c r="R239" s="7" t="str">
        <f>IFERROR(__xludf.DUMMYFUNCTION("GoogleTranslate(C239, ""en"", ""cs"")"),"Rosný bod je právě {number}°")</f>
        <v>Rosný bod je právě {number}°</v>
      </c>
      <c r="S239" s="7" t="str">
        <f>IFERROR(__xludf.DUMMYFUNCTION("GoogleTranslate(C239, ""en"", ""da"")"),"Dugpunktet er {number}° lige nu")</f>
        <v>Dugpunktet er {number}° lige nu</v>
      </c>
      <c r="T239" s="7" t="str">
        <f>IFERROR(__xludf.DUMMYFUNCTION("GoogleTranslate(C239, ""en"", ""nl"")"),"Het dauwpunt is momenteel {number}°")</f>
        <v>Het dauwpunt is momenteel {number}°</v>
      </c>
      <c r="U239" s="7" t="str">
        <f>IFERROR(__xludf.DUMMYFUNCTION("GoogleTranslate(C239, ""en"", ""et"")"),"Kastepunkt on praegu {number}°")</f>
        <v>Kastepunkt on praegu {number}°</v>
      </c>
      <c r="V239" s="5" t="str">
        <f t="shared" si="3"/>
        <v>The dew point is {number}° right now</v>
      </c>
      <c r="W239" s="7" t="str">
        <f>IFERROR(__xludf.DUMMYFUNCTION("GoogleTranslate(C239, ""en"", ""fi"")"),"Kastepiste on tällä hetkellä {number}°")</f>
        <v>Kastepiste on tällä hetkellä {number}°</v>
      </c>
      <c r="X239" s="7" t="str">
        <f>IFERROR(__xludf.DUMMYFUNCTION("GoogleTranslate(C239, ""en"", ""fr"")"),"Le point de rosée est actuellement de {number} °")</f>
        <v>Le point de rosée est actuellement de {number} °</v>
      </c>
      <c r="Y239" s="7" t="str">
        <f>IFERROR(__xludf.DUMMYFUNCTION("GoogleTranslate(C239, ""en"", ""de"")"),"Der Taupunkt liegt derzeit bei {Zahl}°")</f>
        <v>Der Taupunkt liegt derzeit bei {Zahl}°</v>
      </c>
      <c r="Z239" s="7" t="str">
        <f>IFERROR(__xludf.DUMMYFUNCTION("GoogleTranslate(C239, ""en"", ""el"")"),"Το σημείο δρόσου είναι {number}° αυτή τη στιγμή")</f>
        <v>Το σημείο δρόσου είναι {number}° αυτή τη στιγμή</v>
      </c>
      <c r="AA239" s="7" t="str">
        <f>IFERROR(__xludf.DUMMYFUNCTION("GoogleTranslate(C239, ""en"", ""iw"")"),"נקודת הטל היא {number}° כרגע")</f>
        <v>נקודת הטל היא {number}° כרגע</v>
      </c>
      <c r="AB239" s="7" t="str">
        <f>IFERROR(__xludf.DUMMYFUNCTION("GoogleTranslate(C239, ""en"", ""hi"")"),"अभी ओस बिंदु {संख्या}° है")</f>
        <v>अभी ओस बिंदु {संख्या}° है</v>
      </c>
      <c r="AC239" s="7" t="str">
        <f>IFERROR(__xludf.DUMMYFUNCTION("GoogleTranslate(C239, ""en"", ""hu"")"),"A harmatpont jelenleg {szám}°")</f>
        <v>A harmatpont jelenleg {szám}°</v>
      </c>
      <c r="AD239" s="7" t="str">
        <f>IFERROR(__xludf.DUMMYFUNCTION("GoogleTranslate(C239, ""en"", ""is"")"),"Daggarmarkið er {number}° núna")</f>
        <v>Daggarmarkið er {number}° núna</v>
      </c>
      <c r="AE239" s="7" t="str">
        <f>IFERROR(__xludf.DUMMYFUNCTION("GoogleTranslate(C239, ""en"", ""id"")"),"Titik embun saat ini adalah {number}°")</f>
        <v>Titik embun saat ini adalah {number}°</v>
      </c>
      <c r="AF239" s="7" t="str">
        <f>IFERROR(__xludf.DUMMYFUNCTION("GoogleTranslate(C239, ""en"", ""in"")"),"Titik embun saat ini adalah {number}°")</f>
        <v>Titik embun saat ini adalah {number}°</v>
      </c>
      <c r="AG239" s="7" t="str">
        <f>IFERROR(__xludf.DUMMYFUNCTION("GoogleTranslate(C239, ""en"", ""it"")"),"Il punto di rugiada è {numero}° in questo momento")</f>
        <v>Il punto di rugiada è {numero}° in questo momento</v>
      </c>
      <c r="AH239" s="7" t="str">
        <f>IFERROR(__xludf.DUMMYFUNCTION("GoogleTranslate(C239, ""en"", ""ja"")"),"現在の露点は {number}° です")</f>
        <v>現在の露点は {number}° です</v>
      </c>
      <c r="AI239" s="7" t="str">
        <f>IFERROR(__xludf.DUMMYFUNCTION("GoogleTranslate(C239, ""en"", ""kn"")"),"ಇದೀಗ ಇಬ್ಬನಿ ಬಿಂದು {number}° ಆಗಿದೆ")</f>
        <v>ಇದೀಗ ಇಬ್ಬನಿ ಬಿಂದು {number}° ಆಗಿದೆ</v>
      </c>
      <c r="AJ239" s="7" t="str">
        <f>IFERROR(__xludf.DUMMYFUNCTION("GoogleTranslate(C239, ""en"", ""km"")"),"ចំណុចទឹកសន្សើមគឺ {number}° ឥឡូវនេះ")</f>
        <v>ចំណុចទឹកសន្សើមគឺ {number}° ឥឡូវនេះ</v>
      </c>
      <c r="AK239" s="7" t="str">
        <f>IFERROR(__xludf.DUMMYFUNCTION("GoogleTranslate(C239, ""en"", ""ko"")"),"현재 이슬점은 {number}°입니다")</f>
        <v>현재 이슬점은 {number}°입니다</v>
      </c>
      <c r="AL239" s="7" t="str">
        <f>IFERROR(__xludf.DUMMYFUNCTION("GoogleTranslate(C239, ""en"", ""lo"")"),"ຈຸດນ້ຳຄ້າງແມ່ນ {number}° ໃນຕອນນີ້")</f>
        <v>ຈຸດນ້ຳຄ້າງແມ່ນ {number}° ໃນຕອນນີ້</v>
      </c>
      <c r="AM239" s="7" t="str">
        <f>IFERROR(__xludf.DUMMYFUNCTION("GoogleTranslate(C239, ""en"", ""lv"")"),"Rasas punkts šobrīd ir {number}°")</f>
        <v>Rasas punkts šobrīd ir {number}°</v>
      </c>
      <c r="AN239" s="7" t="str">
        <f>IFERROR(__xludf.DUMMYFUNCTION("GoogleTranslate(C239, ""en"", ""lt"")"),"Rasos taškas šiuo metu yra {number}°")</f>
        <v>Rasos taškas šiuo metu yra {number}°</v>
      </c>
      <c r="AO239" s="7" t="str">
        <f>IFERROR(__xludf.DUMMYFUNCTION("GoogleTranslate(C239, ""en"", ""mk"")"),"Точката на росење е {number}° во моментов")</f>
        <v>Точката на росење е {number}° во моментов</v>
      </c>
      <c r="AP239" s="7" t="str">
        <f>IFERROR(__xludf.DUMMYFUNCTION("GoogleTranslate(C239, ""en"", ""ms"")"),"Takat embun ialah {number}° sekarang")</f>
        <v>Takat embun ialah {number}° sekarang</v>
      </c>
      <c r="AQ239" s="7" t="str">
        <f>IFERROR(__xludf.DUMMYFUNCTION("GoogleTranslate(C239, ""en"", ""ml"")"),"ഇപ്പോൾ മഞ്ഞു പോയിൻ്റ് {number}° ആണ്")</f>
        <v>ഇപ്പോൾ മഞ്ഞു പോയിൻ്റ് {number}° ആണ്</v>
      </c>
      <c r="AR239" s="7" t="str">
        <f>IFERROR(__xludf.DUMMYFUNCTION("GoogleTranslate(C239, ""en"", ""mr"")"),"सध्या दवबिंदू {number}° आहे")</f>
        <v>सध्या दवबिंदू {number}° आहे</v>
      </c>
      <c r="AS239" s="7" t="str">
        <f>IFERROR(__xludf.DUMMYFUNCTION("GoogleTranslate(C239, ""en"", ""mn"")"),"Шүүдэр цэг яг одоо {number}° байна")</f>
        <v>Шүүдэр цэг яг одоо {number}° байна</v>
      </c>
      <c r="AT239" s="7" t="str">
        <f>IFERROR(__xludf.DUMMYFUNCTION("GoogleTranslate(C239, ""en"", ""ne"")"),"शीत बिन्दु अहिले {number}° छ")</f>
        <v>शीत बिन्दु अहिले {number}° छ</v>
      </c>
      <c r="AU239" s="7" t="str">
        <f>IFERROR(__xludf.DUMMYFUNCTION("GoogleTranslate(C239, ""en"", ""nb"")"),"Duggpunktet er {number}° akkurat nå")</f>
        <v>Duggpunktet er {number}° akkurat nå</v>
      </c>
      <c r="AV239" s="7" t="str">
        <f>IFERROR(__xludf.DUMMYFUNCTION("GoogleTranslate(C239, ""en"", ""fa"")"),"نقطه شبنم در حال حاضر {number}° است")</f>
        <v>نقطه شبنم در حال حاضر {number}° است</v>
      </c>
      <c r="AW239" s="7" t="str">
        <f>IFERROR(__xludf.DUMMYFUNCTION("GoogleTranslate(C239, ""en"", ""pl"")"),"Punkt rosy wynosi teraz {number}°")</f>
        <v>Punkt rosy wynosi teraz {number}°</v>
      </c>
      <c r="AX239" s="7" t="str">
        <f>IFERROR(__xludf.DUMMYFUNCTION("GoogleTranslate(C239, ""en"", ""pt"")"),"O ponto de orvalho é {número}° agora")</f>
        <v>O ponto de orvalho é {número}° agora</v>
      </c>
      <c r="AY239" s="7" t="str">
        <f>IFERROR(__xludf.DUMMYFUNCTION("GoogleTranslate(C239, ""en"", ""ro"")"),"Punctul de rouă este de {număr}° în acest moment")</f>
        <v>Punctul de rouă este de {număr}° în acest moment</v>
      </c>
      <c r="AZ239" s="7" t="str">
        <f>IFERROR(__xludf.DUMMYFUNCTION("GoogleTranslate(C239, ""en"", ""ru"")"),"Точка росы сейчас составляет {number}°.")</f>
        <v>Точка росы сейчас составляет {number}°.</v>
      </c>
      <c r="BA239" s="7" t="str">
        <f>IFERROR(__xludf.DUMMYFUNCTION("GoogleTranslate(C239, ""en"", ""sr"")"),"Тачка росе је тренутно {нумбер}°")</f>
        <v>Тачка росе је тренутно {нумбер}°</v>
      </c>
      <c r="BB239" s="7" t="str">
        <f>IFERROR(__xludf.DUMMYFUNCTION("GoogleTranslate(C239, ""en"", ""si"")"),"පිනි ලක්ෂ්‍යය දැන් {number}° වේ")</f>
        <v>පිනි ලක්ෂ්‍යය දැන් {number}° වේ</v>
      </c>
      <c r="BC239" s="7" t="str">
        <f>IFERROR(__xludf.DUMMYFUNCTION("GoogleTranslate(C239, ""en"", ""sk"")"),"Rosný bod je momentálne {number}°")</f>
        <v>Rosný bod je momentálne {number}°</v>
      </c>
      <c r="BD239" s="7" t="str">
        <f>IFERROR(__xludf.DUMMYFUNCTION("GoogleTranslate(C239, ""en"", ""sl"")"),"Točka rosišča je trenutno {number}°")</f>
        <v>Točka rosišča je trenutno {number}°</v>
      </c>
      <c r="BE239" s="7" t="str">
        <f>IFERROR(__xludf.DUMMYFUNCTION("GoogleTranslate(C239, ""en"", ""es"")"),"El punto de rocío es {número}° en este momento")</f>
        <v>El punto de rocío es {número}° en este momento</v>
      </c>
      <c r="BF239" s="7" t="str">
        <f>IFERROR(__xludf.DUMMYFUNCTION("GoogleTranslate(C239, ""en"", ""sw"")"),"Kiwango cha umande ni {number}° sasa hivi")</f>
        <v>Kiwango cha umande ni {number}° sasa hivi</v>
      </c>
      <c r="BG239" s="7" t="str">
        <f>IFERROR(__xludf.DUMMYFUNCTION("GoogleTranslate(C239, ""en"", ""sv"")"),"Daggpunkten är {number}° just nu")</f>
        <v>Daggpunkten är {number}° just nu</v>
      </c>
      <c r="BH239" s="7" t="str">
        <f>IFERROR(__xludf.DUMMYFUNCTION("GoogleTranslate(C239, ""en"", ""te"")"),"ప్రస్తుతం మంచు బిందువు {సంఖ్య}° ఉంది")</f>
        <v>ప్రస్తుతం మంచు బిందువు {సంఖ్య}° ఉంది</v>
      </c>
      <c r="BI239" s="7" t="str">
        <f>IFERROR(__xludf.DUMMYFUNCTION("GoogleTranslate(C239, ""en"", ""th"")"),"จุดน้ำค้างอยู่ที่ {number}° ขณะนี้")</f>
        <v>จุดน้ำค้างอยู่ที่ {number}° ขณะนี้</v>
      </c>
      <c r="BJ239" s="7" t="str">
        <f>IFERROR(__xludf.DUMMYFUNCTION("GoogleTranslate(C239, ""en"", ""tr"")"),"Çiy noktası şu anda {number}°")</f>
        <v>Çiy noktası şu anda {number}°</v>
      </c>
      <c r="BK239" s="7" t="str">
        <f>IFERROR(__xludf.DUMMYFUNCTION("GoogleTranslate(C239, ""en"", ""uk"")"),"Зараз точка роси становить {number}°")</f>
        <v>Зараз точка роси становить {number}°</v>
      </c>
      <c r="BL239" s="7" t="str">
        <f>IFERROR(__xludf.DUMMYFUNCTION("GoogleTranslate(C239, ""en"", ""zu"")"),"Iphoyinti lamazolo lingu-{number}° khona manje")</f>
        <v>Iphoyinti lamazolo lingu-{number}° khona manje</v>
      </c>
    </row>
    <row r="240">
      <c r="A240" s="5" t="str">
        <f t="shared" si="1"/>
        <v>Unit_settings</v>
      </c>
      <c r="B240" s="4" t="s">
        <v>282</v>
      </c>
      <c r="C240" s="4" t="s">
        <v>282</v>
      </c>
      <c r="D240" s="7" t="str">
        <f>IFERROR(__xludf.DUMMYFUNCTION("GoogleTranslate(C240, ""en"", ""es"")"),"Configuración de la unidad")</f>
        <v>Configuración de la unidad</v>
      </c>
      <c r="E240" s="7" t="str">
        <f>IFERROR(__xludf.DUMMYFUNCTION("GoogleTranslate(C240, ""en"", ""ar"")"),"إعدادات الوحدة")</f>
        <v>إعدادات الوحدة</v>
      </c>
      <c r="F240" s="7" t="str">
        <f>IFERROR(__xludf.DUMMYFUNCTION("GoogleTranslate(C240, ""en"", ""hy"")"),"Միավորի կարգավորումներ")</f>
        <v>Միավորի կարգավորումներ</v>
      </c>
      <c r="G240" s="7" t="str">
        <f>IFERROR(__xludf.DUMMYFUNCTION("GoogleTranslate(C240, ""en"", ""vi"")"),"Cài đặt đơn vị")</f>
        <v>Cài đặt đơn vị</v>
      </c>
      <c r="H240" s="7" t="str">
        <f>IFERROR(__xludf.DUMMYFUNCTION("GoogleTranslate(C240, ""en"", ""az"")"),"Vahid parametrləri")</f>
        <v>Vahid parametrləri</v>
      </c>
      <c r="I240" s="7" t="str">
        <f>IFERROR(__xludf.DUMMYFUNCTION("GoogleTranslate(C240, ""en"", ""eu"")"),"Unitateen ezarpenak")</f>
        <v>Unitateen ezarpenak</v>
      </c>
      <c r="J240" s="7" t="str">
        <f>IFERROR(__xludf.DUMMYFUNCTION("GoogleTranslate(C240, ""en"", ""be"")"),"Налады агрэгата")</f>
        <v>Налады агрэгата</v>
      </c>
      <c r="K240" s="7" t="str">
        <f>IFERROR(__xludf.DUMMYFUNCTION("GoogleTranslate(C240, ""en"", ""bn"")"),"ইউনিট সেটিংস")</f>
        <v>ইউনিট সেটিংস</v>
      </c>
      <c r="L240" s="7" t="str">
        <f>IFERROR(__xludf.DUMMYFUNCTION("GoogleTranslate(C240, ""en"", ""bg"")"),"Настройки на единица")</f>
        <v>Настройки на единица</v>
      </c>
      <c r="M240" s="7" t="str">
        <f>IFERROR(__xludf.DUMMYFUNCTION("GoogleTranslate(C240, ""en"", ""my"")"),"ယူနစ်ဆက်တင်များ")</f>
        <v>ယူနစ်ဆက်တင်များ</v>
      </c>
      <c r="N240" s="7" t="str">
        <f>IFERROR(__xludf.DUMMYFUNCTION("GoogleTranslate(C240, ""en"", ""ca"")"),"Configuració de la unitat")</f>
        <v>Configuració de la unitat</v>
      </c>
      <c r="O240" s="7" t="str">
        <f>IFERROR(__xludf.DUMMYFUNCTION("GoogleTranslate(C240, ""en"", ""zh-cn"")"),"单位设置")</f>
        <v>单位设置</v>
      </c>
      <c r="P240" s="7" t="str">
        <f>IFERROR(__xludf.DUMMYFUNCTION("GoogleTranslate(C240, ""en"", ""zh-TW"")"),"單位設定")</f>
        <v>單位設定</v>
      </c>
      <c r="Q240" s="7" t="str">
        <f>IFERROR(__xludf.DUMMYFUNCTION("GoogleTranslate(C240, ""en"", ""hr"")"),"Postavke jedinice")</f>
        <v>Postavke jedinice</v>
      </c>
      <c r="R240" s="7" t="str">
        <f>IFERROR(__xludf.DUMMYFUNCTION("GoogleTranslate(C240, ""en"", ""cs"")"),"Nastavení jednotky")</f>
        <v>Nastavení jednotky</v>
      </c>
      <c r="S240" s="7" t="str">
        <f>IFERROR(__xludf.DUMMYFUNCTION("GoogleTranslate(C240, ""en"", ""da"")"),"Enhedsindstillinger")</f>
        <v>Enhedsindstillinger</v>
      </c>
      <c r="T240" s="7" t="str">
        <f>IFERROR(__xludf.DUMMYFUNCTION("GoogleTranslate(C240, ""en"", ""nl"")"),"Eenheidsinstellingen")</f>
        <v>Eenheidsinstellingen</v>
      </c>
      <c r="U240" s="7" t="str">
        <f>IFERROR(__xludf.DUMMYFUNCTION("GoogleTranslate(C240, ""en"", ""et"")"),"Ühiku seaded")</f>
        <v>Ühiku seaded</v>
      </c>
      <c r="V240" s="5" t="str">
        <f t="shared" si="3"/>
        <v>Unit settings</v>
      </c>
      <c r="W240" s="7" t="str">
        <f>IFERROR(__xludf.DUMMYFUNCTION("GoogleTranslate(C240, ""en"", ""fi"")"),"Yksikköasetukset")</f>
        <v>Yksikköasetukset</v>
      </c>
      <c r="X240" s="7" t="str">
        <f>IFERROR(__xludf.DUMMYFUNCTION("GoogleTranslate(C240, ""en"", ""fr"")"),"Paramètres de l'unité")</f>
        <v>Paramètres de l'unité</v>
      </c>
      <c r="Y240" s="7" t="str">
        <f>IFERROR(__xludf.DUMMYFUNCTION("GoogleTranslate(C240, ""en"", ""de"")"),"Geräteeinstellungen")</f>
        <v>Geräteeinstellungen</v>
      </c>
      <c r="Z240" s="7" t="str">
        <f>IFERROR(__xludf.DUMMYFUNCTION("GoogleTranslate(C240, ""en"", ""el"")"),"Ρυθμίσεις μονάδας")</f>
        <v>Ρυθμίσεις μονάδας</v>
      </c>
      <c r="AA240" s="7" t="str">
        <f>IFERROR(__xludf.DUMMYFUNCTION("GoogleTranslate(C240, ""en"", ""iw"")"),"הגדרות יחידה")</f>
        <v>הגדרות יחידה</v>
      </c>
      <c r="AB240" s="7" t="str">
        <f>IFERROR(__xludf.DUMMYFUNCTION("GoogleTranslate(C240, ""en"", ""hi"")"),"इकाई सेटिंग्स")</f>
        <v>इकाई सेटिंग्स</v>
      </c>
      <c r="AC240" s="7" t="str">
        <f>IFERROR(__xludf.DUMMYFUNCTION("GoogleTranslate(C240, ""en"", ""hu"")"),"Egységbeállítások")</f>
        <v>Egységbeállítások</v>
      </c>
      <c r="AD240" s="7" t="str">
        <f>IFERROR(__xludf.DUMMYFUNCTION("GoogleTranslate(C240, ""en"", ""is"")"),"Stillingar eininga")</f>
        <v>Stillingar eininga</v>
      </c>
      <c r="AE240" s="7" t="str">
        <f>IFERROR(__xludf.DUMMYFUNCTION("GoogleTranslate(C240, ""en"", ""id"")"),"Pengaturan satuan")</f>
        <v>Pengaturan satuan</v>
      </c>
      <c r="AF240" s="7" t="str">
        <f>IFERROR(__xludf.DUMMYFUNCTION("GoogleTranslate(C240, ""en"", ""in"")"),"Pengaturan satuan")</f>
        <v>Pengaturan satuan</v>
      </c>
      <c r="AG240" s="7" t="str">
        <f>IFERROR(__xludf.DUMMYFUNCTION("GoogleTranslate(C240, ""en"", ""it"")"),"Impostazioni dell'unità")</f>
        <v>Impostazioni dell'unità</v>
      </c>
      <c r="AH240" s="7" t="str">
        <f>IFERROR(__xludf.DUMMYFUNCTION("GoogleTranslate(C240, ""en"", ""ja"")"),"単位設定")</f>
        <v>単位設定</v>
      </c>
      <c r="AI240" s="7" t="str">
        <f>IFERROR(__xludf.DUMMYFUNCTION("GoogleTranslate(C240, ""en"", ""kn"")"),"ಘಟಕ ಸೆಟ್ಟಿಂಗ್‌ಗಳು")</f>
        <v>ಘಟಕ ಸೆಟ್ಟಿಂಗ್‌ಗಳು</v>
      </c>
      <c r="AJ240" s="7" t="str">
        <f>IFERROR(__xludf.DUMMYFUNCTION("GoogleTranslate(C240, ""en"", ""km"")"),"ការកំណត់ឯកតា")</f>
        <v>ការកំណត់ឯកតា</v>
      </c>
      <c r="AK240" s="7" t="str">
        <f>IFERROR(__xludf.DUMMYFUNCTION("GoogleTranslate(C240, ""en"", ""ko"")"),"단위 설정")</f>
        <v>단위 설정</v>
      </c>
      <c r="AL240" s="7" t="str">
        <f>IFERROR(__xludf.DUMMYFUNCTION("GoogleTranslate(C240, ""en"", ""lo"")"),"ການຕັ້ງຄ່າຫົວໜ່ວຍ")</f>
        <v>ການຕັ້ງຄ່າຫົວໜ່ວຍ</v>
      </c>
      <c r="AM240" s="7" t="str">
        <f>IFERROR(__xludf.DUMMYFUNCTION("GoogleTranslate(C240, ""en"", ""lv"")"),"Vienības iestatījumi")</f>
        <v>Vienības iestatījumi</v>
      </c>
      <c r="AN240" s="7" t="str">
        <f>IFERROR(__xludf.DUMMYFUNCTION("GoogleTranslate(C240, ""en"", ""lt"")"),"Vieneto nustatymai")</f>
        <v>Vieneto nustatymai</v>
      </c>
      <c r="AO240" s="7" t="str">
        <f>IFERROR(__xludf.DUMMYFUNCTION("GoogleTranslate(C240, ""en"", ""mk"")"),"Поставки на единицата")</f>
        <v>Поставки на единицата</v>
      </c>
      <c r="AP240" s="7" t="str">
        <f>IFERROR(__xludf.DUMMYFUNCTION("GoogleTranslate(C240, ""en"", ""ms"")"),"Tetapan unit")</f>
        <v>Tetapan unit</v>
      </c>
      <c r="AQ240" s="7" t="str">
        <f>IFERROR(__xludf.DUMMYFUNCTION("GoogleTranslate(C240, ""en"", ""ml"")"),"യൂണിറ്റ് ക്രമീകരണങ്ങൾ")</f>
        <v>യൂണിറ്റ് ക്രമീകരണങ്ങൾ</v>
      </c>
      <c r="AR240" s="7" t="str">
        <f>IFERROR(__xludf.DUMMYFUNCTION("GoogleTranslate(C240, ""en"", ""mr"")"),"युनिट सेटिंग्ज")</f>
        <v>युनिट सेटिंग्ज</v>
      </c>
      <c r="AS240" s="7" t="str">
        <f>IFERROR(__xludf.DUMMYFUNCTION("GoogleTranslate(C240, ""en"", ""mn"")"),"Нэгжийн тохиргоо")</f>
        <v>Нэгжийн тохиргоо</v>
      </c>
      <c r="AT240" s="7" t="str">
        <f>IFERROR(__xludf.DUMMYFUNCTION("GoogleTranslate(C240, ""en"", ""ne"")"),"एकाइ सेटिङहरू")</f>
        <v>एकाइ सेटिङहरू</v>
      </c>
      <c r="AU240" s="7" t="str">
        <f>IFERROR(__xludf.DUMMYFUNCTION("GoogleTranslate(C240, ""en"", ""nb"")"),"Enhetsinnstillinger")</f>
        <v>Enhetsinnstillinger</v>
      </c>
      <c r="AV240" s="7" t="str">
        <f>IFERROR(__xludf.DUMMYFUNCTION("GoogleTranslate(C240, ""en"", ""fa"")"),"تنظیمات واحد")</f>
        <v>تنظیمات واحد</v>
      </c>
      <c r="AW240" s="7" t="str">
        <f>IFERROR(__xludf.DUMMYFUNCTION("GoogleTranslate(C240, ""en"", ""pl"")"),"Ustawienia jednostki")</f>
        <v>Ustawienia jednostki</v>
      </c>
      <c r="AX240" s="7" t="str">
        <f>IFERROR(__xludf.DUMMYFUNCTION("GoogleTranslate(C240, ""en"", ""pt"")"),"Configurações da unidade")</f>
        <v>Configurações da unidade</v>
      </c>
      <c r="AY240" s="7" t="str">
        <f>IFERROR(__xludf.DUMMYFUNCTION("GoogleTranslate(C240, ""en"", ""ro"")"),"Setările unității")</f>
        <v>Setările unității</v>
      </c>
      <c r="AZ240" s="7" t="str">
        <f>IFERROR(__xludf.DUMMYFUNCTION("GoogleTranslate(C240, ""en"", ""ru"")"),"Настройки устройства")</f>
        <v>Настройки устройства</v>
      </c>
      <c r="BA240" s="7" t="str">
        <f>IFERROR(__xludf.DUMMYFUNCTION("GoogleTranslate(C240, ""en"", ""sr"")"),"Подешавања јединице")</f>
        <v>Подешавања јединице</v>
      </c>
      <c r="BB240" s="7" t="str">
        <f>IFERROR(__xludf.DUMMYFUNCTION("GoogleTranslate(C240, ""en"", ""si"")"),"ඒකක සැකසුම්")</f>
        <v>ඒකක සැකසුම්</v>
      </c>
      <c r="BC240" s="7" t="str">
        <f>IFERROR(__xludf.DUMMYFUNCTION("GoogleTranslate(C240, ""en"", ""sk"")"),"Nastavenia jednotky")</f>
        <v>Nastavenia jednotky</v>
      </c>
      <c r="BD240" s="7" t="str">
        <f>IFERROR(__xludf.DUMMYFUNCTION("GoogleTranslate(C240, ""en"", ""sl"")"),"Nastavitve enote")</f>
        <v>Nastavitve enote</v>
      </c>
      <c r="BE240" s="7" t="str">
        <f>IFERROR(__xludf.DUMMYFUNCTION("GoogleTranslate(C240, ""en"", ""es"")"),"Configuración de la unidad")</f>
        <v>Configuración de la unidad</v>
      </c>
      <c r="BF240" s="7" t="str">
        <f>IFERROR(__xludf.DUMMYFUNCTION("GoogleTranslate(C240, ""en"", ""sw"")"),"Mipangilio ya kitengo")</f>
        <v>Mipangilio ya kitengo</v>
      </c>
      <c r="BG240" s="7" t="str">
        <f>IFERROR(__xludf.DUMMYFUNCTION("GoogleTranslate(C240, ""en"", ""sv"")"),"Enhetsinställningar")</f>
        <v>Enhetsinställningar</v>
      </c>
      <c r="BH240" s="7" t="str">
        <f>IFERROR(__xludf.DUMMYFUNCTION("GoogleTranslate(C240, ""en"", ""te"")"),"యూనిట్ సెట్టింగులు")</f>
        <v>యూనిట్ సెట్టింగులు</v>
      </c>
      <c r="BI240" s="7" t="str">
        <f>IFERROR(__xludf.DUMMYFUNCTION("GoogleTranslate(C240, ""en"", ""th"")"),"การตั้งค่าหน่วย")</f>
        <v>การตั้งค่าหน่วย</v>
      </c>
      <c r="BJ240" s="7" t="str">
        <f>IFERROR(__xludf.DUMMYFUNCTION("GoogleTranslate(C240, ""en"", ""tr"")"),"Birim ayarları")</f>
        <v>Birim ayarları</v>
      </c>
      <c r="BK240" s="7" t="str">
        <f>IFERROR(__xludf.DUMMYFUNCTION("GoogleTranslate(C240, ""en"", ""uk"")"),"Налаштування агрегату")</f>
        <v>Налаштування агрегату</v>
      </c>
      <c r="BL240" s="7" t="str">
        <f>IFERROR(__xludf.DUMMYFUNCTION("GoogleTranslate(C240, ""en"", ""zu"")"),"Izilungiselelo zeyunithi")</f>
        <v>Izilungiselelo zeyunithi</v>
      </c>
    </row>
    <row r="241">
      <c r="A241" s="5" t="str">
        <f t="shared" si="1"/>
        <v>Detail</v>
      </c>
      <c r="B241" s="4" t="s">
        <v>283</v>
      </c>
      <c r="C241" s="4" t="s">
        <v>283</v>
      </c>
      <c r="D241" s="7" t="str">
        <f>IFERROR(__xludf.DUMMYFUNCTION("GoogleTranslate(C241, ""en"", ""es"")"),"Detalle")</f>
        <v>Detalle</v>
      </c>
      <c r="E241" s="7" t="str">
        <f>IFERROR(__xludf.DUMMYFUNCTION("GoogleTranslate(C241, ""en"", ""ar"")"),"التفاصيل")</f>
        <v>التفاصيل</v>
      </c>
      <c r="F241" s="7" t="str">
        <f>IFERROR(__xludf.DUMMYFUNCTION("GoogleTranslate(C241, ""en"", ""hy"")"),"Մանրամասն")</f>
        <v>Մանրամասն</v>
      </c>
      <c r="G241" s="7" t="str">
        <f>IFERROR(__xludf.DUMMYFUNCTION("GoogleTranslate(C241, ""en"", ""vi"")"),"Chi tiết")</f>
        <v>Chi tiết</v>
      </c>
      <c r="H241" s="7" t="str">
        <f>IFERROR(__xludf.DUMMYFUNCTION("GoogleTranslate(C241, ""en"", ""az"")"),"Detal")</f>
        <v>Detal</v>
      </c>
      <c r="I241" s="7" t="str">
        <f>IFERROR(__xludf.DUMMYFUNCTION("GoogleTranslate(C241, ""en"", ""eu"")"),"Xehetasuna")</f>
        <v>Xehetasuna</v>
      </c>
      <c r="J241" s="7" t="str">
        <f>IFERROR(__xludf.DUMMYFUNCTION("GoogleTranslate(C241, ""en"", ""be"")"),"Дэталь")</f>
        <v>Дэталь</v>
      </c>
      <c r="K241" s="7" t="str">
        <f>IFERROR(__xludf.DUMMYFUNCTION("GoogleTranslate(C241, ""en"", ""bn"")"),"বিস্তারিত")</f>
        <v>বিস্তারিত</v>
      </c>
      <c r="L241" s="7" t="str">
        <f>IFERROR(__xludf.DUMMYFUNCTION("GoogleTranslate(C241, ""en"", ""bg"")"),"детайл")</f>
        <v>детайл</v>
      </c>
      <c r="M241" s="7" t="str">
        <f>IFERROR(__xludf.DUMMYFUNCTION("GoogleTranslate(C241, ""en"", ""my"")"),"အသေးစိတ်")</f>
        <v>အသေးစိတ်</v>
      </c>
      <c r="N241" s="7" t="str">
        <f>IFERROR(__xludf.DUMMYFUNCTION("GoogleTranslate(C241, ""en"", ""ca"")"),"Detall")</f>
        <v>Detall</v>
      </c>
      <c r="O241" s="7" t="str">
        <f>IFERROR(__xludf.DUMMYFUNCTION("GoogleTranslate(C241, ""en"", ""zh-cn"")"),"细节")</f>
        <v>细节</v>
      </c>
      <c r="P241" s="7" t="str">
        <f>IFERROR(__xludf.DUMMYFUNCTION("GoogleTranslate(C241, ""en"", ""zh-TW"")"),"細節")</f>
        <v>細節</v>
      </c>
      <c r="Q241" s="7" t="str">
        <f>IFERROR(__xludf.DUMMYFUNCTION("GoogleTranslate(C241, ""en"", ""hr"")"),"Detalj")</f>
        <v>Detalj</v>
      </c>
      <c r="R241" s="7" t="str">
        <f>IFERROR(__xludf.DUMMYFUNCTION("GoogleTranslate(C241, ""en"", ""cs"")"),"Detail")</f>
        <v>Detail</v>
      </c>
      <c r="S241" s="7" t="str">
        <f>IFERROR(__xludf.DUMMYFUNCTION("GoogleTranslate(C241, ""en"", ""da"")"),"Detalje")</f>
        <v>Detalje</v>
      </c>
      <c r="T241" s="7" t="str">
        <f>IFERROR(__xludf.DUMMYFUNCTION("GoogleTranslate(C241, ""en"", ""nl"")"),"Detail")</f>
        <v>Detail</v>
      </c>
      <c r="U241" s="7" t="str">
        <f>IFERROR(__xludf.DUMMYFUNCTION("GoogleTranslate(C241, ""en"", ""et"")"),"Detail")</f>
        <v>Detail</v>
      </c>
      <c r="V241" s="5" t="str">
        <f t="shared" si="3"/>
        <v>Detail</v>
      </c>
      <c r="W241" s="7" t="str">
        <f>IFERROR(__xludf.DUMMYFUNCTION("GoogleTranslate(C241, ""en"", ""fi"")"),"Yksityiskohta")</f>
        <v>Yksityiskohta</v>
      </c>
      <c r="X241" s="7" t="str">
        <f>IFERROR(__xludf.DUMMYFUNCTION("GoogleTranslate(C241, ""en"", ""fr"")"),"Détail")</f>
        <v>Détail</v>
      </c>
      <c r="Y241" s="7" t="str">
        <f>IFERROR(__xludf.DUMMYFUNCTION("GoogleTranslate(C241, ""en"", ""de"")"),"Detail")</f>
        <v>Detail</v>
      </c>
      <c r="Z241" s="7" t="str">
        <f>IFERROR(__xludf.DUMMYFUNCTION("GoogleTranslate(C241, ""en"", ""el"")"),"Λεπτομέρεια")</f>
        <v>Λεπτομέρεια</v>
      </c>
      <c r="AA241" s="7" t="str">
        <f>IFERROR(__xludf.DUMMYFUNCTION("GoogleTranslate(C241, ""en"", ""iw"")"),"פְּרָט")</f>
        <v>פְּרָט</v>
      </c>
      <c r="AB241" s="7" t="str">
        <f>IFERROR(__xludf.DUMMYFUNCTION("GoogleTranslate(C241, ""en"", ""hi"")"),"विवरण")</f>
        <v>विवरण</v>
      </c>
      <c r="AC241" s="7" t="str">
        <f>IFERROR(__xludf.DUMMYFUNCTION("GoogleTranslate(C241, ""en"", ""hu"")"),"Részlet")</f>
        <v>Részlet</v>
      </c>
      <c r="AD241" s="7" t="str">
        <f>IFERROR(__xludf.DUMMYFUNCTION("GoogleTranslate(C241, ""en"", ""is"")"),"Smáatriði")</f>
        <v>Smáatriði</v>
      </c>
      <c r="AE241" s="7" t="str">
        <f>IFERROR(__xludf.DUMMYFUNCTION("GoogleTranslate(C241, ""en"", ""id"")"),"Detil")</f>
        <v>Detil</v>
      </c>
      <c r="AF241" s="7" t="str">
        <f>IFERROR(__xludf.DUMMYFUNCTION("GoogleTranslate(C241, ""en"", ""in"")"),"Detil")</f>
        <v>Detil</v>
      </c>
      <c r="AG241" s="7" t="str">
        <f>IFERROR(__xludf.DUMMYFUNCTION("GoogleTranslate(C241, ""en"", ""it"")"),"Dettaglio")</f>
        <v>Dettaglio</v>
      </c>
      <c r="AH241" s="7" t="str">
        <f>IFERROR(__xludf.DUMMYFUNCTION("GoogleTranslate(C241, ""en"", ""ja"")"),"詳細")</f>
        <v>詳細</v>
      </c>
      <c r="AI241" s="7" t="str">
        <f>IFERROR(__xludf.DUMMYFUNCTION("GoogleTranslate(C241, ""en"", ""kn"")"),"ವಿವರ")</f>
        <v>ವಿವರ</v>
      </c>
      <c r="AJ241" s="7" t="str">
        <f>IFERROR(__xludf.DUMMYFUNCTION("GoogleTranslate(C241, ""en"", ""km"")"),"លម្អិត")</f>
        <v>លម្អិត</v>
      </c>
      <c r="AK241" s="7" t="str">
        <f>IFERROR(__xludf.DUMMYFUNCTION("GoogleTranslate(C241, ""en"", ""ko"")"),"세부 사항")</f>
        <v>세부 사항</v>
      </c>
      <c r="AL241" s="7" t="str">
        <f>IFERROR(__xludf.DUMMYFUNCTION("GoogleTranslate(C241, ""en"", ""lo"")"),"ລາຍລະອຽດ")</f>
        <v>ລາຍລະອຽດ</v>
      </c>
      <c r="AM241" s="7" t="str">
        <f>IFERROR(__xludf.DUMMYFUNCTION("GoogleTranslate(C241, ""en"", ""lv"")"),"Detaļas")</f>
        <v>Detaļas</v>
      </c>
      <c r="AN241" s="7" t="str">
        <f>IFERROR(__xludf.DUMMYFUNCTION("GoogleTranslate(C241, ""en"", ""lt"")"),"Detalė")</f>
        <v>Detalė</v>
      </c>
      <c r="AO241" s="7" t="str">
        <f>IFERROR(__xludf.DUMMYFUNCTION("GoogleTranslate(C241, ""en"", ""mk"")"),"Детал")</f>
        <v>Детал</v>
      </c>
      <c r="AP241" s="7" t="str">
        <f>IFERROR(__xludf.DUMMYFUNCTION("GoogleTranslate(C241, ""en"", ""ms"")"),"Perincian")</f>
        <v>Perincian</v>
      </c>
      <c r="AQ241" s="7" t="str">
        <f>IFERROR(__xludf.DUMMYFUNCTION("GoogleTranslate(C241, ""en"", ""ml"")"),"വിശദാംശങ്ങൾ")</f>
        <v>വിശദാംശങ്ങൾ</v>
      </c>
      <c r="AR241" s="7" t="str">
        <f>IFERROR(__xludf.DUMMYFUNCTION("GoogleTranslate(C241, ""en"", ""mr"")"),"तपशील")</f>
        <v>तपशील</v>
      </c>
      <c r="AS241" s="7" t="str">
        <f>IFERROR(__xludf.DUMMYFUNCTION("GoogleTranslate(C241, ""en"", ""mn"")"),"Дэлгэрэнгүй")</f>
        <v>Дэлгэрэнгүй</v>
      </c>
      <c r="AT241" s="7" t="str">
        <f>IFERROR(__xludf.DUMMYFUNCTION("GoogleTranslate(C241, ""en"", ""ne"")"),"विवरण")</f>
        <v>विवरण</v>
      </c>
      <c r="AU241" s="7" t="str">
        <f>IFERROR(__xludf.DUMMYFUNCTION("GoogleTranslate(C241, ""en"", ""nb"")"),"Detalj")</f>
        <v>Detalj</v>
      </c>
      <c r="AV241" s="7" t="str">
        <f>IFERROR(__xludf.DUMMYFUNCTION("GoogleTranslate(C241, ""en"", ""fa"")"),"جزئیات")</f>
        <v>جزئیات</v>
      </c>
      <c r="AW241" s="7" t="str">
        <f>IFERROR(__xludf.DUMMYFUNCTION("GoogleTranslate(C241, ""en"", ""pl"")"),"Szczegół")</f>
        <v>Szczegół</v>
      </c>
      <c r="AX241" s="7" t="str">
        <f>IFERROR(__xludf.DUMMYFUNCTION("GoogleTranslate(C241, ""en"", ""pt"")"),"Detalhe")</f>
        <v>Detalhe</v>
      </c>
      <c r="AY241" s="7" t="str">
        <f>IFERROR(__xludf.DUMMYFUNCTION("GoogleTranslate(C241, ""en"", ""ro"")"),"Detaliu")</f>
        <v>Detaliu</v>
      </c>
      <c r="AZ241" s="7" t="str">
        <f>IFERROR(__xludf.DUMMYFUNCTION("GoogleTranslate(C241, ""en"", ""ru"")"),"Деталь")</f>
        <v>Деталь</v>
      </c>
      <c r="BA241" s="7" t="str">
        <f>IFERROR(__xludf.DUMMYFUNCTION("GoogleTranslate(C241, ""en"", ""sr"")"),"Детаљ")</f>
        <v>Детаљ</v>
      </c>
      <c r="BB241" s="7" t="str">
        <f>IFERROR(__xludf.DUMMYFUNCTION("GoogleTranslate(C241, ""en"", ""si"")"),"විස්තර")</f>
        <v>විස්තර</v>
      </c>
      <c r="BC241" s="7" t="str">
        <f>IFERROR(__xludf.DUMMYFUNCTION("GoogleTranslate(C241, ""en"", ""sk"")"),"Detail")</f>
        <v>Detail</v>
      </c>
      <c r="BD241" s="7" t="str">
        <f>IFERROR(__xludf.DUMMYFUNCTION("GoogleTranslate(C241, ""en"", ""sl"")"),"Podrobnost")</f>
        <v>Podrobnost</v>
      </c>
      <c r="BE241" s="7" t="str">
        <f>IFERROR(__xludf.DUMMYFUNCTION("GoogleTranslate(C241, ""en"", ""es"")"),"Detalle")</f>
        <v>Detalle</v>
      </c>
      <c r="BF241" s="7" t="str">
        <f>IFERROR(__xludf.DUMMYFUNCTION("GoogleTranslate(C241, ""en"", ""sw"")"),"Maelezo")</f>
        <v>Maelezo</v>
      </c>
      <c r="BG241" s="7" t="str">
        <f>IFERROR(__xludf.DUMMYFUNCTION("GoogleTranslate(C241, ""en"", ""sv"")"),"Detalj")</f>
        <v>Detalj</v>
      </c>
      <c r="BH241" s="7" t="str">
        <f>IFERROR(__xludf.DUMMYFUNCTION("GoogleTranslate(C241, ""en"", ""te"")"),"వివరాలు")</f>
        <v>వివరాలు</v>
      </c>
      <c r="BI241" s="7" t="str">
        <f>IFERROR(__xludf.DUMMYFUNCTION("GoogleTranslate(C241, ""en"", ""th"")"),"รายละเอียด")</f>
        <v>รายละเอียด</v>
      </c>
      <c r="BJ241" s="7" t="str">
        <f>IFERROR(__xludf.DUMMYFUNCTION("GoogleTranslate(C241, ""en"", ""tr"")"),"Detay")</f>
        <v>Detay</v>
      </c>
      <c r="BK241" s="7" t="str">
        <f>IFERROR(__xludf.DUMMYFUNCTION("GoogleTranslate(C241, ""en"", ""uk"")"),"Деталь")</f>
        <v>Деталь</v>
      </c>
      <c r="BL241" s="7" t="str">
        <f>IFERROR(__xludf.DUMMYFUNCTION("GoogleTranslate(C241, ""en"", ""zu"")"),"Imininingwane")</f>
        <v>Imininingwane</v>
      </c>
    </row>
    <row r="242">
      <c r="A242" s="5" t="str">
        <f t="shared" si="1"/>
        <v>Moon_Sign</v>
      </c>
      <c r="B242" s="4" t="s">
        <v>284</v>
      </c>
      <c r="C242" s="4" t="s">
        <v>284</v>
      </c>
      <c r="D242" s="7" t="str">
        <f>IFERROR(__xludf.DUMMYFUNCTION("GoogleTranslate(C242, ""en"", ""es"")"),"signo lunar")</f>
        <v>signo lunar</v>
      </c>
      <c r="E242" s="7" t="str">
        <f>IFERROR(__xludf.DUMMYFUNCTION("GoogleTranslate(C242, ""en"", ""ar"")"),"علامة القمر")</f>
        <v>علامة القمر</v>
      </c>
      <c r="F242" s="7" t="str">
        <f>IFERROR(__xludf.DUMMYFUNCTION("GoogleTranslate(C242, ""en"", ""hy"")"),"Լուսնի նշան")</f>
        <v>Լուսնի նշան</v>
      </c>
      <c r="G242" s="7" t="str">
        <f>IFERROR(__xludf.DUMMYFUNCTION("GoogleTranslate(C242, ""en"", ""vi"")"),"Dấu hiệu mặt trăng")</f>
        <v>Dấu hiệu mặt trăng</v>
      </c>
      <c r="H242" s="7" t="str">
        <f>IFERROR(__xludf.DUMMYFUNCTION("GoogleTranslate(C242, ""en"", ""az"")"),"Ay Bürc")</f>
        <v>Ay Bürc</v>
      </c>
      <c r="I242" s="7" t="str">
        <f>IFERROR(__xludf.DUMMYFUNCTION("GoogleTranslate(C242, ""en"", ""eu"")"),"Ilargiaren seinalea")</f>
        <v>Ilargiaren seinalea</v>
      </c>
      <c r="J242" s="7" t="str">
        <f>IFERROR(__xludf.DUMMYFUNCTION("GoogleTranslate(C242, ""en"", ""be"")"),"Знак месяца")</f>
        <v>Знак месяца</v>
      </c>
      <c r="K242" s="7" t="str">
        <f>IFERROR(__xludf.DUMMYFUNCTION("GoogleTranslate(C242, ""en"", ""bn"")"),"চাঁদের চিহ্ন")</f>
        <v>চাঁদের চিহ্ন</v>
      </c>
      <c r="L242" s="7" t="str">
        <f>IFERROR(__xludf.DUMMYFUNCTION("GoogleTranslate(C242, ""en"", ""bg"")"),"Лунен знак")</f>
        <v>Лунен знак</v>
      </c>
      <c r="M242" s="7" t="str">
        <f>IFERROR(__xludf.DUMMYFUNCTION("GoogleTranslate(C242, ""en"", ""my"")"),"လဆိုင်း")</f>
        <v>လဆိုင်း</v>
      </c>
      <c r="N242" s="7" t="str">
        <f>IFERROR(__xludf.DUMMYFUNCTION("GoogleTranslate(C242, ""en"", ""ca"")"),"Signe de Lluna")</f>
        <v>Signe de Lluna</v>
      </c>
      <c r="O242" s="7" t="str">
        <f>IFERROR(__xludf.DUMMYFUNCTION("GoogleTranslate(C242, ""en"", ""zh-cn"")"),"月亮星座")</f>
        <v>月亮星座</v>
      </c>
      <c r="P242" s="7" t="str">
        <f>IFERROR(__xludf.DUMMYFUNCTION("GoogleTranslate(C242, ""en"", ""zh-TW"")"),"月亮星座")</f>
        <v>月亮星座</v>
      </c>
      <c r="Q242" s="7" t="str">
        <f>IFERROR(__xludf.DUMMYFUNCTION("GoogleTranslate(C242, ""en"", ""hr"")"),"Mjesečev znak")</f>
        <v>Mjesečev znak</v>
      </c>
      <c r="R242" s="7" t="str">
        <f>IFERROR(__xludf.DUMMYFUNCTION("GoogleTranslate(C242, ""en"", ""cs"")"),"Měsíční znamení")</f>
        <v>Měsíční znamení</v>
      </c>
      <c r="S242" s="7" t="str">
        <f>IFERROR(__xludf.DUMMYFUNCTION("GoogleTranslate(C242, ""en"", ""da"")"),"Måne tegn")</f>
        <v>Måne tegn</v>
      </c>
      <c r="T242" s="7" t="str">
        <f>IFERROR(__xludf.DUMMYFUNCTION("GoogleTranslate(C242, ""en"", ""nl"")"),"Maan teken")</f>
        <v>Maan teken</v>
      </c>
      <c r="U242" s="7" t="str">
        <f>IFERROR(__xludf.DUMMYFUNCTION("GoogleTranslate(C242, ""en"", ""et"")"),"Kuu märk")</f>
        <v>Kuu märk</v>
      </c>
      <c r="V242" s="5" t="str">
        <f t="shared" si="3"/>
        <v>Moon Sign</v>
      </c>
      <c r="W242" s="7" t="str">
        <f>IFERROR(__xludf.DUMMYFUNCTION("GoogleTranslate(C242, ""en"", ""fi"")"),"Kuu merkki")</f>
        <v>Kuu merkki</v>
      </c>
      <c r="X242" s="7" t="str">
        <f>IFERROR(__xludf.DUMMYFUNCTION("GoogleTranslate(C242, ""en"", ""fr"")"),"Signe de la Lune")</f>
        <v>Signe de la Lune</v>
      </c>
      <c r="Y242" s="7" t="str">
        <f>IFERROR(__xludf.DUMMYFUNCTION("GoogleTranslate(C242, ""en"", ""de"")"),"Mondzeichen")</f>
        <v>Mondzeichen</v>
      </c>
      <c r="Z242" s="7" t="str">
        <f>IFERROR(__xludf.DUMMYFUNCTION("GoogleTranslate(C242, ""en"", ""el"")"),"Ζώδιο της Σελήνης")</f>
        <v>Ζώδιο της Σελήνης</v>
      </c>
      <c r="AA242" s="7" t="str">
        <f>IFERROR(__xludf.DUMMYFUNCTION("GoogleTranslate(C242, ""en"", ""iw"")"),"סימן ירח")</f>
        <v>סימן ירח</v>
      </c>
      <c r="AB242" s="7" t="str">
        <f>IFERROR(__xludf.DUMMYFUNCTION("GoogleTranslate(C242, ""en"", ""hi"")"),"राशि")</f>
        <v>राशि</v>
      </c>
      <c r="AC242" s="7" t="str">
        <f>IFERROR(__xludf.DUMMYFUNCTION("GoogleTranslate(C242, ""en"", ""hu"")"),"Hold jel")</f>
        <v>Hold jel</v>
      </c>
      <c r="AD242" s="7" t="str">
        <f>IFERROR(__xludf.DUMMYFUNCTION("GoogleTranslate(C242, ""en"", ""is"")"),"Tunglmerki")</f>
        <v>Tunglmerki</v>
      </c>
      <c r="AE242" s="7" t="str">
        <f>IFERROR(__xludf.DUMMYFUNCTION("GoogleTranslate(C242, ""en"", ""id"")"),"Tanda Bulan")</f>
        <v>Tanda Bulan</v>
      </c>
      <c r="AF242" s="7" t="str">
        <f>IFERROR(__xludf.DUMMYFUNCTION("GoogleTranslate(C242, ""en"", ""in"")"),"Tanda Bulan")</f>
        <v>Tanda Bulan</v>
      </c>
      <c r="AG242" s="7" t="str">
        <f>IFERROR(__xludf.DUMMYFUNCTION("GoogleTranslate(C242, ""en"", ""it"")"),"Segno della Luna")</f>
        <v>Segno della Luna</v>
      </c>
      <c r="AH242" s="7" t="str">
        <f>IFERROR(__xludf.DUMMYFUNCTION("GoogleTranslate(C242, ""en"", ""ja"")"),"月星座")</f>
        <v>月星座</v>
      </c>
      <c r="AI242" s="7" t="str">
        <f>IFERROR(__xludf.DUMMYFUNCTION("GoogleTranslate(C242, ""en"", ""kn"")"),"ಚಂದ್ರನ ಚಿಹ್ನೆ")</f>
        <v>ಚಂದ್ರನ ಚಿಹ್ನೆ</v>
      </c>
      <c r="AJ242" s="7" t="str">
        <f>IFERROR(__xludf.DUMMYFUNCTION("GoogleTranslate(C242, ""en"", ""km"")"),"សញ្ញាព្រះច័ន្ទ")</f>
        <v>សញ្ញាព្រះច័ន្ទ</v>
      </c>
      <c r="AK242" s="7" t="str">
        <f>IFERROR(__xludf.DUMMYFUNCTION("GoogleTranslate(C242, ""en"", ""ko"")"),"달 사인")</f>
        <v>달 사인</v>
      </c>
      <c r="AL242" s="7" t="str">
        <f>IFERROR(__xludf.DUMMYFUNCTION("GoogleTranslate(C242, ""en"", ""lo"")"),"ປ້າຍວົງເດືອນ")</f>
        <v>ປ້າຍວົງເດືອນ</v>
      </c>
      <c r="AM242" s="7" t="str">
        <f>IFERROR(__xludf.DUMMYFUNCTION("GoogleTranslate(C242, ""en"", ""lv"")"),"Mēness zīme")</f>
        <v>Mēness zīme</v>
      </c>
      <c r="AN242" s="7" t="str">
        <f>IFERROR(__xludf.DUMMYFUNCTION("GoogleTranslate(C242, ""en"", ""lt"")"),"Mėnulio ženklas")</f>
        <v>Mėnulio ženklas</v>
      </c>
      <c r="AO242" s="7" t="str">
        <f>IFERROR(__xludf.DUMMYFUNCTION("GoogleTranslate(C242, ""en"", ""mk"")"),"Знак на Месечината")</f>
        <v>Знак на Месечината</v>
      </c>
      <c r="AP242" s="7" t="str">
        <f>IFERROR(__xludf.DUMMYFUNCTION("GoogleTranslate(C242, ""en"", ""ms"")"),"Tanda Bulan")</f>
        <v>Tanda Bulan</v>
      </c>
      <c r="AQ242" s="7" t="str">
        <f>IFERROR(__xludf.DUMMYFUNCTION("GoogleTranslate(C242, ""en"", ""ml"")"),"ചന്ദ്രൻ്റെ അടയാളം")</f>
        <v>ചന്ദ്രൻ്റെ അടയാളം</v>
      </c>
      <c r="AR242" s="7" t="str">
        <f>IFERROR(__xludf.DUMMYFUNCTION("GoogleTranslate(C242, ""en"", ""mr"")"),"चंद्र चिन्ह")</f>
        <v>चंद्र चिन्ह</v>
      </c>
      <c r="AS242" s="7" t="str">
        <f>IFERROR(__xludf.DUMMYFUNCTION("GoogleTranslate(C242, ""en"", ""mn"")"),"Сарны тэмдэг")</f>
        <v>Сарны тэмдэг</v>
      </c>
      <c r="AT242" s="7" t="str">
        <f>IFERROR(__xludf.DUMMYFUNCTION("GoogleTranslate(C242, ""en"", ""ne"")"),"चन्द्रमा चिन्ह")</f>
        <v>चन्द्रमा चिन्ह</v>
      </c>
      <c r="AU242" s="7" t="str">
        <f>IFERROR(__xludf.DUMMYFUNCTION("GoogleTranslate(C242, ""en"", ""nb"")"),"Månetegn")</f>
        <v>Månetegn</v>
      </c>
      <c r="AV242" s="7" t="str">
        <f>IFERROR(__xludf.DUMMYFUNCTION("GoogleTranslate(C242, ""en"", ""fa"")"),"علامت ماه")</f>
        <v>علامت ماه</v>
      </c>
      <c r="AW242" s="7" t="str">
        <f>IFERROR(__xludf.DUMMYFUNCTION("GoogleTranslate(C242, ""en"", ""pl"")"),"Znak Księżyca")</f>
        <v>Znak Księżyca</v>
      </c>
      <c r="AX242" s="7" t="str">
        <f>IFERROR(__xludf.DUMMYFUNCTION("GoogleTranslate(C242, ""en"", ""pt"")"),"Signo da Lua")</f>
        <v>Signo da Lua</v>
      </c>
      <c r="AY242" s="7" t="str">
        <f>IFERROR(__xludf.DUMMYFUNCTION("GoogleTranslate(C242, ""en"", ""ro"")"),"Semnul Lunii")</f>
        <v>Semnul Lunii</v>
      </c>
      <c r="AZ242" s="7" t="str">
        <f>IFERROR(__xludf.DUMMYFUNCTION("GoogleTranslate(C242, ""en"", ""ru"")"),"Лунный знак")</f>
        <v>Лунный знак</v>
      </c>
      <c r="BA242" s="7" t="str">
        <f>IFERROR(__xludf.DUMMYFUNCTION("GoogleTranslate(C242, ""en"", ""sr"")"),"Моон Сигн")</f>
        <v>Моон Сигн</v>
      </c>
      <c r="BB242" s="7" t="str">
        <f>IFERROR(__xludf.DUMMYFUNCTION("GoogleTranslate(C242, ""en"", ""si"")"),"සඳ ලකුණ")</f>
        <v>සඳ ලකුණ</v>
      </c>
      <c r="BC242" s="7" t="str">
        <f>IFERROR(__xludf.DUMMYFUNCTION("GoogleTranslate(C242, ""en"", ""sk"")"),"Mesačné znamenie")</f>
        <v>Mesačné znamenie</v>
      </c>
      <c r="BD242" s="7" t="str">
        <f>IFERROR(__xludf.DUMMYFUNCTION("GoogleTranslate(C242, ""en"", ""sl"")"),"Lunino znamenje")</f>
        <v>Lunino znamenje</v>
      </c>
      <c r="BE242" s="7" t="str">
        <f>IFERROR(__xludf.DUMMYFUNCTION("GoogleTranslate(C242, ""en"", ""es"")"),"signo lunar")</f>
        <v>signo lunar</v>
      </c>
      <c r="BF242" s="7" t="str">
        <f>IFERROR(__xludf.DUMMYFUNCTION("GoogleTranslate(C242, ""en"", ""sw"")"),"Ishara ya Mwezi")</f>
        <v>Ishara ya Mwezi</v>
      </c>
      <c r="BG242" s="7" t="str">
        <f>IFERROR(__xludf.DUMMYFUNCTION("GoogleTranslate(C242, ""en"", ""sv"")"),"Månen tecken")</f>
        <v>Månen tecken</v>
      </c>
      <c r="BH242" s="7" t="str">
        <f>IFERROR(__xludf.DUMMYFUNCTION("GoogleTranslate(C242, ""en"", ""te"")"),"చంద్రుని సంకేతం")</f>
        <v>చంద్రుని సంకేతం</v>
      </c>
      <c r="BI242" s="7" t="str">
        <f>IFERROR(__xludf.DUMMYFUNCTION("GoogleTranslate(C242, ""en"", ""th"")"),"ป้ายพระจันทร์")</f>
        <v>ป้ายพระจันทร์</v>
      </c>
      <c r="BJ242" s="7" t="str">
        <f>IFERROR(__xludf.DUMMYFUNCTION("GoogleTranslate(C242, ""en"", ""tr"")"),"Ay Burcu")</f>
        <v>Ay Burcu</v>
      </c>
      <c r="BK242" s="7" t="str">
        <f>IFERROR(__xludf.DUMMYFUNCTION("GoogleTranslate(C242, ""en"", ""uk"")"),"Місячний знак")</f>
        <v>Місячний знак</v>
      </c>
      <c r="BL242" s="7" t="str">
        <f>IFERROR(__xludf.DUMMYFUNCTION("GoogleTranslate(C242, ""en"", ""zu"")"),"Uphawu Lwenyanga")</f>
        <v>Uphawu Lwenyanga</v>
      </c>
    </row>
    <row r="243">
      <c r="A243" s="5" t="str">
        <f t="shared" si="1"/>
        <v>Next_New_Moon</v>
      </c>
      <c r="B243" s="4" t="s">
        <v>208</v>
      </c>
      <c r="C243" s="4" t="s">
        <v>208</v>
      </c>
      <c r="D243" s="7" t="str">
        <f>IFERROR(__xludf.DUMMYFUNCTION("GoogleTranslate(C243, ""en"", ""es"")"),"Próxima Luna Nueva")</f>
        <v>Próxima Luna Nueva</v>
      </c>
      <c r="E243" s="7" t="str">
        <f>IFERROR(__xludf.DUMMYFUNCTION("GoogleTranslate(C243, ""en"", ""ar"")"),"القمر الجديد القادم")</f>
        <v>القمر الجديد القادم</v>
      </c>
      <c r="F243" s="7" t="str">
        <f>IFERROR(__xludf.DUMMYFUNCTION("GoogleTranslate(C243, ""en"", ""hy"")"),"Հաջորդ Նոր լուսինը")</f>
        <v>Հաջորդ Նոր լուսինը</v>
      </c>
      <c r="G243" s="7" t="str">
        <f>IFERROR(__xludf.DUMMYFUNCTION("GoogleTranslate(C243, ""en"", ""vi"")"),"Trăng non tiếp theo")</f>
        <v>Trăng non tiếp theo</v>
      </c>
      <c r="H243" s="7" t="str">
        <f>IFERROR(__xludf.DUMMYFUNCTION("GoogleTranslate(C243, ""en"", ""az"")"),"Növbəti Yeni Ay")</f>
        <v>Növbəti Yeni Ay</v>
      </c>
      <c r="I243" s="7" t="str">
        <f>IFERROR(__xludf.DUMMYFUNCTION("GoogleTranslate(C243, ""en"", ""eu"")"),"Hurrengo Ilberria")</f>
        <v>Hurrengo Ilberria</v>
      </c>
      <c r="J243" s="7" t="str">
        <f>IFERROR(__xludf.DUMMYFUNCTION("GoogleTranslate(C243, ""en"", ""be"")"),"Наступны маладзік")</f>
        <v>Наступны маладзік</v>
      </c>
      <c r="K243" s="7" t="str">
        <f>IFERROR(__xludf.DUMMYFUNCTION("GoogleTranslate(C243, ""en"", ""bn"")"),"পরের অমাবস্যা")</f>
        <v>পরের অমাবস্যা</v>
      </c>
      <c r="L243" s="7" t="str">
        <f>IFERROR(__xludf.DUMMYFUNCTION("GoogleTranslate(C243, ""en"", ""bg"")"),"Следващото новолуние")</f>
        <v>Следващото новолуние</v>
      </c>
      <c r="M243" s="7" t="str">
        <f>IFERROR(__xludf.DUMMYFUNCTION("GoogleTranslate(C243, ""en"", ""my"")"),"နောက်လဆန်း")</f>
        <v>နောက်လဆန်း</v>
      </c>
      <c r="N243" s="7" t="str">
        <f>IFERROR(__xludf.DUMMYFUNCTION("GoogleTranslate(C243, ""en"", ""ca"")"),"La propera lluna nova")</f>
        <v>La propera lluna nova</v>
      </c>
      <c r="O243" s="7" t="str">
        <f>IFERROR(__xludf.DUMMYFUNCTION("GoogleTranslate(C243, ""en"", ""zh-cn"")"),"下一个新月")</f>
        <v>下一个新月</v>
      </c>
      <c r="P243" s="7" t="str">
        <f>IFERROR(__xludf.DUMMYFUNCTION("GoogleTranslate(C243, ""en"", ""zh-TW"")"),"下一個新月")</f>
        <v>下一個新月</v>
      </c>
      <c r="Q243" s="7" t="str">
        <f>IFERROR(__xludf.DUMMYFUNCTION("GoogleTranslate(C243, ""en"", ""hr"")"),"Sljedeći mladi mjesec")</f>
        <v>Sljedeći mladi mjesec</v>
      </c>
      <c r="R243" s="7" t="str">
        <f>IFERROR(__xludf.DUMMYFUNCTION("GoogleTranslate(C243, ""en"", ""cs"")"),"Příští novoluní")</f>
        <v>Příští novoluní</v>
      </c>
      <c r="S243" s="7" t="str">
        <f>IFERROR(__xludf.DUMMYFUNCTION("GoogleTranslate(C243, ""en"", ""da"")"),"Næste nymåne")</f>
        <v>Næste nymåne</v>
      </c>
      <c r="T243" s="7" t="str">
        <f>IFERROR(__xludf.DUMMYFUNCTION("GoogleTranslate(C243, ""en"", ""nl"")"),"Volgende Nieuwe Maan")</f>
        <v>Volgende Nieuwe Maan</v>
      </c>
      <c r="U243" s="7" t="str">
        <f>IFERROR(__xludf.DUMMYFUNCTION("GoogleTranslate(C243, ""en"", ""et"")"),"Järgmine noorkuu")</f>
        <v>Järgmine noorkuu</v>
      </c>
      <c r="V243" s="5" t="str">
        <f t="shared" si="3"/>
        <v>Next New Moon</v>
      </c>
      <c r="W243" s="7" t="str">
        <f>IFERROR(__xludf.DUMMYFUNCTION("GoogleTranslate(C243, ""en"", ""fi"")"),"Seuraava uusikuu")</f>
        <v>Seuraava uusikuu</v>
      </c>
      <c r="X243" s="7" t="str">
        <f>IFERROR(__xludf.DUMMYFUNCTION("GoogleTranslate(C243, ""en"", ""fr"")"),"Prochaine Nouvelle Lune")</f>
        <v>Prochaine Nouvelle Lune</v>
      </c>
      <c r="Y243" s="7" t="str">
        <f>IFERROR(__xludf.DUMMYFUNCTION("GoogleTranslate(C243, ""en"", ""de"")"),"Nächster Neumond")</f>
        <v>Nächster Neumond</v>
      </c>
      <c r="Z243" s="7" t="str">
        <f>IFERROR(__xludf.DUMMYFUNCTION("GoogleTranslate(C243, ""en"", ""el"")"),"Επόμενη Νέα Σελήνη")</f>
        <v>Επόμενη Νέα Σελήνη</v>
      </c>
      <c r="AA243" s="7" t="str">
        <f>IFERROR(__xludf.DUMMYFUNCTION("GoogleTranslate(C243, ""en"", ""iw"")"),"ירח חדש הבא")</f>
        <v>ירח חדש הבא</v>
      </c>
      <c r="AB243" s="7" t="str">
        <f>IFERROR(__xludf.DUMMYFUNCTION("GoogleTranslate(C243, ""en"", ""hi"")"),"अगला अमावस्या")</f>
        <v>अगला अमावस्या</v>
      </c>
      <c r="AC243" s="7" t="str">
        <f>IFERROR(__xludf.DUMMYFUNCTION("GoogleTranslate(C243, ""en"", ""hu"")"),"Következő Újhold")</f>
        <v>Következő Újhold</v>
      </c>
      <c r="AD243" s="7" t="str">
        <f>IFERROR(__xludf.DUMMYFUNCTION("GoogleTranslate(C243, ""en"", ""is"")"),"Næsta nýtt tungl")</f>
        <v>Næsta nýtt tungl</v>
      </c>
      <c r="AE243" s="7" t="str">
        <f>IFERROR(__xludf.DUMMYFUNCTION("GoogleTranslate(C243, ""en"", ""id"")"),"Bulan Baru berikutnya")</f>
        <v>Bulan Baru berikutnya</v>
      </c>
      <c r="AF243" s="7" t="str">
        <f>IFERROR(__xludf.DUMMYFUNCTION("GoogleTranslate(C243, ""en"", ""in"")"),"Bulan Baru berikutnya")</f>
        <v>Bulan Baru berikutnya</v>
      </c>
      <c r="AG243" s="7" t="str">
        <f>IFERROR(__xludf.DUMMYFUNCTION("GoogleTranslate(C243, ""en"", ""it"")"),"Prossima Luna Nuova")</f>
        <v>Prossima Luna Nuova</v>
      </c>
      <c r="AH243" s="7" t="str">
        <f>IFERROR(__xludf.DUMMYFUNCTION("GoogleTranslate(C243, ""en"", ""ja"")"),"次の新月")</f>
        <v>次の新月</v>
      </c>
      <c r="AI243" s="7" t="str">
        <f>IFERROR(__xludf.DUMMYFUNCTION("GoogleTranslate(C243, ""en"", ""kn"")"),"ಮುಂದಿನ ಅಮಾವಾಸ್ಯೆ")</f>
        <v>ಮುಂದಿನ ಅಮಾವಾಸ್ಯೆ</v>
      </c>
      <c r="AJ243" s="7" t="str">
        <f>IFERROR(__xludf.DUMMYFUNCTION("GoogleTranslate(C243, ""en"", ""km"")"),"ព្រះច័ន្ទថ្មីបន្ទាប់")</f>
        <v>ព្រះច័ន្ទថ្មីបន្ទាប់</v>
      </c>
      <c r="AK243" s="7" t="str">
        <f>IFERROR(__xludf.DUMMYFUNCTION("GoogleTranslate(C243, ""en"", ""ko"")"),"다음 뉴문")</f>
        <v>다음 뉴문</v>
      </c>
      <c r="AL243" s="7" t="str">
        <f>IFERROR(__xludf.DUMMYFUNCTION("GoogleTranslate(C243, ""en"", ""lo"")"),"ດວງເດືອນໃໝ່ຕໍ່ໄປ")</f>
        <v>ດວງເດືອນໃໝ່ຕໍ່ໄປ</v>
      </c>
      <c r="AM243" s="7" t="str">
        <f>IFERROR(__xludf.DUMMYFUNCTION("GoogleTranslate(C243, ""en"", ""lv"")"),"Nākamais Jauns Mēness")</f>
        <v>Nākamais Jauns Mēness</v>
      </c>
      <c r="AN243" s="7" t="str">
        <f>IFERROR(__xludf.DUMMYFUNCTION("GoogleTranslate(C243, ""en"", ""lt"")"),"Kitas jaunatis")</f>
        <v>Kitas jaunatis</v>
      </c>
      <c r="AO243" s="7" t="str">
        <f>IFERROR(__xludf.DUMMYFUNCTION("GoogleTranslate(C243, ""en"", ""mk"")"),"Следна нова месечина")</f>
        <v>Следна нова месечина</v>
      </c>
      <c r="AP243" s="7" t="str">
        <f>IFERROR(__xludf.DUMMYFUNCTION("GoogleTranslate(C243, ""en"", ""ms"")"),"Bulan Baru Seterusnya")</f>
        <v>Bulan Baru Seterusnya</v>
      </c>
      <c r="AQ243" s="7" t="str">
        <f>IFERROR(__xludf.DUMMYFUNCTION("GoogleTranslate(C243, ""en"", ""ml"")"),"അടുത്ത അമാവാസി")</f>
        <v>അടുത്ത അമാവാസി</v>
      </c>
      <c r="AR243" s="7" t="str">
        <f>IFERROR(__xludf.DUMMYFUNCTION("GoogleTranslate(C243, ""en"", ""mr"")"),"पुढील नवीन चंद्र")</f>
        <v>पुढील नवीन चंद्र</v>
      </c>
      <c r="AS243" s="7" t="str">
        <f>IFERROR(__xludf.DUMMYFUNCTION("GoogleTranslate(C243, ""en"", ""mn"")"),"Дараагийн шинэ сар")</f>
        <v>Дараагийн шинэ сар</v>
      </c>
      <c r="AT243" s="7" t="str">
        <f>IFERROR(__xludf.DUMMYFUNCTION("GoogleTranslate(C243, ""en"", ""ne"")"),"अर्को नयाँ चन्द्रमा")</f>
        <v>अर्को नयाँ चन्द्रमा</v>
      </c>
      <c r="AU243" s="7" t="str">
        <f>IFERROR(__xludf.DUMMYFUNCTION("GoogleTranslate(C243, ""en"", ""nb"")"),"Neste nymåne")</f>
        <v>Neste nymåne</v>
      </c>
      <c r="AV243" s="7" t="str">
        <f>IFERROR(__xludf.DUMMYFUNCTION("GoogleTranslate(C243, ""en"", ""fa"")"),"ماه نو بعدی")</f>
        <v>ماه نو بعدی</v>
      </c>
      <c r="AW243" s="7" t="str">
        <f>IFERROR(__xludf.DUMMYFUNCTION("GoogleTranslate(C243, ""en"", ""pl"")"),"Następny Księżyc w nowiu")</f>
        <v>Następny Księżyc w nowiu</v>
      </c>
      <c r="AX243" s="7" t="str">
        <f>IFERROR(__xludf.DUMMYFUNCTION("GoogleTranslate(C243, ""en"", ""pt"")"),"Próxima Lua Nova")</f>
        <v>Próxima Lua Nova</v>
      </c>
      <c r="AY243" s="7" t="str">
        <f>IFERROR(__xludf.DUMMYFUNCTION("GoogleTranslate(C243, ""en"", ""ro"")"),"Următoarea Lună Nouă")</f>
        <v>Următoarea Lună Nouă</v>
      </c>
      <c r="AZ243" s="7" t="str">
        <f>IFERROR(__xludf.DUMMYFUNCTION("GoogleTranslate(C243, ""en"", ""ru"")"),"Следующее новолуние")</f>
        <v>Следующее новолуние</v>
      </c>
      <c r="BA243" s="7" t="str">
        <f>IFERROR(__xludf.DUMMYFUNCTION("GoogleTranslate(C243, ""en"", ""sr"")"),"Следећи млад месец")</f>
        <v>Следећи млад месец</v>
      </c>
      <c r="BB243" s="7" t="str">
        <f>IFERROR(__xludf.DUMMYFUNCTION("GoogleTranslate(C243, ""en"", ""si"")"),"ඊළඟ නව සඳ")</f>
        <v>ඊළඟ නව සඳ</v>
      </c>
      <c r="BC243" s="7" t="str">
        <f>IFERROR(__xludf.DUMMYFUNCTION("GoogleTranslate(C243, ""en"", ""sk"")"),"Ďalší Nový Mesiac")</f>
        <v>Ďalší Nový Mesiac</v>
      </c>
      <c r="BD243" s="7" t="str">
        <f>IFERROR(__xludf.DUMMYFUNCTION("GoogleTranslate(C243, ""en"", ""sl"")"),"Naslednja mlada luna")</f>
        <v>Naslednja mlada luna</v>
      </c>
      <c r="BE243" s="7" t="str">
        <f>IFERROR(__xludf.DUMMYFUNCTION("GoogleTranslate(C243, ""en"", ""es"")"),"Próxima Luna Nueva")</f>
        <v>Próxima Luna Nueva</v>
      </c>
      <c r="BF243" s="7" t="str">
        <f>IFERROR(__xludf.DUMMYFUNCTION("GoogleTranslate(C243, ""en"", ""sw"")"),"Mwezi Mpya Ujao")</f>
        <v>Mwezi Mpya Ujao</v>
      </c>
      <c r="BG243" s="7" t="str">
        <f>IFERROR(__xludf.DUMMYFUNCTION("GoogleTranslate(C243, ""en"", ""sv"")"),"Nästa nymåne")</f>
        <v>Nästa nymåne</v>
      </c>
      <c r="BH243" s="7" t="str">
        <f>IFERROR(__xludf.DUMMYFUNCTION("GoogleTranslate(C243, ""en"", ""te"")"),"తదుపరి అమావాస్య")</f>
        <v>తదుపరి అమావాస్య</v>
      </c>
      <c r="BI243" s="7" t="str">
        <f>IFERROR(__xludf.DUMMYFUNCTION("GoogleTranslate(C243, ""en"", ""th"")"),"พระจันทร์ใหม่ถัดไป")</f>
        <v>พระจันทร์ใหม่ถัดไป</v>
      </c>
      <c r="BJ243" s="7" t="str">
        <f>IFERROR(__xludf.DUMMYFUNCTION("GoogleTranslate(C243, ""en"", ""tr"")"),"Sonraki Yeni Ay")</f>
        <v>Sonraki Yeni Ay</v>
      </c>
      <c r="BK243" s="7" t="str">
        <f>IFERROR(__xludf.DUMMYFUNCTION("GoogleTranslate(C243, ""en"", ""uk"")"),"Наступний молодий місяць")</f>
        <v>Наступний молодий місяць</v>
      </c>
      <c r="BL243" s="7" t="str">
        <f>IFERROR(__xludf.DUMMYFUNCTION("GoogleTranslate(C243, ""en"", ""zu"")"),"Inyanga Entsha Elandelayo")</f>
        <v>Inyanga Entsha Elandelayo</v>
      </c>
    </row>
    <row r="244">
      <c r="A244" s="5" t="str">
        <f t="shared" si="1"/>
        <v>©_2024_BacHaWeather,_Inc._"BacHaWeather"_and_sun_design_are_registered_trademarks_of_BacHaWeather,_Inc._All_Rights_Reserved.</v>
      </c>
      <c r="B244" s="4" t="s">
        <v>285</v>
      </c>
      <c r="C244" s="4" t="s">
        <v>285</v>
      </c>
      <c r="D244" s="7" t="str">
        <f>IFERROR(__xludf.DUMMYFUNCTION("GoogleTranslate(C244, ""en"", ""es"")"),"© 2024 BacHaWeather, Inc. ""BacHaWeather"" y el diseño del sol son marcas comerciales registradas de BacHaWeather, Inc. Todos los derechos reservados.")</f>
        <v>© 2024 BacHaWeather, Inc. "BacHaWeather" y el diseño del sol son marcas comerciales registradas de BacHaWeather, Inc. Todos los derechos reservados.</v>
      </c>
      <c r="E244" s="7" t="str">
        <f>IFERROR(__xludf.DUMMYFUNCTION("GoogleTranslate(C244, ""en"", ""ar"")"),"© 2024 BacHaWeather, Inc. ""BacHaWeather"" وتصميم الشمس هما علامتان تجاريتان مسجلتان لشركة BacHaWeather, Inc. جميع الحقوق محفوظة.")</f>
        <v>© 2024 BacHaWeather, Inc. "BacHaWeather" وتصميم الشمس هما علامتان تجاريتان مسجلتان لشركة BacHaWeather, Inc. جميع الحقوق محفوظة.</v>
      </c>
      <c r="F244" s="7" t="str">
        <f>IFERROR(__xludf.DUMMYFUNCTION("GoogleTranslate(C244, ""en"", ""hy"")"),"© 2024 BacHaWeather, Inc. «BacHaWeather» և sun design-ը BacHaWeather, Inc.-ի գրանցված ապրանքանիշերն են: Բոլոր իրավունքները պաշտպանված են:")</f>
        <v>© 2024 BacHaWeather, Inc. «BacHaWeather» և sun design-ը BacHaWeather, Inc.-ի գրանցված ապրանքանիշերն են: Բոլոր իրավունքները պաշտպանված են:</v>
      </c>
      <c r="G244" s="7" t="str">
        <f>IFERROR(__xludf.DUMMYFUNCTION("GoogleTranslate(C244, ""en"", ""vi"")"),"© 2024 BacHaWeather, Inc. ""BacHaWeather"" và thiết kế mặt trời là thương hiệu đã đăng ký của BacHaWeather, Inc. Mọi quyền được bảo lưu.")</f>
        <v>© 2024 BacHaWeather, Inc. "BacHaWeather" và thiết kế mặt trời là thương hiệu đã đăng ký của BacHaWeather, Inc. Mọi quyền được bảo lưu.</v>
      </c>
      <c r="H244" s="7" t="str">
        <f>IFERROR(__xludf.DUMMYFUNCTION("GoogleTranslate(C244, ""en"", ""az"")"),"© 2024 BacHaWeather, Inc. ""BacHaWeather"" və günəş dizaynı BacHaWeather, Inc şirkətinin qeydə alınmış ticarət nişanlarıdır. Bütün hüquqlar qorunur.")</f>
        <v>© 2024 BacHaWeather, Inc. "BacHaWeather" və günəş dizaynı BacHaWeather, Inc şirkətinin qeydə alınmış ticarət nişanlarıdır. Bütün hüquqlar qorunur.</v>
      </c>
      <c r="I244" s="7" t="str">
        <f>IFERROR(__xludf.DUMMYFUNCTION("GoogleTranslate(C244, ""en"", ""eu"")"),"© 2024 BacHaWeather, Inc. ""BacHaWeather"" eta eguzkiaren diseinua BacHaWeather, Inc-ren marka erregistratuak dira. Eskubide guztiak erreserbatuta.")</f>
        <v>© 2024 BacHaWeather, Inc. "BacHaWeather" eta eguzkiaren diseinua BacHaWeather, Inc-ren marka erregistratuak dira. Eskubide guztiak erreserbatuta.</v>
      </c>
      <c r="J244" s="7" t="str">
        <f>IFERROR(__xludf.DUMMYFUNCTION("GoogleTranslate(C244, ""en"", ""be"")"),"© 2024 BacHaWeather, Inc. «BacHaWeather» і sun design з'яўляюцца зарэгістраванымі гандлёвымі маркамі BacHaWeather, Inc. Усе правы абаронены.")</f>
        <v>© 2024 BacHaWeather, Inc. «BacHaWeather» і sun design з'яўляюцца зарэгістраванымі гандлёвымі маркамі BacHaWeather, Inc. Усе правы абаронены.</v>
      </c>
      <c r="K244" s="7" t="str">
        <f>IFERROR(__xludf.DUMMYFUNCTION("GoogleTranslate(C244, ""en"", ""bn"")"),"© 2024 BacHaWeather, Inc. ""BacHaWeather"" এবং সূর্যের নকশা BacHaWeather, Inc এর নিবন্ধিত ট্রেডমার্ক। সর্বস্বত্ব সংরক্ষিত৷")</f>
        <v>© 2024 BacHaWeather, Inc. "BacHaWeather" এবং সূর্যের নকশা BacHaWeather, Inc এর নিবন্ধিত ট্রেডমার্ক। সর্বস্বত্ব সংরক্ষিত৷</v>
      </c>
      <c r="L244" s="7" t="str">
        <f>IFERROR(__xludf.DUMMYFUNCTION("GoogleTranslate(C244, ""en"", ""bg"")"),"© 2024 BacHaWeather, Inc. „BacHaWeather“ и sun design са регистрирани търговски марки на BacHaWeather, Inc. Всички права запазени.")</f>
        <v>© 2024 BacHaWeather, Inc. „BacHaWeather“ и sun design са регистрирани търговски марки на BacHaWeather, Inc. Всички права запазени.</v>
      </c>
      <c r="M244" s="7" t="str">
        <f>IFERROR(__xludf.DUMMYFUNCTION("GoogleTranslate(C244, ""en"", ""my"")"),"© 2024 BacHaWeather, Inc. ""BacHaWeather"" နှင့် နေဒီဇိုင်းများသည် BacHaWeather, Inc. ၏ မှတ်ပုံတင်ထားသော ကုန်အမှတ်တံဆိပ်များဖြစ်သည်။")</f>
        <v>© 2024 BacHaWeather, Inc. "BacHaWeather" နှင့် နေဒီဇိုင်းများသည် BacHaWeather, Inc. ၏ မှတ်ပုံတင်ထားသော ကုန်အမှတ်တံဆိပ်များဖြစ်သည်။</v>
      </c>
      <c r="N244" s="7" t="str">
        <f>IFERROR(__xludf.DUMMYFUNCTION("GoogleTranslate(C244, ""en"", ""ca"")"),"© 2024 BacHaWeather, Inc. ""BacHaWeather"" i el disseny del sol són marques registrades de BacHaWeather, Inc. Tots els drets reservats.")</f>
        <v>© 2024 BacHaWeather, Inc. "BacHaWeather" i el disseny del sol són marques registrades de BacHaWeather, Inc. Tots els drets reservats.</v>
      </c>
      <c r="O244" s="7" t="str">
        <f>IFERROR(__xludf.DUMMYFUNCTION("GoogleTranslate(C244, ""en"", ""zh-cn"")"),"© 2024 BacHaWeather, Inc.“BacHaWeather”和太阳设计是 BacHaWeather, Inc. 的注册商标。保留所有权利。")</f>
        <v>© 2024 BacHaWeather, Inc.“BacHaWeather”和太阳设计是 BacHaWeather, Inc. 的注册商标。保留所有权利。</v>
      </c>
      <c r="P244" s="7" t="str">
        <f>IFERROR(__xludf.DUMMYFUNCTION("GoogleTranslate(C244, ""en"", ""zh-TW"")"),"© 2024 BacHaWeather, Inc.「BacHaWeather」和太陽設計是 BacHaWeather, Inc. 的註冊商標。")</f>
        <v>© 2024 BacHaWeather, Inc.「BacHaWeather」和太陽設計是 BacHaWeather, Inc. 的註冊商標。</v>
      </c>
      <c r="Q244" s="7" t="str">
        <f>IFERROR(__xludf.DUMMYFUNCTION("GoogleTranslate(C244, ""en"", ""hr"")"),"© 2024 BacHaWeather, Inc. ""BacHaWeather"" i sun design registrirani su zaštitni znaci tvrtke BacHaWeather, Inc. Sva prava pridržana.")</f>
        <v>© 2024 BacHaWeather, Inc. "BacHaWeather" i sun design registrirani su zaštitni znaci tvrtke BacHaWeather, Inc. Sva prava pridržana.</v>
      </c>
      <c r="R244" s="7" t="str">
        <f>IFERROR(__xludf.DUMMYFUNCTION("GoogleTranslate(C244, ""en"", ""cs"")"),"© 2024 BacHaWeather, Inc. „BacHaWeather“ a sun design jsou registrované ochranné známky společnosti BacHaWeather, Inc. Všechna práva vyhrazena.")</f>
        <v>© 2024 BacHaWeather, Inc. „BacHaWeather“ a sun design jsou registrované ochranné známky společnosti BacHaWeather, Inc. Všechna práva vyhrazena.</v>
      </c>
      <c r="S244" s="7" t="str">
        <f>IFERROR(__xludf.DUMMYFUNCTION("GoogleTranslate(C244, ""en"", ""da"")"),"© 2024 BacHaWeather, Inc. ""BacHaWeather"" og soldesign er registrerede varemærker tilhørende BacHaWeather, Inc. Alle rettigheder forbeholdes.")</f>
        <v>© 2024 BacHaWeather, Inc. "BacHaWeather" og soldesign er registrerede varemærker tilhørende BacHaWeather, Inc. Alle rettigheder forbeholdes.</v>
      </c>
      <c r="T244" s="7" t="str">
        <f>IFERROR(__xludf.DUMMYFUNCTION("GoogleTranslate(C244, ""en"", ""nl"")"),"© 2024 BacHaWeather, Inc. ""BacHaWeather"" en het zonontwerp zijn geregistreerde handelsmerken van BacHaWeather, Inc. Alle rechten voorbehouden.")</f>
        <v>© 2024 BacHaWeather, Inc. "BacHaWeather" en het zonontwerp zijn geregistreerde handelsmerken van BacHaWeather, Inc. Alle rechten voorbehouden.</v>
      </c>
      <c r="U244" s="7" t="str">
        <f>IFERROR(__xludf.DUMMYFUNCTION("GoogleTranslate(C244, ""en"", ""et"")"),"© 2024 BacHaWeather, Inc. ""BacHaWeather"" ja päikesekujundus on ettevõtte BacHaWeather, Inc. registreeritud kaubamärgid. Kõik õigused kaitstud.")</f>
        <v>© 2024 BacHaWeather, Inc. "BacHaWeather" ja päikesekujundus on ettevõtte BacHaWeather, Inc. registreeritud kaubamärgid. Kõik õigused kaitstud.</v>
      </c>
      <c r="V244" s="5" t="str">
        <f t="shared" si="3"/>
        <v>© 2024 BacHaWeather, Inc. "BacHaWeather" and sun design are registered trademarks of BacHaWeather, Inc. All Rights Reserved.</v>
      </c>
      <c r="W244" s="7" t="str">
        <f>IFERROR(__xludf.DUMMYFUNCTION("GoogleTranslate(C244, ""en"", ""fi"")"),"© 2024 BacHaWeather, Inc. ""BacHaWeather"" ja sun design ovat BacHaWeather, Inc:n rekisteröityjä tavaramerkkejä. Kaikki oikeudet pidätetään.")</f>
        <v>© 2024 BacHaWeather, Inc. "BacHaWeather" ja sun design ovat BacHaWeather, Inc:n rekisteröityjä tavaramerkkejä. Kaikki oikeudet pidätetään.</v>
      </c>
      <c r="X244" s="7" t="str">
        <f>IFERROR(__xludf.DUMMYFUNCTION("GoogleTranslate(C244, ""en"", ""fr"")"),"© 2024 BacHaWeather, Inc. « BacHaWeather » et le design du soleil sont des marques déposées de BacHaWeather, Inc. Tous droits réservés.")</f>
        <v>© 2024 BacHaWeather, Inc. « BacHaWeather » et le design du soleil sont des marques déposées de BacHaWeather, Inc. Tous droits réservés.</v>
      </c>
      <c r="Y244" s="7" t="str">
        <f>IFERROR(__xludf.DUMMYFUNCTION("GoogleTranslate(C244, ""en"", ""de"")"),"© 2024 BacHaWeather, Inc. „BacHaWeather“ und das Sonnendesign sind eingetragene Marken von BacHaWeather, Inc. Alle Rechte vorbehalten.")</f>
        <v>© 2024 BacHaWeather, Inc. „BacHaWeather“ und das Sonnendesign sind eingetragene Marken von BacHaWeather, Inc. Alle Rechte vorbehalten.</v>
      </c>
      <c r="Z244" s="7" t="str">
        <f>IFERROR(__xludf.DUMMYFUNCTION("GoogleTranslate(C244, ""en"", ""el"")"),"© 2024 BacHaWeather, Inc. Το ""BacHaWeather"" και το sun design είναι σήματα κατατεθέντα της BacHaWeather, Inc. Με την επιφύλαξη παντός δικαιώματος.")</f>
        <v>© 2024 BacHaWeather, Inc. Το "BacHaWeather" και το sun design είναι σήματα κατατεθέντα της BacHaWeather, Inc. Με την επιφύλαξη παντός δικαιώματος.</v>
      </c>
      <c r="AA244" s="7" t="str">
        <f>IFERROR(__xludf.DUMMYFUNCTION("GoogleTranslate(C244, ""en"", ""iw"")"),"© 2024 BacHaWeather, Inc. ""BacHaWeather"" ועיצוב השמש הם סימנים מסחריים רשומים של BacHaWeather, Inc. כל הזכויות שמורות.")</f>
        <v>© 2024 BacHaWeather, Inc. "BacHaWeather" ועיצוב השמש הם סימנים מסחריים רשומים של BacHaWeather, Inc. כל הזכויות שמורות.</v>
      </c>
      <c r="AB244" s="7" t="str">
        <f>IFERROR(__xludf.DUMMYFUNCTION("GoogleTranslate(C244, ""en"", ""hi"")"),"© 2024 BacHaWeather, Inc. ""BacHaWeather"" और सन डिज़ाइन BacHaWeather, Inc. के पंजीकृत ट्रेडमार्क हैं। सर्वाधिकार सुरक्षित।")</f>
        <v>© 2024 BacHaWeather, Inc. "BacHaWeather" और सन डिज़ाइन BacHaWeather, Inc. के पंजीकृत ट्रेडमार्क हैं। सर्वाधिकार सुरक्षित।</v>
      </c>
      <c r="AC244" s="7" t="str">
        <f>IFERROR(__xludf.DUMMYFUNCTION("GoogleTranslate(C244, ""en"", ""hu"")"),"© 2024 BacHaWeather, Inc. A „BacHaWeather” és a sun design a BacHaWeather, Inc. bejegyzett védjegye. Minden jog fenntartva.")</f>
        <v>© 2024 BacHaWeather, Inc. A „BacHaWeather” és a sun design a BacHaWeather, Inc. bejegyzett védjegye. Minden jog fenntartva.</v>
      </c>
      <c r="AD244" s="7" t="str">
        <f>IFERROR(__xludf.DUMMYFUNCTION("GoogleTranslate(C244, ""en"", ""is"")"),"© 2024 BacHaWeather, Inc. „BacHaWeather“ og sólhönnun eru skráð vörumerki BacHaWeather, Inc. Allur réttur áskilinn.")</f>
        <v>© 2024 BacHaWeather, Inc. „BacHaWeather“ og sólhönnun eru skráð vörumerki BacHaWeather, Inc. Allur réttur áskilinn.</v>
      </c>
      <c r="AE244" s="7" t="str">
        <f>IFERROR(__xludf.DUMMYFUNCTION("GoogleTranslate(C244, ""en"", ""id"")"),"© 2024 BacHaWeather, Inc. ""BacHaWeather"" dan desain matahari adalah merek dagang terdaftar dari BacHaWeather, Inc. Semua Hak Dilindungi Undang-Undang.")</f>
        <v>© 2024 BacHaWeather, Inc. "BacHaWeather" dan desain matahari adalah merek dagang terdaftar dari BacHaWeather, Inc. Semua Hak Dilindungi Undang-Undang.</v>
      </c>
      <c r="AF244" s="7" t="str">
        <f>IFERROR(__xludf.DUMMYFUNCTION("GoogleTranslate(C244, ""en"", ""in"")"),"© 2024 BacHaWeather, Inc. ""BacHaWeather"" dan desain matahari adalah merek dagang terdaftar dari BacHaWeather, Inc. Semua Hak Dilindungi Undang-Undang.")</f>
        <v>© 2024 BacHaWeather, Inc. "BacHaWeather" dan desain matahari adalah merek dagang terdaftar dari BacHaWeather, Inc. Semua Hak Dilindungi Undang-Undang.</v>
      </c>
      <c r="AG244" s="7" t="str">
        <f>IFERROR(__xludf.DUMMYFUNCTION("GoogleTranslate(C244, ""en"", ""it"")"),"© 2024 BacHaWeather, Inc. ""BacHaWeather"" e il design del sole sono marchi registrati di BacHaWeather, Inc. Tutti i diritti riservati.")</f>
        <v>© 2024 BacHaWeather, Inc. "BacHaWeather" e il design del sole sono marchi registrati di BacHaWeather, Inc. Tutti i diritti riservati.</v>
      </c>
      <c r="AH244" s="7" t="str">
        <f>IFERROR(__xludf.DUMMYFUNCTION("GoogleTranslate(C244, ""en"", ""ja"")"),"© 2024 BacHaWeather, Inc. 「BacHaWeather」および太陽のデザインは BacHaWeather, Inc. の登録商標です。無断複写・転載を禁じます。")</f>
        <v>© 2024 BacHaWeather, Inc. 「BacHaWeather」および太陽のデザインは BacHaWeather, Inc. の登録商標です。無断複写・転載を禁じます。</v>
      </c>
      <c r="AI244" s="7" t="str">
        <f>IFERROR(__xludf.DUMMYFUNCTION("GoogleTranslate(C244, ""en"", ""kn"")"),"© 2024 BacHaWeather, Inc. ""BacHaWeather"" ಮತ್ತು ಸೂರ್ಯನ ವಿನ್ಯಾಸವು BacHaWeather, Inc. ಎಲ್ಲಾ ಹಕ್ಕುಗಳನ್ನು ಕಾಯ್ದಿರಿಸಲಾಗಿದೆ.")</f>
        <v>© 2024 BacHaWeather, Inc. "BacHaWeather" ಮತ್ತು ಸೂರ್ಯನ ವಿನ್ಯಾಸವು BacHaWeather, Inc. ಎಲ್ಲಾ ಹಕ್ಕುಗಳನ್ನು ಕಾಯ್ದಿರಿಸಲಾಗಿದೆ.</v>
      </c>
      <c r="AJ244" s="7" t="str">
        <f>IFERROR(__xludf.DUMMYFUNCTION("GoogleTranslate(C244, ""en"", ""km"")"),"© 2024 BacHaWeather, Inc. ""BacHaWeather"" និងការរចនាព្រះអាទិត្យគឺជាពាណិជ្ជសញ្ញាដែលបានចុះបញ្ជីរបស់ BacHaWeather, Inc. រក្សាសិទ្ធិគ្រប់យ៉ាង។")</f>
        <v>© 2024 BacHaWeather, Inc. "BacHaWeather" និងការរចនាព្រះអាទិត្យគឺជាពាណិជ្ជសញ្ញាដែលបានចុះបញ្ជីរបស់ BacHaWeather, Inc. រក្សាសិទ្ធិគ្រប់យ៉ាង។</v>
      </c>
      <c r="AK244" s="7" t="str">
        <f>IFERROR(__xludf.DUMMYFUNCTION("GoogleTranslate(C244, ""en"", ""ko"")"),"© 2024 BacHaWeather, Inc. ""BacHaWeather"" 및 태양 디자인은 BacHaWeather, Inc.의 등록 상표입니다. All Rights Reserved.")</f>
        <v>© 2024 BacHaWeather, Inc. "BacHaWeather" 및 태양 디자인은 BacHaWeather, Inc.의 등록 상표입니다. All Rights Reserved.</v>
      </c>
      <c r="AL244" s="7" t="str">
        <f>IFERROR(__xludf.DUMMYFUNCTION("GoogleTranslate(C244, ""en"", ""lo"")"),"© 2024 BacHaWeather, Inc. ""BacHaWeather"" ແລະການອອກແບບແສງຕາເວັນແມ່ນເຄື່ອງໝາຍການຄ້າທີ່ຈົດທະບຽນຂອງ BacHaWeather, Inc. ສະຫງວນລິຂະສິດທັງໝົດ.")</f>
        <v>© 2024 BacHaWeather, Inc. "BacHaWeather" ແລະການອອກແບບແສງຕາເວັນແມ່ນເຄື່ອງໝາຍການຄ້າທີ່ຈົດທະບຽນຂອງ BacHaWeather, Inc. ສະຫງວນລິຂະສິດທັງໝົດ.</v>
      </c>
      <c r="AM244" s="7" t="str">
        <f>IFERROR(__xludf.DUMMYFUNCTION("GoogleTranslate(C244, ""en"", ""lv"")"),"© 2024 BacHaWeather, Inc. ""BacHaWeather"" un saules dizains ir BacHaWeather, Inc. reģistrētas preču zīmes. Visas tiesības aizsargātas.")</f>
        <v>© 2024 BacHaWeather, Inc. "BacHaWeather" un saules dizains ir BacHaWeather, Inc. reģistrētas preču zīmes. Visas tiesības aizsargātas.</v>
      </c>
      <c r="AN244" s="7" t="str">
        <f>IFERROR(__xludf.DUMMYFUNCTION("GoogleTranslate(C244, ""en"", ""lt"")"),"© 2024 BacHaWeather, Inc. ""BacHaWeather"" ir saulės dizainas yra registruotieji BacHaWeather, Inc. prekių ženklai. Visos teisės saugomos.")</f>
        <v>© 2024 BacHaWeather, Inc. "BacHaWeather" ir saulės dizainas yra registruotieji BacHaWeather, Inc. prekių ženklai. Visos teisės saugomos.</v>
      </c>
      <c r="AO244" s="7" t="str">
        <f>IFERROR(__xludf.DUMMYFUNCTION("GoogleTranslate(C244, ""en"", ""mk"")"),"© 2024 BacHaWeather, Inc. „BacHaWeather“ и дизајнот на сонцето се регистрирани заштитни знаци на BacHaWeather, Inc. Сите права се задржани.")</f>
        <v>© 2024 BacHaWeather, Inc. „BacHaWeather“ и дизајнот на сонцето се регистрирани заштитни знаци на BacHaWeather, Inc. Сите права се задржани.</v>
      </c>
      <c r="AP244" s="7" t="str">
        <f>IFERROR(__xludf.DUMMYFUNCTION("GoogleTranslate(C244, ""en"", ""ms"")"),"© 2024 BacHaWeather, Inc. ""BacHaWeather"" dan reka bentuk matahari ialah tanda dagangan berdaftar BacHaWeather, Inc. Hak Cipta Terpelihara.")</f>
        <v>© 2024 BacHaWeather, Inc. "BacHaWeather" dan reka bentuk matahari ialah tanda dagangan berdaftar BacHaWeather, Inc. Hak Cipta Terpelihara.</v>
      </c>
      <c r="AQ244" s="7" t="str">
        <f>IFERROR(__xludf.DUMMYFUNCTION("GoogleTranslate(C244, ""en"", ""ml"")"),"© 2024 BacHaWeather, Inc. ""BacHaWeather"" ഉം സൺ ഡിസൈനും BacHaWeather, Inc. എല്ലാ അവകാശങ്ങളും നിക്ഷിപ്‌തമാണ്.")</f>
        <v>© 2024 BacHaWeather, Inc. "BacHaWeather" ഉം സൺ ഡിസൈനും BacHaWeather, Inc. എല്ലാ അവകാശങ്ങളും നിക്ഷിപ്‌തമാണ്.</v>
      </c>
      <c r="AR244" s="7" t="str">
        <f>IFERROR(__xludf.DUMMYFUNCTION("GoogleTranslate(C244, ""en"", ""mr"")"),"© 2024 BacHaWeather, Inc. ""BacHaWeather"" आणि सन डिझाइन हे BacHaWeather, Inc. चे नोंदणीकृत ट्रेडमार्क आहेत. सर्व हक्क राखीव आहेत.")</f>
        <v>© 2024 BacHaWeather, Inc. "BacHaWeather" आणि सन डिझाइन हे BacHaWeather, Inc. चे नोंदणीकृत ट्रेडमार्क आहेत. सर्व हक्क राखीव आहेत.</v>
      </c>
      <c r="AS244" s="7" t="str">
        <f>IFERROR(__xludf.DUMMYFUNCTION("GoogleTranslate(C244, ""en"", ""mn"")"),"© 2024 BacHaWeather, Inc. ""BacHaWeather"" болон нарны загвар нь BacHaWeather, Inc-ийн бүртгэгдсэн худалдааны тэмдэг юм. Бүх эрх хуулиар хамгаалагдсан.")</f>
        <v>© 2024 BacHaWeather, Inc. "BacHaWeather" болон нарны загвар нь BacHaWeather, Inc-ийн бүртгэгдсэн худалдааны тэмдэг юм. Бүх эрх хуулиар хамгаалагдсан.</v>
      </c>
      <c r="AT244" s="7" t="str">
        <f>IFERROR(__xludf.DUMMYFUNCTION("GoogleTranslate(C244, ""en"", ""ne"")"),"© 2024 BacHaWeather, Inc. ""BacHaWeather"" र सूर्य डिजाइन BacHaWeather, Inc का दर्ता ट्रेडमार्क हो। सर्वाधिकार सुरक्षित।")</f>
        <v>© 2024 BacHaWeather, Inc. "BacHaWeather" र सूर्य डिजाइन BacHaWeather, Inc का दर्ता ट्रेडमार्क हो। सर्वाधिकार सुरक्षित।</v>
      </c>
      <c r="AU244" s="7" t="str">
        <f>IFERROR(__xludf.DUMMYFUNCTION("GoogleTranslate(C244, ""en"", ""nb"")"),"© 2024 BacHaWeather, Inc. ""BacHaWeather"" og soldesign er registrerte varemerker for BacHaWeather, Inc. Med enerett.")</f>
        <v>© 2024 BacHaWeather, Inc. "BacHaWeather" og soldesign er registrerte varemerker for BacHaWeather, Inc. Med enerett.</v>
      </c>
      <c r="AV244" s="7" t="str">
        <f>IFERROR(__xludf.DUMMYFUNCTION("GoogleTranslate(C244, ""en"", ""fa"")"),"© 2024 BacHaWeather, Inc. ""BacHaWeather"" و طراحی خورشید علائم تجاری ثبت شده BacHaWeather, Inc. کلیه حقوق محفوظ است.")</f>
        <v>© 2024 BacHaWeather, Inc. "BacHaWeather" و طراحی خورشید علائم تجاری ثبت شده BacHaWeather, Inc. کلیه حقوق محفوظ است.</v>
      </c>
      <c r="AW244" s="7" t="str">
        <f>IFERROR(__xludf.DUMMYFUNCTION("GoogleTranslate(C244, ""en"", ""pl"")"),"© 2024 BacHaWeather, Inc. „BacHaWeather” i wzór słońca są zastrzeżonymi znakami towarowymi firmy BacHaWeather, Inc. Wszelkie prawa zastrzeżone.")</f>
        <v>© 2024 BacHaWeather, Inc. „BacHaWeather” i wzór słońca są zastrzeżonymi znakami towarowymi firmy BacHaWeather, Inc. Wszelkie prawa zastrzeżone.</v>
      </c>
      <c r="AX244" s="7" t="str">
        <f>IFERROR(__xludf.DUMMYFUNCTION("GoogleTranslate(C244, ""en"", ""pt"")"),"© 2024 BacHaWeather, Inc. ""BacHaWeather"" e design do sol são marcas registradas da BacHaWeather, Inc. Todos os direitos reservados.")</f>
        <v>© 2024 BacHaWeather, Inc. "BacHaWeather" e design do sol são marcas registradas da BacHaWeather, Inc. Todos os direitos reservados.</v>
      </c>
      <c r="AY244" s="7" t="str">
        <f>IFERROR(__xludf.DUMMYFUNCTION("GoogleTranslate(C244, ""en"", ""ro"")"),"© 2024 BacHaWeather, Inc. „BacHaWeather” și designul soarelui sunt mărci comerciale înregistrate ale BacHaWeather, Inc. Toate drepturile rezervate.")</f>
        <v>© 2024 BacHaWeather, Inc. „BacHaWeather” și designul soarelui sunt mărci comerciale înregistrate ale BacHaWeather, Inc. Toate drepturile rezervate.</v>
      </c>
      <c r="AZ244" s="7" t="str">
        <f>IFERROR(__xludf.DUMMYFUNCTION("GoogleTranslate(C244, ""en"", ""ru"")"),"© 2024 BacHaWeather, Inc. «BacHaWeather» и дизайн солнца являются зарегистрированными торговыми марками BacHaWeather, Inc. Все права защищены.")</f>
        <v>© 2024 BacHaWeather, Inc. «BacHaWeather» и дизайн солнца являются зарегистрированными торговыми марками BacHaWeather, Inc. Все права защищены.</v>
      </c>
      <c r="BA244" s="7" t="str">
        <f>IFERROR(__xludf.DUMMYFUNCTION("GoogleTranslate(C244, ""en"", ""sr"")"),"© 2024 БацХаВеатхер, Инц. „БацХаВеатхер“ и дизајн сунца су регистровани заштитни знаци компаније БацХаВеатхер, Инц. Сва права задржана.")</f>
        <v>© 2024 БацХаВеатхер, Инц. „БацХаВеатхер“ и дизајн сунца су регистровани заштитни знаци компаније БацХаВеатхер, Инц. Сва права задржана.</v>
      </c>
      <c r="BB244" s="7" t="str">
        <f>IFERROR(__xludf.DUMMYFUNCTION("GoogleTranslate(C244, ""en"", ""si"")"),"© 2024 BacHaWeather, Inc. ""BacHaWeather"" සහ හිරු නිර්මාණය BacHaWeather, Inc. හි ලියාපදිංචි වෙළඳ ලකුණු වේ. සියලුම හිමිකම් ඇවිරිණි.")</f>
        <v>© 2024 BacHaWeather, Inc. "BacHaWeather" සහ හිරු නිර්මාණය BacHaWeather, Inc. හි ලියාපදිංචි වෙළඳ ලකුණු වේ. සියලුම හිමිකම් ඇවිරිණි.</v>
      </c>
      <c r="BC244" s="7" t="str">
        <f>IFERROR(__xludf.DUMMYFUNCTION("GoogleTranslate(C244, ""en"", ""sk"")"),"© 2024 BacHaWeather, Inc. „BacHaWeather“ a slnečný dizajn sú registrované ochranné známky spoločnosti BacHaWeather, Inc. Všetky práva vyhradené.")</f>
        <v>© 2024 BacHaWeather, Inc. „BacHaWeather“ a slnečný dizajn sú registrované ochranné známky spoločnosti BacHaWeather, Inc. Všetky práva vyhradené.</v>
      </c>
      <c r="BD244" s="7" t="str">
        <f>IFERROR(__xludf.DUMMYFUNCTION("GoogleTranslate(C244, ""en"", ""sl"")"),"© 2024 BacHaWeather, Inc. »BacHaWeather« in sun design sta registrirani blagovni znamki družbe BacHaWeather, Inc. Vse pravice pridržane.")</f>
        <v>© 2024 BacHaWeather, Inc. »BacHaWeather« in sun design sta registrirani blagovni znamki družbe BacHaWeather, Inc. Vse pravice pridržane.</v>
      </c>
      <c r="BE244" s="7" t="str">
        <f>IFERROR(__xludf.DUMMYFUNCTION("GoogleTranslate(C244, ""en"", ""es"")"),"© 2024 BacHaWeather, Inc. ""BacHaWeather"" y el diseño del sol son marcas comerciales registradas de BacHaWeather, Inc. Todos los derechos reservados.")</f>
        <v>© 2024 BacHaWeather, Inc. "BacHaWeather" y el diseño del sol son marcas comerciales registradas de BacHaWeather, Inc. Todos los derechos reservados.</v>
      </c>
      <c r="BF244" s="7" t="str">
        <f>IFERROR(__xludf.DUMMYFUNCTION("GoogleTranslate(C244, ""en"", ""sw"")"),"© 2024 BacHaWeather, Inc. ""BacHaWeather"" na muundo wa jua ni alama za biashara zilizosajiliwa za BacHaWeather, Inc. Haki Zote Zimehifadhiwa.")</f>
        <v>© 2024 BacHaWeather, Inc. "BacHaWeather" na muundo wa jua ni alama za biashara zilizosajiliwa za BacHaWeather, Inc. Haki Zote Zimehifadhiwa.</v>
      </c>
      <c r="BG244" s="7" t="str">
        <f>IFERROR(__xludf.DUMMYFUNCTION("GoogleTranslate(C244, ""en"", ""sv"")"),"© 2024 BacHaWeather, Inc. ""BacHaWeather"" och soldesign är registrerade varumärken som tillhör BacHaWeather, Inc. Med ensamrätt.")</f>
        <v>© 2024 BacHaWeather, Inc. "BacHaWeather" och soldesign är registrerade varumärken som tillhör BacHaWeather, Inc. Med ensamrätt.</v>
      </c>
      <c r="BH244" s="7" t="str">
        <f>IFERROR(__xludf.DUMMYFUNCTION("GoogleTranslate(C244, ""en"", ""te"")"),"© 2024 BacHaWeather, Inc. ""BacHaWeather"" మరియు సన్ డిజైన్ BacHaWeather, Inc. అన్ని హక్కులు రిజిస్టర్డ్ ట్రేడ్‌మార్క్‌లు.")</f>
        <v>© 2024 BacHaWeather, Inc. "BacHaWeather" మరియు సన్ డిజైన్ BacHaWeather, Inc. అన్ని హక్కులు రిజిస్టర్డ్ ట్రేడ్‌మార్క్‌లు.</v>
      </c>
      <c r="BI244" s="7" t="str">
        <f>IFERROR(__xludf.DUMMYFUNCTION("GoogleTranslate(C244, ""en"", ""th"")"),"© 2024 BacHaWeather, Inc. ""BacHaWeather"" และการออกแบบดวงอาทิตย์เป็นเครื่องหมายการค้าจดทะเบียนของ BacHaWeather, Inc. สงวนลิขสิทธิ์")</f>
        <v>© 2024 BacHaWeather, Inc. "BacHaWeather" และการออกแบบดวงอาทิตย์เป็นเครื่องหมายการค้าจดทะเบียนของ BacHaWeather, Inc. สงวนลิขสิทธิ์</v>
      </c>
      <c r="BJ244" s="7" t="str">
        <f>IFERROR(__xludf.DUMMYFUNCTION("GoogleTranslate(C244, ""en"", ""tr"")"),"© 2024 BacHaWeather, Inc. ""BacHaWeather"" ve güneş tasarımı, BacHaWeather, Inc.'nin tescilli ticari markalarıdır. Tüm Hakları Saklıdır.")</f>
        <v>© 2024 BacHaWeather, Inc. "BacHaWeather" ve güneş tasarımı, BacHaWeather, Inc.'nin tescilli ticari markalarıdır. Tüm Hakları Saklıdır.</v>
      </c>
      <c r="BK244" s="7" t="str">
        <f>IFERROR(__xludf.DUMMYFUNCTION("GoogleTranslate(C244, ""en"", ""uk"")"),"© 2024 BacHaWeather, Inc. «BacHaWeather» і sun design є зареєстрованими торговими марками BacHaWeather, Inc. Усі права захищено.")</f>
        <v>© 2024 BacHaWeather, Inc. «BacHaWeather» і sun design є зареєстрованими торговими марками BacHaWeather, Inc. Усі права захищено.</v>
      </c>
      <c r="BL244" s="7" t="str">
        <f>IFERROR(__xludf.DUMMYFUNCTION("GoogleTranslate(C244, ""en"", ""zu"")"),"© 2024 BacHaWeather, Inc. ""BacHaWeather"" kanye nomklamo welanga yizimpawu zokuthengisa ezibhalisiwe ze-BacHaWeather, Inc. Wonke Amalungelo Agodliwe.")</f>
        <v>© 2024 BacHaWeather, Inc. "BacHaWeather" kanye nomklamo welanga yizimpawu zokuthengisa ezibhalisiwe ze-BacHaWeather, Inc. Wonke Amalungelo Agodliwe.</v>
      </c>
    </row>
    <row r="245">
      <c r="B245" s="8"/>
      <c r="C245" s="8"/>
    </row>
    <row r="246">
      <c r="B246" s="8"/>
      <c r="C246" s="8"/>
    </row>
    <row r="247">
      <c r="B247" s="8"/>
      <c r="C247" s="8"/>
    </row>
    <row r="248">
      <c r="B248" s="8"/>
      <c r="C248" s="8"/>
    </row>
    <row r="249">
      <c r="B249" s="8"/>
      <c r="C249" s="8"/>
    </row>
    <row r="250">
      <c r="B250" s="8"/>
      <c r="C250" s="8"/>
    </row>
    <row r="251">
      <c r="B251" s="8"/>
      <c r="C251" s="8"/>
    </row>
    <row r="252">
      <c r="B252" s="8"/>
      <c r="C252" s="8"/>
    </row>
    <row r="253">
      <c r="B253" s="8"/>
      <c r="C253" s="8"/>
    </row>
    <row r="254">
      <c r="B254" s="8"/>
      <c r="C254" s="8"/>
    </row>
    <row r="255">
      <c r="B255" s="8"/>
      <c r="C255" s="8"/>
    </row>
    <row r="256">
      <c r="B256" s="8"/>
      <c r="C256" s="8"/>
    </row>
    <row r="257">
      <c r="B257" s="8"/>
      <c r="C257" s="8"/>
    </row>
    <row r="258">
      <c r="B258" s="8"/>
      <c r="C258" s="8"/>
    </row>
    <row r="259">
      <c r="B259" s="8"/>
      <c r="C259" s="8"/>
    </row>
    <row r="260">
      <c r="B260" s="8"/>
      <c r="C260" s="8"/>
    </row>
    <row r="261">
      <c r="B261" s="8"/>
      <c r="C261" s="8"/>
    </row>
    <row r="262">
      <c r="B262" s="8"/>
      <c r="C262" s="8"/>
    </row>
    <row r="263">
      <c r="B263" s="8"/>
      <c r="C263" s="8"/>
    </row>
    <row r="264">
      <c r="B264" s="8"/>
      <c r="C264" s="8"/>
    </row>
    <row r="265">
      <c r="B265" s="8"/>
      <c r="C265" s="8"/>
    </row>
    <row r="266">
      <c r="B266" s="8"/>
      <c r="C266" s="8"/>
    </row>
    <row r="267">
      <c r="B267" s="8"/>
      <c r="C267" s="8"/>
    </row>
    <row r="268">
      <c r="B268" s="8"/>
      <c r="C268" s="8"/>
    </row>
    <row r="269">
      <c r="B269" s="8"/>
      <c r="C269" s="8"/>
    </row>
    <row r="270">
      <c r="B270" s="8"/>
      <c r="C270" s="8"/>
    </row>
    <row r="271">
      <c r="B271" s="8"/>
      <c r="C271" s="8"/>
    </row>
    <row r="272">
      <c r="B272" s="8"/>
      <c r="C272" s="8"/>
    </row>
    <row r="273">
      <c r="B273" s="8"/>
      <c r="C273" s="8"/>
    </row>
    <row r="274">
      <c r="B274" s="8"/>
      <c r="C274" s="8"/>
    </row>
    <row r="275">
      <c r="B275" s="8"/>
      <c r="C275" s="8"/>
    </row>
    <row r="276">
      <c r="B276" s="8"/>
      <c r="C276" s="8"/>
    </row>
    <row r="277">
      <c r="B277" s="8"/>
      <c r="C277" s="8"/>
    </row>
    <row r="278">
      <c r="B278" s="8"/>
      <c r="C278" s="8"/>
    </row>
    <row r="279">
      <c r="B279" s="8"/>
      <c r="C279" s="8"/>
    </row>
    <row r="280">
      <c r="B280" s="8"/>
      <c r="C280" s="8"/>
    </row>
    <row r="281">
      <c r="B281" s="8"/>
      <c r="C281" s="8"/>
    </row>
    <row r="282">
      <c r="B282" s="8"/>
      <c r="C282" s="8"/>
    </row>
    <row r="283">
      <c r="B283" s="8"/>
      <c r="C283" s="8"/>
    </row>
    <row r="284">
      <c r="B284" s="8"/>
      <c r="C284" s="8"/>
    </row>
    <row r="285">
      <c r="B285" s="8"/>
      <c r="C285" s="8"/>
    </row>
    <row r="286">
      <c r="B286" s="8"/>
      <c r="C286" s="8"/>
    </row>
    <row r="287">
      <c r="B287" s="8"/>
      <c r="C287" s="8"/>
    </row>
    <row r="288">
      <c r="B288" s="8"/>
      <c r="C288" s="8"/>
    </row>
    <row r="289">
      <c r="B289" s="8"/>
      <c r="C289" s="8"/>
    </row>
    <row r="290">
      <c r="B290" s="8"/>
      <c r="C290" s="8"/>
    </row>
    <row r="291">
      <c r="B291" s="8"/>
      <c r="C291" s="8"/>
    </row>
    <row r="292">
      <c r="B292" s="8"/>
      <c r="C292" s="8"/>
    </row>
    <row r="293">
      <c r="B293" s="8"/>
      <c r="C293" s="8"/>
    </row>
    <row r="294">
      <c r="B294" s="8"/>
      <c r="C294" s="8"/>
    </row>
    <row r="295">
      <c r="B295" s="8"/>
      <c r="C295" s="8"/>
    </row>
    <row r="296">
      <c r="B296" s="8"/>
      <c r="C296" s="8"/>
    </row>
    <row r="297">
      <c r="B297" s="8"/>
      <c r="C297" s="8"/>
    </row>
    <row r="298">
      <c r="B298" s="8"/>
      <c r="C298" s="8"/>
    </row>
    <row r="299">
      <c r="B299" s="8"/>
      <c r="C299" s="8"/>
    </row>
    <row r="300">
      <c r="B300" s="8"/>
      <c r="C300" s="8"/>
    </row>
    <row r="301">
      <c r="B301" s="8"/>
      <c r="C301" s="8"/>
    </row>
    <row r="302">
      <c r="B302" s="8"/>
      <c r="C302" s="8"/>
    </row>
    <row r="303">
      <c r="B303" s="8"/>
      <c r="C303" s="8"/>
    </row>
    <row r="304">
      <c r="B304" s="8"/>
      <c r="C304" s="8"/>
    </row>
    <row r="305">
      <c r="B305" s="8"/>
      <c r="C305" s="8"/>
    </row>
    <row r="306">
      <c r="B306" s="8"/>
      <c r="C306" s="8"/>
    </row>
    <row r="307">
      <c r="B307" s="8"/>
      <c r="C307" s="8"/>
    </row>
    <row r="308">
      <c r="B308" s="8"/>
      <c r="C308" s="8"/>
    </row>
    <row r="309">
      <c r="B309" s="8"/>
      <c r="C309" s="8"/>
    </row>
    <row r="310">
      <c r="B310" s="8"/>
      <c r="C310" s="8"/>
    </row>
    <row r="311">
      <c r="B311" s="8"/>
      <c r="C311" s="8"/>
    </row>
    <row r="312">
      <c r="B312" s="8"/>
      <c r="C312" s="8"/>
    </row>
    <row r="313">
      <c r="B313" s="8"/>
      <c r="C313" s="8"/>
    </row>
    <row r="314">
      <c r="B314" s="8"/>
      <c r="C314" s="8"/>
    </row>
    <row r="315">
      <c r="B315" s="8"/>
      <c r="C315" s="8"/>
    </row>
    <row r="316">
      <c r="B316" s="8"/>
      <c r="C316" s="8"/>
    </row>
    <row r="317">
      <c r="B317" s="8"/>
      <c r="C317" s="8"/>
    </row>
    <row r="318">
      <c r="B318" s="8"/>
      <c r="C318" s="8"/>
    </row>
    <row r="319">
      <c r="B319" s="8"/>
      <c r="C319" s="8"/>
    </row>
    <row r="320">
      <c r="B320" s="8"/>
      <c r="C320" s="8"/>
    </row>
    <row r="321">
      <c r="B321" s="8"/>
      <c r="C321" s="8"/>
    </row>
    <row r="322">
      <c r="B322" s="8"/>
      <c r="C322" s="8"/>
    </row>
    <row r="323">
      <c r="B323" s="8"/>
      <c r="C323" s="8"/>
    </row>
    <row r="324">
      <c r="B324" s="8"/>
      <c r="C324" s="8"/>
    </row>
    <row r="325">
      <c r="B325" s="8"/>
      <c r="C325" s="8"/>
    </row>
    <row r="326">
      <c r="B326" s="8"/>
      <c r="C326" s="8"/>
    </row>
    <row r="327">
      <c r="B327" s="8"/>
      <c r="C327" s="8"/>
    </row>
    <row r="328">
      <c r="B328" s="8"/>
      <c r="C328" s="8"/>
    </row>
    <row r="329">
      <c r="B329" s="8"/>
      <c r="C329" s="8"/>
    </row>
    <row r="330">
      <c r="B330" s="8"/>
      <c r="C330" s="8"/>
    </row>
    <row r="331">
      <c r="B331" s="8"/>
      <c r="C331" s="8"/>
    </row>
    <row r="332">
      <c r="B332" s="8"/>
      <c r="C332" s="8"/>
    </row>
    <row r="333">
      <c r="B333" s="8"/>
      <c r="C333" s="8"/>
    </row>
    <row r="334">
      <c r="B334" s="8"/>
      <c r="C334" s="8"/>
    </row>
    <row r="335">
      <c r="B335" s="8"/>
      <c r="C335" s="8"/>
    </row>
    <row r="336">
      <c r="B336" s="8"/>
      <c r="C336" s="8"/>
    </row>
    <row r="337">
      <c r="B337" s="8"/>
      <c r="C337" s="8"/>
    </row>
    <row r="338">
      <c r="B338" s="8"/>
      <c r="C338" s="8"/>
    </row>
    <row r="339">
      <c r="B339" s="8"/>
      <c r="C339" s="8"/>
    </row>
    <row r="340">
      <c r="B340" s="8"/>
      <c r="C340" s="8"/>
    </row>
    <row r="341">
      <c r="B341" s="8"/>
      <c r="C341" s="8"/>
    </row>
    <row r="342">
      <c r="B342" s="8"/>
      <c r="C342" s="8"/>
    </row>
    <row r="343">
      <c r="B343" s="8"/>
      <c r="C343" s="8"/>
    </row>
    <row r="344">
      <c r="B344" s="8"/>
      <c r="C344" s="8"/>
    </row>
    <row r="345">
      <c r="B345" s="8"/>
      <c r="C345" s="8"/>
    </row>
    <row r="346">
      <c r="B346" s="8"/>
      <c r="C346" s="8"/>
    </row>
    <row r="347">
      <c r="B347" s="8"/>
      <c r="C347" s="8"/>
    </row>
    <row r="348">
      <c r="B348" s="8"/>
      <c r="C348" s="8"/>
    </row>
    <row r="349">
      <c r="B349" s="8"/>
      <c r="C349" s="8"/>
    </row>
    <row r="350">
      <c r="B350" s="8"/>
      <c r="C350" s="8"/>
    </row>
    <row r="351">
      <c r="B351" s="8"/>
      <c r="C351" s="8"/>
    </row>
    <row r="352">
      <c r="B352" s="8"/>
      <c r="C352" s="8"/>
    </row>
    <row r="353">
      <c r="B353" s="8"/>
      <c r="C353" s="8"/>
    </row>
    <row r="354">
      <c r="B354" s="8"/>
      <c r="C354" s="8"/>
    </row>
    <row r="355">
      <c r="B355" s="8"/>
      <c r="C355" s="8"/>
    </row>
    <row r="356">
      <c r="B356" s="8"/>
      <c r="C356" s="8"/>
    </row>
    <row r="357">
      <c r="B357" s="8"/>
      <c r="C357" s="8"/>
    </row>
    <row r="358">
      <c r="B358" s="8"/>
      <c r="C358" s="8"/>
    </row>
    <row r="359">
      <c r="B359" s="8"/>
      <c r="C359" s="8"/>
    </row>
    <row r="360">
      <c r="B360" s="8"/>
      <c r="C360" s="8"/>
    </row>
    <row r="361">
      <c r="B361" s="8"/>
      <c r="C361" s="8"/>
    </row>
    <row r="362">
      <c r="B362" s="8"/>
      <c r="C362" s="8"/>
    </row>
    <row r="363">
      <c r="B363" s="8"/>
      <c r="C363" s="8"/>
    </row>
    <row r="364">
      <c r="B364" s="8"/>
      <c r="C364" s="8"/>
    </row>
    <row r="365">
      <c r="B365" s="8"/>
      <c r="C365" s="8"/>
    </row>
    <row r="366">
      <c r="B366" s="8"/>
      <c r="C366" s="8"/>
    </row>
    <row r="367">
      <c r="B367" s="8"/>
      <c r="C367" s="8"/>
    </row>
    <row r="368">
      <c r="B368" s="8"/>
      <c r="C368" s="8"/>
    </row>
    <row r="369">
      <c r="B369" s="8"/>
      <c r="C369" s="8"/>
    </row>
    <row r="370">
      <c r="B370" s="8"/>
      <c r="C370" s="8"/>
    </row>
    <row r="371">
      <c r="B371" s="8"/>
      <c r="C371" s="8"/>
    </row>
    <row r="372">
      <c r="B372" s="8"/>
      <c r="C372" s="8"/>
    </row>
    <row r="373">
      <c r="B373" s="8"/>
      <c r="C373" s="8"/>
    </row>
    <row r="374">
      <c r="B374" s="8"/>
      <c r="C374" s="8"/>
    </row>
    <row r="375">
      <c r="B375" s="8"/>
      <c r="C375" s="8"/>
    </row>
    <row r="376">
      <c r="B376" s="8"/>
      <c r="C376" s="8"/>
    </row>
    <row r="377">
      <c r="B377" s="8"/>
      <c r="C377" s="8"/>
    </row>
    <row r="378">
      <c r="B378" s="8"/>
      <c r="C378" s="8"/>
    </row>
    <row r="379">
      <c r="B379" s="8"/>
      <c r="C379" s="8"/>
    </row>
    <row r="380">
      <c r="B380" s="8"/>
      <c r="C380" s="8"/>
    </row>
    <row r="381">
      <c r="B381" s="8"/>
      <c r="C381" s="8"/>
    </row>
    <row r="382">
      <c r="B382" s="8"/>
      <c r="C382" s="8"/>
    </row>
    <row r="383">
      <c r="B383" s="8"/>
      <c r="C383" s="8"/>
    </row>
    <row r="384">
      <c r="B384" s="8"/>
      <c r="C384" s="8"/>
    </row>
    <row r="385">
      <c r="B385" s="8"/>
      <c r="C385" s="8"/>
    </row>
    <row r="386">
      <c r="B386" s="8"/>
      <c r="C386" s="8"/>
    </row>
    <row r="387">
      <c r="B387" s="8"/>
      <c r="C387" s="8"/>
    </row>
    <row r="388">
      <c r="B388" s="8"/>
      <c r="C388" s="8"/>
    </row>
    <row r="389">
      <c r="B389" s="8"/>
      <c r="C389" s="8"/>
    </row>
    <row r="390">
      <c r="B390" s="8"/>
      <c r="C390" s="8"/>
    </row>
    <row r="391">
      <c r="B391" s="8"/>
      <c r="C391" s="8"/>
    </row>
    <row r="392">
      <c r="B392" s="8"/>
      <c r="C392" s="8"/>
    </row>
    <row r="393">
      <c r="B393" s="8"/>
      <c r="C393" s="8"/>
    </row>
    <row r="394">
      <c r="B394" s="8"/>
      <c r="C394" s="8"/>
    </row>
    <row r="395">
      <c r="B395" s="8"/>
      <c r="C395" s="8"/>
    </row>
    <row r="396">
      <c r="B396" s="8"/>
      <c r="C396" s="8"/>
    </row>
    <row r="397">
      <c r="B397" s="8"/>
      <c r="C397" s="8"/>
    </row>
    <row r="398">
      <c r="B398" s="8"/>
      <c r="C398" s="8"/>
    </row>
    <row r="399">
      <c r="B399" s="8"/>
      <c r="C399" s="8"/>
    </row>
    <row r="400">
      <c r="B400" s="8"/>
      <c r="C400" s="8"/>
    </row>
    <row r="401">
      <c r="B401" s="8"/>
      <c r="C401" s="8"/>
    </row>
    <row r="402">
      <c r="B402" s="8"/>
      <c r="C402" s="8"/>
    </row>
    <row r="403">
      <c r="B403" s="8"/>
      <c r="C403" s="8"/>
    </row>
    <row r="404">
      <c r="B404" s="8"/>
      <c r="C404" s="8"/>
    </row>
    <row r="405">
      <c r="B405" s="8"/>
      <c r="C405" s="8"/>
    </row>
    <row r="406">
      <c r="B406" s="8"/>
      <c r="C406" s="8"/>
    </row>
    <row r="407">
      <c r="B407" s="8"/>
      <c r="C407" s="8"/>
    </row>
    <row r="408">
      <c r="B408" s="8"/>
      <c r="C408" s="8"/>
    </row>
    <row r="409">
      <c r="B409" s="8"/>
      <c r="C409" s="8"/>
    </row>
    <row r="410">
      <c r="B410" s="8"/>
      <c r="C410" s="8"/>
    </row>
    <row r="411">
      <c r="B411" s="8"/>
      <c r="C411" s="8"/>
    </row>
    <row r="412">
      <c r="B412" s="8"/>
      <c r="C412" s="8"/>
    </row>
    <row r="413">
      <c r="B413" s="8"/>
      <c r="C413" s="8"/>
    </row>
    <row r="414">
      <c r="B414" s="8"/>
      <c r="C414" s="8"/>
    </row>
    <row r="415">
      <c r="B415" s="8"/>
      <c r="C415" s="8"/>
    </row>
    <row r="416">
      <c r="B416" s="8"/>
      <c r="C416" s="8"/>
    </row>
    <row r="417">
      <c r="B417" s="8"/>
      <c r="C417" s="8"/>
    </row>
    <row r="418">
      <c r="B418" s="8"/>
      <c r="C418" s="8"/>
    </row>
    <row r="419">
      <c r="B419" s="8"/>
      <c r="C419" s="8"/>
    </row>
    <row r="420">
      <c r="B420" s="8"/>
      <c r="C420" s="8"/>
    </row>
    <row r="421">
      <c r="B421" s="8"/>
      <c r="C421" s="8"/>
    </row>
    <row r="422">
      <c r="B422" s="8"/>
      <c r="C422" s="8"/>
    </row>
    <row r="423">
      <c r="B423" s="8"/>
      <c r="C423" s="8"/>
    </row>
    <row r="424">
      <c r="B424" s="8"/>
      <c r="C424" s="8"/>
    </row>
    <row r="425">
      <c r="B425" s="8"/>
      <c r="C425" s="8"/>
    </row>
    <row r="426">
      <c r="B426" s="8"/>
      <c r="C426" s="8"/>
    </row>
    <row r="427">
      <c r="B427" s="8"/>
      <c r="C427" s="8"/>
    </row>
    <row r="428">
      <c r="B428" s="8"/>
      <c r="C428" s="8"/>
    </row>
    <row r="429">
      <c r="B429" s="8"/>
      <c r="C429" s="8"/>
    </row>
    <row r="430">
      <c r="B430" s="8"/>
      <c r="C430" s="8"/>
    </row>
    <row r="431">
      <c r="B431" s="8"/>
      <c r="C431" s="8"/>
    </row>
    <row r="432">
      <c r="B432" s="8"/>
      <c r="C432" s="8"/>
    </row>
    <row r="433">
      <c r="B433" s="8"/>
      <c r="C433" s="8"/>
    </row>
    <row r="434">
      <c r="B434" s="8"/>
      <c r="C434" s="8"/>
    </row>
    <row r="435">
      <c r="B435" s="8"/>
      <c r="C435" s="8"/>
    </row>
    <row r="436">
      <c r="B436" s="8"/>
      <c r="C436" s="8"/>
    </row>
    <row r="437">
      <c r="B437" s="8"/>
      <c r="C437" s="8"/>
    </row>
    <row r="438">
      <c r="B438" s="8"/>
      <c r="C438" s="8"/>
    </row>
    <row r="439">
      <c r="B439" s="8"/>
      <c r="C439" s="8"/>
    </row>
    <row r="440">
      <c r="B440" s="8"/>
      <c r="C440" s="8"/>
    </row>
    <row r="441">
      <c r="B441" s="8"/>
      <c r="C441" s="8"/>
    </row>
    <row r="442">
      <c r="B442" s="8"/>
      <c r="C442" s="8"/>
    </row>
    <row r="443">
      <c r="B443" s="8"/>
      <c r="C443" s="8"/>
    </row>
    <row r="444">
      <c r="B444" s="8"/>
      <c r="C444" s="8"/>
    </row>
    <row r="445">
      <c r="B445" s="8"/>
      <c r="C445" s="8"/>
    </row>
    <row r="446">
      <c r="B446" s="8"/>
      <c r="C446" s="8"/>
    </row>
    <row r="447">
      <c r="B447" s="8"/>
      <c r="C447" s="8"/>
    </row>
    <row r="448">
      <c r="B448" s="8"/>
      <c r="C448" s="8"/>
    </row>
    <row r="449">
      <c r="B449" s="8"/>
      <c r="C449" s="8"/>
    </row>
    <row r="450">
      <c r="B450" s="8"/>
      <c r="C450" s="8"/>
    </row>
    <row r="451">
      <c r="B451" s="8"/>
      <c r="C451" s="8"/>
    </row>
    <row r="452">
      <c r="B452" s="8"/>
      <c r="C452" s="8"/>
    </row>
    <row r="453">
      <c r="B453" s="8"/>
      <c r="C453" s="8"/>
    </row>
    <row r="454">
      <c r="B454" s="8"/>
      <c r="C454" s="8"/>
    </row>
    <row r="455">
      <c r="B455" s="8"/>
      <c r="C455" s="8"/>
    </row>
    <row r="456">
      <c r="B456" s="8"/>
      <c r="C456" s="8"/>
    </row>
    <row r="457">
      <c r="B457" s="8"/>
      <c r="C457" s="8"/>
    </row>
    <row r="458">
      <c r="B458" s="8"/>
      <c r="C458" s="8"/>
    </row>
    <row r="459">
      <c r="B459" s="8"/>
      <c r="C459" s="8"/>
    </row>
    <row r="460">
      <c r="B460" s="8"/>
      <c r="C460" s="8"/>
    </row>
    <row r="461">
      <c r="B461" s="8"/>
      <c r="C461" s="8"/>
    </row>
    <row r="462">
      <c r="B462" s="8"/>
      <c r="C462" s="8"/>
    </row>
    <row r="463">
      <c r="B463" s="8"/>
      <c r="C463" s="8"/>
    </row>
    <row r="464">
      <c r="B464" s="8"/>
      <c r="C464" s="8"/>
    </row>
    <row r="465">
      <c r="B465" s="8"/>
      <c r="C465" s="8"/>
    </row>
    <row r="466">
      <c r="B466" s="8"/>
      <c r="C466" s="8"/>
    </row>
    <row r="467">
      <c r="B467" s="8"/>
      <c r="C467" s="8"/>
    </row>
    <row r="468">
      <c r="B468" s="8"/>
      <c r="C468" s="8"/>
    </row>
    <row r="469">
      <c r="B469" s="8"/>
      <c r="C469" s="8"/>
    </row>
    <row r="470">
      <c r="B470" s="8"/>
      <c r="C470" s="8"/>
    </row>
    <row r="471">
      <c r="B471" s="8"/>
      <c r="C471" s="8"/>
    </row>
    <row r="472">
      <c r="B472" s="8"/>
      <c r="C472" s="8"/>
    </row>
    <row r="473">
      <c r="B473" s="8"/>
      <c r="C473" s="8"/>
    </row>
    <row r="474">
      <c r="B474" s="8"/>
      <c r="C474" s="8"/>
    </row>
    <row r="475">
      <c r="B475" s="8"/>
      <c r="C475" s="8"/>
    </row>
    <row r="476">
      <c r="B476" s="8"/>
      <c r="C476" s="8"/>
    </row>
    <row r="477">
      <c r="B477" s="8"/>
      <c r="C477" s="8"/>
    </row>
    <row r="478">
      <c r="B478" s="8"/>
      <c r="C478" s="8"/>
    </row>
    <row r="479">
      <c r="B479" s="8"/>
      <c r="C479" s="8"/>
    </row>
    <row r="480">
      <c r="B480" s="8"/>
      <c r="C480" s="8"/>
    </row>
    <row r="481">
      <c r="B481" s="8"/>
      <c r="C481" s="8"/>
    </row>
    <row r="482">
      <c r="B482" s="8"/>
      <c r="C482" s="8"/>
    </row>
    <row r="483">
      <c r="B483" s="8"/>
      <c r="C483" s="8"/>
    </row>
    <row r="484">
      <c r="B484" s="8"/>
      <c r="C484" s="8"/>
    </row>
    <row r="485">
      <c r="B485" s="8"/>
      <c r="C485" s="8"/>
    </row>
    <row r="486">
      <c r="B486" s="8"/>
      <c r="C486" s="8"/>
    </row>
    <row r="487">
      <c r="B487" s="8"/>
      <c r="C487" s="8"/>
    </row>
    <row r="488">
      <c r="B488" s="8"/>
      <c r="C488" s="8"/>
    </row>
    <row r="489">
      <c r="B489" s="8"/>
      <c r="C489" s="8"/>
    </row>
    <row r="490">
      <c r="B490" s="8"/>
      <c r="C490" s="8"/>
    </row>
    <row r="491">
      <c r="B491" s="8"/>
      <c r="C491" s="8"/>
    </row>
    <row r="492">
      <c r="B492" s="8"/>
      <c r="C492" s="8"/>
    </row>
    <row r="493">
      <c r="B493" s="8"/>
      <c r="C493" s="8"/>
    </row>
    <row r="494">
      <c r="B494" s="8"/>
      <c r="C494" s="8"/>
    </row>
    <row r="495">
      <c r="B495" s="8"/>
      <c r="C495" s="8"/>
    </row>
    <row r="496">
      <c r="B496" s="8"/>
      <c r="C496" s="8"/>
    </row>
    <row r="497">
      <c r="B497" s="8"/>
      <c r="C497" s="8"/>
    </row>
    <row r="498">
      <c r="B498" s="8"/>
      <c r="C498" s="8"/>
    </row>
    <row r="499">
      <c r="B499" s="8"/>
      <c r="C499" s="8"/>
    </row>
    <row r="500">
      <c r="B500" s="8"/>
      <c r="C500" s="8"/>
    </row>
    <row r="501">
      <c r="B501" s="8"/>
      <c r="C501" s="8"/>
    </row>
    <row r="502">
      <c r="B502" s="8"/>
      <c r="C502" s="8"/>
    </row>
    <row r="503">
      <c r="B503" s="8"/>
      <c r="C503" s="8"/>
    </row>
    <row r="504">
      <c r="B504" s="8"/>
      <c r="C504" s="8"/>
    </row>
    <row r="505">
      <c r="B505" s="8"/>
      <c r="C505" s="8"/>
    </row>
    <row r="506">
      <c r="B506" s="8"/>
      <c r="C506" s="8"/>
    </row>
    <row r="507">
      <c r="B507" s="8"/>
      <c r="C507" s="8"/>
    </row>
    <row r="508">
      <c r="B508" s="8"/>
      <c r="C508" s="8"/>
    </row>
    <row r="509">
      <c r="B509" s="8"/>
      <c r="C509" s="8"/>
    </row>
    <row r="510">
      <c r="B510" s="8"/>
      <c r="C510" s="8"/>
    </row>
    <row r="511">
      <c r="B511" s="8"/>
      <c r="C511" s="8"/>
    </row>
    <row r="512">
      <c r="B512" s="8"/>
      <c r="C512" s="8"/>
    </row>
    <row r="513">
      <c r="B513" s="8"/>
      <c r="C513" s="8"/>
    </row>
    <row r="514">
      <c r="B514" s="8"/>
      <c r="C514" s="8"/>
    </row>
    <row r="515">
      <c r="B515" s="8"/>
      <c r="C515" s="8"/>
    </row>
    <row r="516">
      <c r="B516" s="8"/>
      <c r="C516" s="8"/>
    </row>
    <row r="517">
      <c r="B517" s="8"/>
      <c r="C517" s="8"/>
    </row>
    <row r="518">
      <c r="B518" s="8"/>
      <c r="C518" s="8"/>
    </row>
    <row r="519">
      <c r="B519" s="8"/>
      <c r="C519" s="8"/>
    </row>
    <row r="520">
      <c r="B520" s="8"/>
      <c r="C520" s="8"/>
    </row>
    <row r="521">
      <c r="B521" s="8"/>
      <c r="C521" s="8"/>
    </row>
    <row r="522">
      <c r="B522" s="8"/>
      <c r="C522" s="8"/>
    </row>
    <row r="523">
      <c r="B523" s="8"/>
      <c r="C523" s="8"/>
    </row>
    <row r="524">
      <c r="B524" s="8"/>
      <c r="C524" s="8"/>
    </row>
    <row r="525">
      <c r="B525" s="8"/>
      <c r="C525" s="8"/>
    </row>
    <row r="526">
      <c r="B526" s="8"/>
      <c r="C526" s="8"/>
    </row>
    <row r="527">
      <c r="B527" s="8"/>
      <c r="C527" s="8"/>
    </row>
    <row r="528">
      <c r="B528" s="8"/>
      <c r="C528" s="8"/>
    </row>
    <row r="529">
      <c r="B529" s="8"/>
      <c r="C529" s="8"/>
    </row>
    <row r="530">
      <c r="B530" s="8"/>
      <c r="C530" s="8"/>
    </row>
    <row r="531">
      <c r="B531" s="8"/>
      <c r="C531" s="8"/>
    </row>
    <row r="532">
      <c r="B532" s="8"/>
      <c r="C532" s="8"/>
    </row>
    <row r="533">
      <c r="B533" s="8"/>
      <c r="C533" s="8"/>
    </row>
    <row r="534">
      <c r="B534" s="8"/>
      <c r="C534" s="8"/>
    </row>
    <row r="535">
      <c r="B535" s="8"/>
      <c r="C535" s="8"/>
    </row>
    <row r="536">
      <c r="B536" s="8"/>
      <c r="C536" s="8"/>
    </row>
    <row r="537">
      <c r="B537" s="8"/>
      <c r="C537" s="8"/>
    </row>
    <row r="538">
      <c r="B538" s="8"/>
      <c r="C538" s="8"/>
    </row>
    <row r="539">
      <c r="B539" s="8"/>
      <c r="C539" s="8"/>
    </row>
    <row r="540">
      <c r="B540" s="8"/>
      <c r="C540" s="8"/>
    </row>
    <row r="541">
      <c r="B541" s="8"/>
      <c r="C541" s="8"/>
    </row>
    <row r="542">
      <c r="B542" s="8"/>
      <c r="C542" s="8"/>
    </row>
    <row r="543">
      <c r="B543" s="8"/>
      <c r="C543" s="8"/>
    </row>
    <row r="544">
      <c r="B544" s="8"/>
      <c r="C544" s="8"/>
    </row>
    <row r="545">
      <c r="B545" s="8"/>
      <c r="C545" s="8"/>
    </row>
    <row r="546">
      <c r="B546" s="8"/>
      <c r="C546" s="8"/>
    </row>
    <row r="547">
      <c r="B547" s="8"/>
      <c r="C547" s="8"/>
    </row>
    <row r="548">
      <c r="B548" s="8"/>
      <c r="C548" s="8"/>
    </row>
    <row r="549">
      <c r="B549" s="8"/>
      <c r="C549" s="8"/>
    </row>
    <row r="550">
      <c r="B550" s="8"/>
      <c r="C550" s="8"/>
    </row>
    <row r="551">
      <c r="B551" s="8"/>
      <c r="C551" s="8"/>
    </row>
    <row r="552">
      <c r="B552" s="8"/>
      <c r="C552" s="8"/>
    </row>
    <row r="553">
      <c r="B553" s="8"/>
      <c r="C553" s="8"/>
    </row>
    <row r="554">
      <c r="B554" s="8"/>
      <c r="C554" s="8"/>
    </row>
    <row r="555">
      <c r="B555" s="8"/>
      <c r="C555" s="8"/>
    </row>
    <row r="556">
      <c r="B556" s="8"/>
      <c r="C556" s="8"/>
    </row>
    <row r="557">
      <c r="B557" s="8"/>
      <c r="C557" s="8"/>
    </row>
    <row r="558">
      <c r="B558" s="8"/>
      <c r="C558" s="8"/>
    </row>
    <row r="559">
      <c r="B559" s="8"/>
      <c r="C559" s="8"/>
    </row>
    <row r="560">
      <c r="B560" s="8"/>
      <c r="C560" s="8"/>
    </row>
    <row r="561">
      <c r="B561" s="8"/>
      <c r="C561" s="8"/>
    </row>
    <row r="562">
      <c r="B562" s="8"/>
      <c r="C562" s="8"/>
    </row>
    <row r="563">
      <c r="B563" s="8"/>
      <c r="C563" s="8"/>
    </row>
    <row r="564">
      <c r="B564" s="8"/>
      <c r="C564" s="8"/>
    </row>
    <row r="565">
      <c r="B565" s="8"/>
      <c r="C565" s="8"/>
    </row>
    <row r="566">
      <c r="B566" s="8"/>
      <c r="C566" s="8"/>
    </row>
    <row r="567">
      <c r="B567" s="8"/>
      <c r="C567" s="8"/>
    </row>
    <row r="568">
      <c r="B568" s="8"/>
      <c r="C568" s="8"/>
    </row>
    <row r="569">
      <c r="B569" s="8"/>
      <c r="C569" s="8"/>
    </row>
    <row r="570">
      <c r="B570" s="8"/>
      <c r="C570" s="8"/>
    </row>
    <row r="571">
      <c r="B571" s="8"/>
      <c r="C571" s="8"/>
    </row>
    <row r="572">
      <c r="B572" s="8"/>
      <c r="C572" s="8"/>
    </row>
    <row r="573">
      <c r="B573" s="8"/>
      <c r="C573" s="8"/>
    </row>
    <row r="574">
      <c r="B574" s="8"/>
      <c r="C574" s="8"/>
    </row>
    <row r="575">
      <c r="B575" s="8"/>
      <c r="C575" s="8"/>
    </row>
    <row r="576">
      <c r="B576" s="8"/>
      <c r="C576" s="8"/>
    </row>
    <row r="577">
      <c r="B577" s="8"/>
      <c r="C577" s="8"/>
    </row>
    <row r="578">
      <c r="B578" s="8"/>
      <c r="C578" s="8"/>
    </row>
    <row r="579">
      <c r="B579" s="8"/>
      <c r="C579" s="8"/>
    </row>
    <row r="580">
      <c r="B580" s="8"/>
      <c r="C580" s="8"/>
    </row>
    <row r="581">
      <c r="B581" s="8"/>
      <c r="C581" s="8"/>
    </row>
    <row r="582">
      <c r="B582" s="8"/>
      <c r="C582" s="8"/>
    </row>
    <row r="583">
      <c r="B583" s="8"/>
      <c r="C583" s="8"/>
    </row>
    <row r="584">
      <c r="B584" s="8"/>
      <c r="C584" s="8"/>
    </row>
    <row r="585">
      <c r="B585" s="8"/>
      <c r="C585" s="8"/>
    </row>
    <row r="586">
      <c r="B586" s="8"/>
      <c r="C586" s="8"/>
    </row>
    <row r="587">
      <c r="B587" s="8"/>
      <c r="C587" s="8"/>
    </row>
    <row r="588">
      <c r="B588" s="8"/>
      <c r="C588" s="8"/>
    </row>
    <row r="589">
      <c r="B589" s="8"/>
      <c r="C589" s="8"/>
    </row>
    <row r="590">
      <c r="B590" s="8"/>
      <c r="C590" s="8"/>
    </row>
    <row r="591">
      <c r="B591" s="8"/>
      <c r="C591" s="8"/>
    </row>
    <row r="592">
      <c r="B592" s="8"/>
      <c r="C592" s="8"/>
    </row>
    <row r="593">
      <c r="B593" s="8"/>
      <c r="C593" s="8"/>
    </row>
    <row r="594">
      <c r="B594" s="8"/>
      <c r="C594" s="8"/>
    </row>
    <row r="595">
      <c r="B595" s="8"/>
      <c r="C595" s="8"/>
    </row>
    <row r="596">
      <c r="B596" s="8"/>
      <c r="C596" s="8"/>
    </row>
    <row r="597">
      <c r="B597" s="8"/>
      <c r="C597" s="8"/>
    </row>
    <row r="598">
      <c r="B598" s="8"/>
      <c r="C598" s="8"/>
    </row>
    <row r="599">
      <c r="B599" s="8"/>
      <c r="C599" s="8"/>
    </row>
    <row r="600">
      <c r="B600" s="8"/>
      <c r="C600" s="8"/>
    </row>
    <row r="601">
      <c r="B601" s="8"/>
      <c r="C601" s="8"/>
    </row>
    <row r="602">
      <c r="B602" s="8"/>
      <c r="C602" s="8"/>
    </row>
    <row r="603">
      <c r="B603" s="8"/>
      <c r="C603" s="8"/>
    </row>
    <row r="604">
      <c r="B604" s="8"/>
      <c r="C604" s="8"/>
    </row>
    <row r="605">
      <c r="B605" s="8"/>
      <c r="C605" s="8"/>
    </row>
    <row r="606">
      <c r="B606" s="8"/>
      <c r="C606" s="8"/>
    </row>
    <row r="607">
      <c r="B607" s="8"/>
      <c r="C607" s="8"/>
    </row>
    <row r="608">
      <c r="B608" s="8"/>
      <c r="C608" s="8"/>
    </row>
    <row r="609">
      <c r="B609" s="8"/>
      <c r="C609" s="8"/>
    </row>
    <row r="610">
      <c r="B610" s="8"/>
      <c r="C610" s="8"/>
    </row>
    <row r="611">
      <c r="B611" s="8"/>
      <c r="C611" s="8"/>
    </row>
    <row r="612">
      <c r="B612" s="8"/>
      <c r="C612" s="8"/>
    </row>
    <row r="613">
      <c r="B613" s="8"/>
      <c r="C613" s="8"/>
    </row>
    <row r="614">
      <c r="B614" s="8"/>
      <c r="C614" s="8"/>
    </row>
    <row r="615">
      <c r="B615" s="8"/>
      <c r="C615" s="8"/>
    </row>
    <row r="616">
      <c r="B616" s="8"/>
      <c r="C616" s="8"/>
    </row>
    <row r="617">
      <c r="B617" s="8"/>
      <c r="C617" s="8"/>
    </row>
    <row r="618">
      <c r="B618" s="8"/>
      <c r="C618" s="8"/>
    </row>
    <row r="619">
      <c r="B619" s="8"/>
      <c r="C619" s="8"/>
    </row>
    <row r="620">
      <c r="B620" s="8"/>
      <c r="C620" s="8"/>
    </row>
    <row r="621">
      <c r="B621" s="8"/>
      <c r="C621" s="8"/>
    </row>
    <row r="622">
      <c r="B622" s="8"/>
      <c r="C622" s="8"/>
    </row>
    <row r="623">
      <c r="B623" s="8"/>
      <c r="C623" s="8"/>
    </row>
    <row r="624">
      <c r="B624" s="8"/>
      <c r="C624" s="8"/>
    </row>
    <row r="625">
      <c r="B625" s="8"/>
      <c r="C625" s="8"/>
    </row>
    <row r="626">
      <c r="B626" s="8"/>
      <c r="C626" s="8"/>
    </row>
    <row r="627">
      <c r="B627" s="8"/>
      <c r="C627" s="8"/>
    </row>
    <row r="628">
      <c r="B628" s="8"/>
      <c r="C628" s="8"/>
    </row>
    <row r="629">
      <c r="B629" s="8"/>
      <c r="C629" s="8"/>
    </row>
    <row r="630">
      <c r="B630" s="8"/>
      <c r="C630" s="8"/>
    </row>
    <row r="631">
      <c r="B631" s="8"/>
      <c r="C631" s="8"/>
    </row>
    <row r="632">
      <c r="B632" s="8"/>
      <c r="C632" s="8"/>
    </row>
    <row r="633">
      <c r="B633" s="8"/>
      <c r="C633" s="8"/>
    </row>
    <row r="634">
      <c r="B634" s="8"/>
      <c r="C634" s="8"/>
    </row>
    <row r="635">
      <c r="B635" s="8"/>
      <c r="C635" s="8"/>
    </row>
    <row r="636">
      <c r="B636" s="8"/>
      <c r="C636" s="8"/>
    </row>
    <row r="637">
      <c r="B637" s="8"/>
      <c r="C637" s="8"/>
    </row>
    <row r="638">
      <c r="B638" s="8"/>
      <c r="C638" s="8"/>
    </row>
    <row r="639">
      <c r="B639" s="8"/>
      <c r="C639" s="8"/>
    </row>
    <row r="640">
      <c r="B640" s="8"/>
      <c r="C640" s="8"/>
    </row>
    <row r="641">
      <c r="B641" s="8"/>
      <c r="C641" s="8"/>
    </row>
    <row r="642">
      <c r="B642" s="8"/>
      <c r="C642" s="8"/>
    </row>
    <row r="643">
      <c r="B643" s="8"/>
      <c r="C643" s="8"/>
    </row>
    <row r="644">
      <c r="B644" s="8"/>
      <c r="C644" s="8"/>
    </row>
    <row r="645">
      <c r="B645" s="8"/>
      <c r="C645" s="8"/>
    </row>
    <row r="646">
      <c r="B646" s="8"/>
      <c r="C646" s="8"/>
    </row>
    <row r="647">
      <c r="B647" s="8"/>
      <c r="C647" s="8"/>
    </row>
    <row r="648">
      <c r="B648" s="8"/>
      <c r="C648" s="8"/>
    </row>
    <row r="649">
      <c r="B649" s="8"/>
      <c r="C649" s="8"/>
    </row>
    <row r="650">
      <c r="B650" s="8"/>
      <c r="C650" s="8"/>
    </row>
    <row r="651">
      <c r="B651" s="8"/>
      <c r="C651" s="8"/>
    </row>
    <row r="652">
      <c r="B652" s="8"/>
      <c r="C652" s="8"/>
    </row>
    <row r="653">
      <c r="B653" s="8"/>
      <c r="C653" s="8"/>
    </row>
    <row r="654">
      <c r="B654" s="8"/>
      <c r="C654" s="8"/>
    </row>
    <row r="655">
      <c r="B655" s="8"/>
      <c r="C655" s="8"/>
    </row>
    <row r="656">
      <c r="B656" s="8"/>
      <c r="C656" s="8"/>
    </row>
    <row r="657">
      <c r="B657" s="8"/>
      <c r="C657" s="8"/>
    </row>
    <row r="658">
      <c r="B658" s="8"/>
      <c r="C658" s="8"/>
    </row>
    <row r="659">
      <c r="B659" s="8"/>
      <c r="C659" s="8"/>
    </row>
    <row r="660">
      <c r="B660" s="8"/>
      <c r="C660" s="8"/>
    </row>
    <row r="661">
      <c r="B661" s="8"/>
      <c r="C661" s="8"/>
    </row>
    <row r="662">
      <c r="B662" s="8"/>
      <c r="C662" s="8"/>
    </row>
    <row r="663">
      <c r="B663" s="8"/>
      <c r="C663" s="8"/>
    </row>
    <row r="664">
      <c r="B664" s="8"/>
      <c r="C664" s="8"/>
    </row>
    <row r="665">
      <c r="B665" s="8"/>
      <c r="C665" s="8"/>
    </row>
    <row r="666">
      <c r="B666" s="8"/>
      <c r="C666" s="8"/>
    </row>
    <row r="667">
      <c r="B667" s="8"/>
      <c r="C667" s="8"/>
    </row>
    <row r="668">
      <c r="B668" s="8"/>
      <c r="C668" s="8"/>
    </row>
    <row r="669">
      <c r="B669" s="8"/>
      <c r="C669" s="8"/>
    </row>
    <row r="670">
      <c r="B670" s="8"/>
      <c r="C670" s="8"/>
    </row>
    <row r="671">
      <c r="B671" s="8"/>
      <c r="C671" s="8"/>
    </row>
    <row r="672">
      <c r="B672" s="8"/>
      <c r="C672" s="8"/>
    </row>
    <row r="673">
      <c r="B673" s="8"/>
      <c r="C673" s="8"/>
    </row>
    <row r="674">
      <c r="B674" s="8"/>
      <c r="C674" s="8"/>
    </row>
    <row r="675">
      <c r="B675" s="8"/>
      <c r="C675" s="8"/>
    </row>
    <row r="676">
      <c r="B676" s="8"/>
      <c r="C676" s="8"/>
    </row>
    <row r="677">
      <c r="B677" s="8"/>
      <c r="C677" s="8"/>
    </row>
    <row r="678">
      <c r="B678" s="8"/>
      <c r="C678" s="8"/>
    </row>
    <row r="679">
      <c r="B679" s="8"/>
      <c r="C679" s="8"/>
    </row>
    <row r="680">
      <c r="B680" s="8"/>
      <c r="C680" s="8"/>
    </row>
    <row r="681">
      <c r="B681" s="8"/>
      <c r="C681" s="8"/>
    </row>
    <row r="682">
      <c r="B682" s="8"/>
      <c r="C682" s="8"/>
    </row>
    <row r="683">
      <c r="B683" s="8"/>
      <c r="C683" s="8"/>
    </row>
    <row r="684">
      <c r="B684" s="8"/>
      <c r="C684" s="8"/>
    </row>
    <row r="685">
      <c r="B685" s="8"/>
      <c r="C685" s="8"/>
    </row>
    <row r="686">
      <c r="B686" s="8"/>
      <c r="C686" s="8"/>
    </row>
    <row r="687">
      <c r="B687" s="8"/>
      <c r="C687" s="8"/>
    </row>
    <row r="688">
      <c r="B688" s="8"/>
      <c r="C688" s="8"/>
    </row>
    <row r="689">
      <c r="B689" s="8"/>
      <c r="C689" s="8"/>
    </row>
    <row r="690">
      <c r="B690" s="8"/>
      <c r="C690" s="8"/>
    </row>
    <row r="691">
      <c r="B691" s="8"/>
      <c r="C691" s="8"/>
    </row>
    <row r="692">
      <c r="B692" s="8"/>
      <c r="C692" s="8"/>
    </row>
    <row r="693">
      <c r="B693" s="8"/>
      <c r="C693" s="8"/>
    </row>
    <row r="694">
      <c r="B694" s="8"/>
      <c r="C694" s="8"/>
    </row>
    <row r="695">
      <c r="B695" s="8"/>
      <c r="C695" s="8"/>
    </row>
    <row r="696">
      <c r="B696" s="8"/>
      <c r="C696" s="8"/>
    </row>
    <row r="697">
      <c r="B697" s="8"/>
      <c r="C697" s="8"/>
    </row>
    <row r="698">
      <c r="B698" s="8"/>
      <c r="C698" s="8"/>
    </row>
    <row r="699">
      <c r="B699" s="8"/>
      <c r="C699" s="8"/>
    </row>
    <row r="700">
      <c r="B700" s="8"/>
      <c r="C700" s="8"/>
    </row>
    <row r="701">
      <c r="B701" s="8"/>
      <c r="C701" s="8"/>
    </row>
    <row r="702">
      <c r="B702" s="8"/>
      <c r="C702" s="8"/>
    </row>
    <row r="703">
      <c r="B703" s="8"/>
      <c r="C703" s="8"/>
    </row>
    <row r="704">
      <c r="B704" s="8"/>
      <c r="C704" s="8"/>
    </row>
    <row r="705">
      <c r="B705" s="8"/>
      <c r="C705" s="8"/>
    </row>
    <row r="706">
      <c r="B706" s="8"/>
      <c r="C706" s="8"/>
    </row>
    <row r="707">
      <c r="B707" s="8"/>
      <c r="C707" s="8"/>
    </row>
    <row r="708">
      <c r="B708" s="8"/>
      <c r="C708" s="8"/>
    </row>
    <row r="709">
      <c r="B709" s="8"/>
      <c r="C709" s="8"/>
    </row>
    <row r="710">
      <c r="B710" s="8"/>
      <c r="C710" s="8"/>
    </row>
    <row r="711">
      <c r="B711" s="8"/>
      <c r="C711" s="8"/>
    </row>
    <row r="712">
      <c r="B712" s="8"/>
      <c r="C712" s="8"/>
    </row>
    <row r="713">
      <c r="B713" s="8"/>
      <c r="C713" s="8"/>
    </row>
    <row r="714">
      <c r="B714" s="8"/>
      <c r="C714" s="8"/>
    </row>
    <row r="715">
      <c r="B715" s="8"/>
      <c r="C715" s="8"/>
    </row>
    <row r="716">
      <c r="B716" s="8"/>
      <c r="C716" s="8"/>
    </row>
    <row r="717">
      <c r="B717" s="8"/>
      <c r="C717" s="8"/>
    </row>
    <row r="718">
      <c r="B718" s="8"/>
      <c r="C718" s="8"/>
    </row>
    <row r="719">
      <c r="B719" s="8"/>
      <c r="C719" s="8"/>
    </row>
    <row r="720">
      <c r="B720" s="8"/>
      <c r="C720" s="8"/>
    </row>
    <row r="721">
      <c r="B721" s="8"/>
      <c r="C721" s="8"/>
    </row>
    <row r="722">
      <c r="B722" s="8"/>
      <c r="C722" s="8"/>
    </row>
    <row r="723">
      <c r="B723" s="8"/>
      <c r="C723" s="8"/>
    </row>
    <row r="724">
      <c r="B724" s="8"/>
      <c r="C724" s="8"/>
    </row>
    <row r="725">
      <c r="B725" s="8"/>
      <c r="C725" s="8"/>
    </row>
    <row r="726">
      <c r="B726" s="8"/>
      <c r="C726" s="8"/>
    </row>
    <row r="727">
      <c r="B727" s="8"/>
      <c r="C727" s="8"/>
    </row>
    <row r="728">
      <c r="B728" s="8"/>
      <c r="C728" s="8"/>
    </row>
    <row r="729">
      <c r="B729" s="8"/>
      <c r="C729" s="8"/>
    </row>
    <row r="730">
      <c r="B730" s="8"/>
      <c r="C730" s="8"/>
    </row>
    <row r="731">
      <c r="B731" s="8"/>
      <c r="C731" s="8"/>
    </row>
    <row r="732">
      <c r="B732" s="8"/>
      <c r="C732" s="8"/>
    </row>
    <row r="733">
      <c r="B733" s="8"/>
      <c r="C733" s="8"/>
    </row>
    <row r="734">
      <c r="B734" s="8"/>
      <c r="C734" s="8"/>
    </row>
    <row r="735">
      <c r="B735" s="8"/>
      <c r="C735" s="8"/>
    </row>
    <row r="736">
      <c r="B736" s="8"/>
      <c r="C736" s="8"/>
    </row>
    <row r="737">
      <c r="B737" s="8"/>
      <c r="C737" s="8"/>
    </row>
    <row r="738">
      <c r="B738" s="8"/>
      <c r="C738" s="8"/>
    </row>
    <row r="739">
      <c r="B739" s="8"/>
      <c r="C739" s="8"/>
    </row>
    <row r="740">
      <c r="B740" s="8"/>
      <c r="C740" s="8"/>
    </row>
    <row r="741">
      <c r="B741" s="8"/>
      <c r="C741" s="8"/>
    </row>
    <row r="742">
      <c r="B742" s="8"/>
      <c r="C742" s="8"/>
    </row>
    <row r="743">
      <c r="B743" s="8"/>
      <c r="C743" s="8"/>
    </row>
    <row r="744">
      <c r="B744" s="8"/>
      <c r="C744" s="8"/>
    </row>
    <row r="745">
      <c r="B745" s="8"/>
      <c r="C745" s="8"/>
    </row>
    <row r="746">
      <c r="B746" s="8"/>
      <c r="C746" s="8"/>
    </row>
    <row r="747">
      <c r="B747" s="8"/>
      <c r="C747" s="8"/>
    </row>
    <row r="748">
      <c r="B748" s="8"/>
      <c r="C748" s="8"/>
    </row>
    <row r="749">
      <c r="B749" s="8"/>
      <c r="C749" s="8"/>
    </row>
    <row r="750">
      <c r="B750" s="8"/>
      <c r="C750" s="8"/>
    </row>
    <row r="751">
      <c r="B751" s="8"/>
      <c r="C751" s="8"/>
    </row>
    <row r="752">
      <c r="B752" s="8"/>
      <c r="C752" s="8"/>
    </row>
    <row r="753">
      <c r="B753" s="8"/>
      <c r="C753" s="8"/>
    </row>
    <row r="754">
      <c r="B754" s="8"/>
      <c r="C754" s="8"/>
    </row>
    <row r="755">
      <c r="B755" s="8"/>
      <c r="C755" s="8"/>
    </row>
    <row r="756">
      <c r="B756" s="8"/>
      <c r="C756" s="8"/>
    </row>
    <row r="757">
      <c r="B757" s="8"/>
      <c r="C757" s="8"/>
    </row>
    <row r="758">
      <c r="B758" s="8"/>
      <c r="C758" s="8"/>
    </row>
    <row r="759">
      <c r="B759" s="8"/>
      <c r="C759" s="8"/>
    </row>
    <row r="760">
      <c r="B760" s="8"/>
      <c r="C760" s="8"/>
    </row>
    <row r="761">
      <c r="B761" s="8"/>
      <c r="C761" s="8"/>
    </row>
    <row r="762">
      <c r="B762" s="8"/>
      <c r="C762" s="8"/>
    </row>
    <row r="763">
      <c r="B763" s="8"/>
      <c r="C763" s="8"/>
    </row>
    <row r="764">
      <c r="B764" s="8"/>
      <c r="C764" s="8"/>
    </row>
    <row r="765">
      <c r="B765" s="8"/>
      <c r="C765" s="8"/>
    </row>
    <row r="766">
      <c r="B766" s="8"/>
      <c r="C766" s="8"/>
    </row>
    <row r="767">
      <c r="B767" s="8"/>
      <c r="C767" s="8"/>
    </row>
    <row r="768">
      <c r="B768" s="8"/>
      <c r="C768" s="8"/>
    </row>
    <row r="769">
      <c r="B769" s="8"/>
      <c r="C769" s="8"/>
    </row>
    <row r="770">
      <c r="B770" s="8"/>
      <c r="C770" s="8"/>
    </row>
    <row r="771">
      <c r="B771" s="8"/>
      <c r="C771" s="8"/>
    </row>
    <row r="772">
      <c r="B772" s="8"/>
      <c r="C772" s="8"/>
    </row>
    <row r="773">
      <c r="B773" s="8"/>
      <c r="C773" s="8"/>
    </row>
    <row r="774">
      <c r="B774" s="8"/>
      <c r="C774" s="8"/>
    </row>
    <row r="775">
      <c r="B775" s="8"/>
      <c r="C775" s="8"/>
    </row>
    <row r="776">
      <c r="B776" s="8"/>
      <c r="C776" s="8"/>
    </row>
    <row r="777">
      <c r="B777" s="8"/>
      <c r="C777" s="8"/>
    </row>
    <row r="778">
      <c r="B778" s="8"/>
      <c r="C778" s="8"/>
    </row>
    <row r="779">
      <c r="B779" s="8"/>
      <c r="C779" s="8"/>
    </row>
    <row r="780">
      <c r="B780" s="8"/>
      <c r="C780" s="8"/>
    </row>
    <row r="781">
      <c r="B781" s="8"/>
      <c r="C781" s="8"/>
    </row>
    <row r="782">
      <c r="B782" s="8"/>
      <c r="C782" s="8"/>
    </row>
    <row r="783">
      <c r="B783" s="8"/>
      <c r="C783" s="8"/>
    </row>
    <row r="784">
      <c r="B784" s="8"/>
      <c r="C784" s="8"/>
    </row>
    <row r="785">
      <c r="B785" s="8"/>
      <c r="C785" s="8"/>
    </row>
    <row r="786">
      <c r="B786" s="8"/>
      <c r="C786" s="8"/>
    </row>
    <row r="787">
      <c r="B787" s="8"/>
      <c r="C787" s="8"/>
    </row>
    <row r="788">
      <c r="B788" s="8"/>
      <c r="C788" s="8"/>
    </row>
    <row r="789">
      <c r="B789" s="8"/>
      <c r="C789" s="8"/>
    </row>
    <row r="790">
      <c r="B790" s="8"/>
      <c r="C790" s="8"/>
    </row>
    <row r="791">
      <c r="B791" s="8"/>
      <c r="C791" s="8"/>
    </row>
    <row r="792">
      <c r="B792" s="8"/>
      <c r="C792" s="8"/>
    </row>
    <row r="793">
      <c r="B793" s="8"/>
      <c r="C793" s="8"/>
    </row>
    <row r="794">
      <c r="B794" s="8"/>
      <c r="C794" s="8"/>
    </row>
    <row r="795">
      <c r="B795" s="8"/>
      <c r="C795" s="8"/>
    </row>
    <row r="796">
      <c r="B796" s="8"/>
      <c r="C796" s="8"/>
    </row>
    <row r="797">
      <c r="B797" s="8"/>
      <c r="C797" s="8"/>
    </row>
    <row r="798">
      <c r="B798" s="8"/>
      <c r="C798" s="8"/>
    </row>
    <row r="799">
      <c r="B799" s="8"/>
      <c r="C799" s="8"/>
    </row>
    <row r="800">
      <c r="B800" s="8"/>
      <c r="C800" s="8"/>
    </row>
    <row r="801">
      <c r="B801" s="8"/>
      <c r="C801" s="8"/>
    </row>
    <row r="802">
      <c r="B802" s="8"/>
      <c r="C802" s="8"/>
    </row>
    <row r="803">
      <c r="B803" s="8"/>
      <c r="C803" s="8"/>
    </row>
    <row r="804">
      <c r="B804" s="8"/>
      <c r="C804" s="8"/>
    </row>
    <row r="805">
      <c r="B805" s="8"/>
      <c r="C805" s="8"/>
    </row>
    <row r="806">
      <c r="B806" s="8"/>
      <c r="C806" s="8"/>
    </row>
    <row r="807">
      <c r="B807" s="8"/>
      <c r="C807" s="8"/>
    </row>
    <row r="808">
      <c r="B808" s="8"/>
      <c r="C808" s="8"/>
    </row>
    <row r="809">
      <c r="B809" s="8"/>
      <c r="C809" s="8"/>
    </row>
    <row r="810">
      <c r="B810" s="8"/>
      <c r="C810" s="8"/>
    </row>
    <row r="811">
      <c r="B811" s="8"/>
      <c r="C811" s="8"/>
    </row>
    <row r="812">
      <c r="B812" s="8"/>
      <c r="C812" s="8"/>
    </row>
    <row r="813">
      <c r="B813" s="8"/>
      <c r="C813" s="8"/>
    </row>
    <row r="814">
      <c r="B814" s="8"/>
      <c r="C814" s="8"/>
    </row>
    <row r="815">
      <c r="B815" s="8"/>
      <c r="C815" s="8"/>
    </row>
    <row r="816">
      <c r="B816" s="8"/>
      <c r="C816" s="8"/>
    </row>
    <row r="817">
      <c r="B817" s="8"/>
      <c r="C817" s="8"/>
    </row>
    <row r="818">
      <c r="B818" s="8"/>
      <c r="C818" s="8"/>
    </row>
    <row r="819">
      <c r="B819" s="8"/>
      <c r="C819" s="8"/>
    </row>
    <row r="820">
      <c r="B820" s="8"/>
      <c r="C820" s="8"/>
    </row>
    <row r="821">
      <c r="B821" s="8"/>
      <c r="C821" s="8"/>
    </row>
    <row r="822">
      <c r="B822" s="8"/>
      <c r="C822" s="8"/>
    </row>
    <row r="823">
      <c r="B823" s="8"/>
      <c r="C823" s="8"/>
    </row>
    <row r="824">
      <c r="B824" s="8"/>
      <c r="C824" s="8"/>
    </row>
    <row r="825">
      <c r="B825" s="8"/>
      <c r="C825" s="8"/>
    </row>
    <row r="826">
      <c r="B826" s="8"/>
      <c r="C826" s="8"/>
    </row>
    <row r="827">
      <c r="B827" s="8"/>
      <c r="C827" s="8"/>
    </row>
    <row r="828">
      <c r="B828" s="8"/>
      <c r="C828" s="8"/>
    </row>
    <row r="829">
      <c r="B829" s="8"/>
      <c r="C829" s="8"/>
    </row>
    <row r="830">
      <c r="B830" s="8"/>
      <c r="C830" s="8"/>
    </row>
    <row r="831">
      <c r="B831" s="8"/>
      <c r="C831" s="8"/>
    </row>
    <row r="832">
      <c r="B832" s="8"/>
      <c r="C832" s="8"/>
    </row>
    <row r="833">
      <c r="B833" s="8"/>
      <c r="C833" s="8"/>
    </row>
    <row r="834">
      <c r="B834" s="8"/>
      <c r="C834" s="8"/>
    </row>
    <row r="835">
      <c r="B835" s="8"/>
      <c r="C835" s="8"/>
    </row>
    <row r="836">
      <c r="B836" s="8"/>
      <c r="C836" s="8"/>
    </row>
    <row r="837">
      <c r="B837" s="8"/>
      <c r="C837" s="8"/>
    </row>
    <row r="838">
      <c r="B838" s="8"/>
      <c r="C838" s="8"/>
    </row>
    <row r="839">
      <c r="B839" s="8"/>
      <c r="C839" s="8"/>
    </row>
    <row r="840">
      <c r="B840" s="8"/>
      <c r="C840" s="8"/>
    </row>
    <row r="841">
      <c r="B841" s="8"/>
      <c r="C841" s="8"/>
    </row>
    <row r="842">
      <c r="B842" s="8"/>
      <c r="C842" s="8"/>
    </row>
    <row r="843">
      <c r="B843" s="8"/>
      <c r="C843" s="8"/>
    </row>
    <row r="844">
      <c r="B844" s="8"/>
      <c r="C844" s="8"/>
    </row>
    <row r="845">
      <c r="B845" s="8"/>
      <c r="C845" s="8"/>
    </row>
    <row r="846">
      <c r="B846" s="8"/>
      <c r="C846" s="8"/>
    </row>
    <row r="847">
      <c r="B847" s="8"/>
      <c r="C847" s="8"/>
    </row>
    <row r="848">
      <c r="B848" s="8"/>
      <c r="C848" s="8"/>
    </row>
    <row r="849">
      <c r="B849" s="8"/>
      <c r="C849" s="8"/>
    </row>
    <row r="850">
      <c r="B850" s="8"/>
      <c r="C850" s="8"/>
    </row>
    <row r="851">
      <c r="B851" s="8"/>
      <c r="C851" s="8"/>
    </row>
    <row r="852">
      <c r="B852" s="8"/>
      <c r="C852" s="8"/>
    </row>
    <row r="853">
      <c r="B853" s="8"/>
      <c r="C853" s="8"/>
    </row>
    <row r="854">
      <c r="B854" s="8"/>
      <c r="C854" s="8"/>
    </row>
    <row r="855">
      <c r="B855" s="8"/>
      <c r="C855" s="8"/>
    </row>
    <row r="856">
      <c r="B856" s="8"/>
      <c r="C856" s="8"/>
    </row>
    <row r="857">
      <c r="B857" s="8"/>
      <c r="C857" s="8"/>
    </row>
    <row r="858">
      <c r="B858" s="8"/>
      <c r="C858" s="8"/>
    </row>
    <row r="859">
      <c r="B859" s="8"/>
      <c r="C859" s="8"/>
    </row>
    <row r="860">
      <c r="B860" s="8"/>
      <c r="C860" s="8"/>
    </row>
    <row r="861">
      <c r="B861" s="8"/>
      <c r="C861" s="8"/>
    </row>
    <row r="862">
      <c r="B862" s="8"/>
      <c r="C862" s="8"/>
    </row>
    <row r="863">
      <c r="B863" s="8"/>
      <c r="C863" s="8"/>
    </row>
    <row r="864">
      <c r="B864" s="8"/>
      <c r="C864" s="8"/>
    </row>
    <row r="865">
      <c r="B865" s="8"/>
      <c r="C865" s="8"/>
    </row>
    <row r="866">
      <c r="B866" s="8"/>
      <c r="C866" s="8"/>
    </row>
    <row r="867">
      <c r="B867" s="8"/>
      <c r="C867" s="8"/>
    </row>
    <row r="868">
      <c r="B868" s="8"/>
      <c r="C868" s="8"/>
    </row>
    <row r="869">
      <c r="B869" s="8"/>
      <c r="C869" s="8"/>
    </row>
    <row r="870">
      <c r="B870" s="8"/>
      <c r="C870" s="8"/>
    </row>
    <row r="871">
      <c r="B871" s="8"/>
      <c r="C871" s="8"/>
    </row>
    <row r="872">
      <c r="B872" s="8"/>
      <c r="C872" s="8"/>
    </row>
    <row r="873">
      <c r="B873" s="8"/>
      <c r="C873" s="8"/>
    </row>
    <row r="874">
      <c r="B874" s="8"/>
      <c r="C874" s="8"/>
    </row>
    <row r="875">
      <c r="B875" s="8"/>
      <c r="C875" s="8"/>
    </row>
    <row r="876">
      <c r="B876" s="8"/>
      <c r="C876" s="8"/>
    </row>
    <row r="877">
      <c r="B877" s="8"/>
      <c r="C877" s="8"/>
    </row>
    <row r="878">
      <c r="B878" s="8"/>
      <c r="C878" s="8"/>
    </row>
    <row r="879">
      <c r="B879" s="8"/>
      <c r="C879" s="8"/>
    </row>
    <row r="880">
      <c r="B880" s="8"/>
      <c r="C880" s="8"/>
    </row>
    <row r="881">
      <c r="B881" s="8"/>
      <c r="C881" s="8"/>
    </row>
    <row r="882">
      <c r="B882" s="8"/>
      <c r="C882" s="8"/>
    </row>
    <row r="883">
      <c r="B883" s="8"/>
      <c r="C883" s="8"/>
    </row>
    <row r="884">
      <c r="B884" s="8"/>
      <c r="C884" s="8"/>
    </row>
    <row r="885">
      <c r="B885" s="8"/>
      <c r="C885" s="8"/>
    </row>
    <row r="886">
      <c r="B886" s="8"/>
      <c r="C886" s="8"/>
    </row>
    <row r="887">
      <c r="B887" s="8"/>
      <c r="C887" s="8"/>
    </row>
    <row r="888">
      <c r="B888" s="8"/>
      <c r="C888" s="8"/>
    </row>
    <row r="889">
      <c r="B889" s="8"/>
      <c r="C889" s="8"/>
    </row>
    <row r="890">
      <c r="B890" s="8"/>
      <c r="C890" s="8"/>
    </row>
    <row r="891">
      <c r="B891" s="8"/>
      <c r="C891" s="8"/>
    </row>
    <row r="892">
      <c r="B892" s="8"/>
      <c r="C892" s="8"/>
    </row>
    <row r="893">
      <c r="B893" s="8"/>
      <c r="C893" s="8"/>
    </row>
    <row r="894">
      <c r="B894" s="8"/>
      <c r="C894" s="8"/>
    </row>
    <row r="895">
      <c r="B895" s="8"/>
      <c r="C895" s="8"/>
    </row>
    <row r="896">
      <c r="B896" s="8"/>
      <c r="C896" s="8"/>
    </row>
    <row r="897">
      <c r="B897" s="8"/>
      <c r="C897" s="8"/>
    </row>
    <row r="898">
      <c r="B898" s="8"/>
      <c r="C898" s="8"/>
    </row>
    <row r="899">
      <c r="B899" s="8"/>
      <c r="C899" s="8"/>
    </row>
    <row r="900">
      <c r="B900" s="8"/>
      <c r="C900" s="8"/>
    </row>
    <row r="901">
      <c r="B901" s="8"/>
      <c r="C901" s="8"/>
    </row>
    <row r="902">
      <c r="B902" s="8"/>
      <c r="C902" s="8"/>
    </row>
    <row r="903">
      <c r="B903" s="8"/>
      <c r="C903" s="8"/>
    </row>
    <row r="904">
      <c r="B904" s="8"/>
      <c r="C904" s="8"/>
    </row>
    <row r="905">
      <c r="B905" s="8"/>
      <c r="C905" s="8"/>
    </row>
    <row r="906">
      <c r="B906" s="8"/>
      <c r="C906" s="8"/>
    </row>
    <row r="907">
      <c r="B907" s="8"/>
      <c r="C907" s="8"/>
    </row>
    <row r="908">
      <c r="B908" s="8"/>
      <c r="C908" s="8"/>
    </row>
    <row r="909">
      <c r="B909" s="8"/>
      <c r="C909" s="8"/>
    </row>
    <row r="910">
      <c r="B910" s="8"/>
      <c r="C910" s="8"/>
    </row>
    <row r="911">
      <c r="B911" s="8"/>
      <c r="C911" s="8"/>
    </row>
    <row r="912">
      <c r="B912" s="8"/>
      <c r="C912" s="8"/>
    </row>
    <row r="913">
      <c r="B913" s="8"/>
      <c r="C913" s="8"/>
    </row>
    <row r="914">
      <c r="B914" s="8"/>
      <c r="C914" s="8"/>
    </row>
    <row r="915">
      <c r="B915" s="8"/>
      <c r="C915" s="8"/>
    </row>
    <row r="916">
      <c r="B916" s="8"/>
      <c r="C916" s="8"/>
    </row>
    <row r="917">
      <c r="B917" s="8"/>
      <c r="C917" s="8"/>
    </row>
    <row r="918">
      <c r="B918" s="8"/>
      <c r="C918" s="8"/>
    </row>
    <row r="919">
      <c r="B919" s="8"/>
      <c r="C919" s="8"/>
    </row>
    <row r="920">
      <c r="B920" s="8"/>
      <c r="C920" s="8"/>
    </row>
    <row r="921">
      <c r="B921" s="8"/>
      <c r="C921" s="8"/>
    </row>
    <row r="922">
      <c r="B922" s="8"/>
      <c r="C922" s="8"/>
    </row>
    <row r="923">
      <c r="B923" s="8"/>
      <c r="C923" s="8"/>
    </row>
    <row r="924">
      <c r="B924" s="8"/>
      <c r="C924" s="8"/>
    </row>
    <row r="925">
      <c r="B925" s="8"/>
      <c r="C925" s="8"/>
    </row>
    <row r="926">
      <c r="B926" s="8"/>
      <c r="C926" s="8"/>
    </row>
    <row r="927">
      <c r="B927" s="8"/>
      <c r="C927" s="8"/>
    </row>
    <row r="928">
      <c r="B928" s="8"/>
      <c r="C928" s="8"/>
    </row>
    <row r="929">
      <c r="B929" s="8"/>
      <c r="C929" s="8"/>
    </row>
    <row r="930">
      <c r="B930" s="8"/>
      <c r="C930" s="8"/>
    </row>
    <row r="931">
      <c r="B931" s="8"/>
      <c r="C931" s="8"/>
    </row>
    <row r="932">
      <c r="B932" s="8"/>
      <c r="C932" s="8"/>
    </row>
    <row r="933">
      <c r="B933" s="8"/>
      <c r="C933" s="8"/>
    </row>
    <row r="934">
      <c r="B934" s="8"/>
      <c r="C934" s="8"/>
    </row>
    <row r="935">
      <c r="B935" s="8"/>
      <c r="C935" s="8"/>
    </row>
    <row r="936">
      <c r="B936" s="8"/>
      <c r="C936" s="8"/>
    </row>
    <row r="937">
      <c r="B937" s="8"/>
      <c r="C937" s="8"/>
    </row>
    <row r="938">
      <c r="B938" s="8"/>
      <c r="C938" s="8"/>
    </row>
    <row r="939">
      <c r="B939" s="8"/>
      <c r="C939" s="8"/>
    </row>
    <row r="940">
      <c r="B940" s="8"/>
      <c r="C940" s="8"/>
    </row>
    <row r="941">
      <c r="B941" s="8"/>
      <c r="C941" s="8"/>
    </row>
    <row r="942">
      <c r="B942" s="8"/>
      <c r="C942" s="8"/>
    </row>
    <row r="943">
      <c r="B943" s="8"/>
      <c r="C943" s="8"/>
    </row>
    <row r="944">
      <c r="B944" s="8"/>
      <c r="C944" s="8"/>
    </row>
    <row r="945">
      <c r="B945" s="8"/>
      <c r="C945" s="8"/>
    </row>
    <row r="946">
      <c r="B946" s="8"/>
      <c r="C946" s="8"/>
    </row>
    <row r="947">
      <c r="B947" s="8"/>
      <c r="C947" s="8"/>
    </row>
    <row r="948">
      <c r="B948" s="8"/>
      <c r="C948" s="8"/>
    </row>
    <row r="949">
      <c r="B949" s="8"/>
      <c r="C949" s="8"/>
    </row>
    <row r="950">
      <c r="B950" s="8"/>
      <c r="C950" s="8"/>
    </row>
    <row r="951">
      <c r="B951" s="8"/>
      <c r="C951" s="8"/>
    </row>
    <row r="952">
      <c r="B952" s="8"/>
      <c r="C952" s="8"/>
    </row>
    <row r="953">
      <c r="B953" s="8"/>
      <c r="C953" s="8"/>
    </row>
    <row r="954">
      <c r="B954" s="8"/>
      <c r="C954" s="8"/>
    </row>
    <row r="955">
      <c r="B955" s="8"/>
      <c r="C955" s="8"/>
    </row>
    <row r="956">
      <c r="B956" s="8"/>
      <c r="C956" s="8"/>
    </row>
    <row r="957">
      <c r="B957" s="8"/>
      <c r="C957" s="8"/>
    </row>
    <row r="958">
      <c r="B958" s="8"/>
      <c r="C958" s="8"/>
    </row>
    <row r="959">
      <c r="B959" s="8"/>
      <c r="C959" s="8"/>
    </row>
    <row r="960">
      <c r="B960" s="8"/>
      <c r="C960" s="8"/>
    </row>
    <row r="961">
      <c r="B961" s="8"/>
      <c r="C961" s="8"/>
    </row>
    <row r="962">
      <c r="B962" s="8"/>
      <c r="C962" s="8"/>
    </row>
    <row r="963">
      <c r="B963" s="8"/>
      <c r="C963" s="8"/>
    </row>
    <row r="964">
      <c r="B964" s="8"/>
      <c r="C964" s="8"/>
    </row>
    <row r="965">
      <c r="B965" s="8"/>
      <c r="C965" s="8"/>
    </row>
    <row r="966">
      <c r="B966" s="8"/>
      <c r="C966" s="8"/>
    </row>
    <row r="967">
      <c r="B967" s="8"/>
      <c r="C967" s="8"/>
    </row>
    <row r="968">
      <c r="B968" s="8"/>
      <c r="C968" s="8"/>
    </row>
    <row r="969">
      <c r="B969" s="8"/>
      <c r="C969" s="8"/>
    </row>
    <row r="970">
      <c r="B970" s="8"/>
      <c r="C970" s="8"/>
    </row>
    <row r="971">
      <c r="B971" s="8"/>
      <c r="C971" s="8"/>
    </row>
    <row r="972">
      <c r="B972" s="8"/>
      <c r="C972" s="8"/>
    </row>
    <row r="973">
      <c r="B973" s="8"/>
      <c r="C973" s="8"/>
    </row>
    <row r="974">
      <c r="B974" s="8"/>
      <c r="C974" s="8"/>
    </row>
    <row r="975">
      <c r="B975" s="8"/>
      <c r="C975" s="8"/>
    </row>
    <row r="976">
      <c r="B976" s="8"/>
      <c r="C976" s="8"/>
    </row>
    <row r="977">
      <c r="B977" s="8"/>
      <c r="C977" s="8"/>
    </row>
    <row r="978">
      <c r="B978" s="8"/>
      <c r="C978" s="8"/>
    </row>
    <row r="979">
      <c r="B979" s="8"/>
      <c r="C979" s="8"/>
    </row>
    <row r="980">
      <c r="B980" s="8"/>
      <c r="C980" s="8"/>
    </row>
    <row r="981">
      <c r="B981" s="8"/>
      <c r="C981" s="8"/>
    </row>
    <row r="982">
      <c r="B982" s="8"/>
      <c r="C982" s="8"/>
    </row>
    <row r="983">
      <c r="B983" s="8"/>
      <c r="C983" s="8"/>
    </row>
    <row r="984">
      <c r="B984" s="8"/>
      <c r="C984" s="8"/>
    </row>
    <row r="985">
      <c r="B985" s="8"/>
      <c r="C985" s="8"/>
    </row>
    <row r="986">
      <c r="B986" s="8"/>
      <c r="C986" s="8"/>
    </row>
    <row r="987">
      <c r="B987" s="8"/>
      <c r="C987" s="8"/>
    </row>
    <row r="988">
      <c r="B988" s="8"/>
      <c r="C988" s="8"/>
    </row>
    <row r="989">
      <c r="B989" s="8"/>
      <c r="C989" s="8"/>
    </row>
    <row r="990">
      <c r="B990" s="8"/>
      <c r="C990" s="8"/>
    </row>
    <row r="991">
      <c r="B991" s="8"/>
      <c r="C991" s="8"/>
    </row>
    <row r="992">
      <c r="B992" s="8"/>
      <c r="C992" s="8"/>
    </row>
    <row r="993">
      <c r="B993" s="8"/>
      <c r="C993" s="8"/>
    </row>
    <row r="994">
      <c r="B994" s="8"/>
      <c r="C994" s="8"/>
    </row>
    <row r="995">
      <c r="B995" s="8"/>
      <c r="C995" s="8"/>
    </row>
    <row r="996">
      <c r="B996" s="8"/>
      <c r="C996" s="8"/>
    </row>
    <row r="997">
      <c r="B997" s="8"/>
      <c r="C997" s="8"/>
    </row>
    <row r="998">
      <c r="B998" s="8"/>
      <c r="C998" s="8"/>
    </row>
    <row r="999">
      <c r="B999" s="8"/>
      <c r="C999" s="8"/>
    </row>
    <row r="1000">
      <c r="B1000" s="8"/>
      <c r="C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26.0"/>
    <col customWidth="1" min="3" max="3" width="36.5"/>
    <col customWidth="1" min="7" max="7" width="41.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row>
    <row r="2">
      <c r="A2" s="1" t="str">
        <f t="shared" ref="A2:A244" si="1">SUBSTITUTE(B2, " ", "_")
</f>
        <v>Local_time</v>
      </c>
      <c r="B2" s="2" t="s">
        <v>64</v>
      </c>
      <c r="C2" s="1" t="str">
        <f t="shared" ref="C2:C196" si="2">SUBSTITUTE(SUBSTITUTE(B2, "%1$d", "98689"),"(s)","")</f>
        <v>Local time</v>
      </c>
      <c r="D2" s="3" t="str">
        <f>IFERROR(__xludf.DUMMYFUNCTION("GoogleTranslate(C2, ""en"", ""es"")"),"Hora local")</f>
        <v>Hora local</v>
      </c>
      <c r="E2" s="3" t="str">
        <f>IFERROR(__xludf.DUMMYFUNCTION("GoogleTranslate(C2, ""en"", ""ar"")"),"التوقيت المحلي")</f>
        <v>التوقيت المحلي</v>
      </c>
      <c r="F2" s="3" t="str">
        <f>IFERROR(__xludf.DUMMYFUNCTION("GoogleTranslate(C2, ""en"", ""hy"")"),"Տեղական ժամանակով")</f>
        <v>Տեղական ժամանակով</v>
      </c>
      <c r="G2" s="3" t="str">
        <f>IFERROR(__xludf.DUMMYFUNCTION("GoogleTranslate(C2, ""en"", ""vi"")"),"Giờ địa phương")</f>
        <v>Giờ địa phương</v>
      </c>
      <c r="H2" s="3" t="str">
        <f>IFERROR(__xludf.DUMMYFUNCTION("GoogleTranslate(C2, ""en"", ""az"")"),"Yerli vaxt")</f>
        <v>Yerli vaxt</v>
      </c>
      <c r="I2" s="3" t="str">
        <f>IFERROR(__xludf.DUMMYFUNCTION("GoogleTranslate(C2, ""en"", ""eu"")"),"Tokiko ordua")</f>
        <v>Tokiko ordua</v>
      </c>
      <c r="J2" s="3" t="str">
        <f>IFERROR(__xludf.DUMMYFUNCTION("GoogleTranslate(C2, ""en"", ""be"")"),"Мясцовы час")</f>
        <v>Мясцовы час</v>
      </c>
      <c r="K2" s="3" t="str">
        <f>IFERROR(__xludf.DUMMYFUNCTION("GoogleTranslate(C2, ""en"", ""bn"")"),"স্থানীয় সময়")</f>
        <v>স্থানীয় সময়</v>
      </c>
      <c r="L2" s="3" t="str">
        <f>IFERROR(__xludf.DUMMYFUNCTION("GoogleTranslate(C2, ""en"", ""bg"")"),"Местно време")</f>
        <v>Местно време</v>
      </c>
      <c r="M2" s="3" t="str">
        <f>IFERROR(__xludf.DUMMYFUNCTION("GoogleTranslate(C2, ""en"", ""my"")"),"ဒေသစံတော်ချိန်")</f>
        <v>ဒေသစံတော်ချိန်</v>
      </c>
      <c r="N2" s="3" t="str">
        <f>IFERROR(__xludf.DUMMYFUNCTION("GoogleTranslate(C2, ""en"", ""ca"")"),"Hora local")</f>
        <v>Hora local</v>
      </c>
      <c r="O2" s="3" t="str">
        <f>IFERROR(__xludf.DUMMYFUNCTION("GoogleTranslate(C2, ""en"", ""zh-cn"")"),"当地时间")</f>
        <v>当地时间</v>
      </c>
      <c r="P2" s="3" t="str">
        <f>IFERROR(__xludf.DUMMYFUNCTION("GoogleTranslate(C2, ""en"", ""zh-TW"")"),"當地時間")</f>
        <v>當地時間</v>
      </c>
      <c r="Q2" s="3" t="str">
        <f>IFERROR(__xludf.DUMMYFUNCTION("GoogleTranslate(C2, ""en"", ""hr"")"),"Lokalno vrijeme")</f>
        <v>Lokalno vrijeme</v>
      </c>
      <c r="R2" s="3" t="str">
        <f>IFERROR(__xludf.DUMMYFUNCTION("GoogleTranslate(C2, ""en"", ""cs"")"),"Místní čas")</f>
        <v>Místní čas</v>
      </c>
      <c r="S2" s="3" t="str">
        <f>IFERROR(__xludf.DUMMYFUNCTION("GoogleTranslate(C2, ""en"", ""da"")"),"Lokal tid")</f>
        <v>Lokal tid</v>
      </c>
      <c r="T2" s="3" t="str">
        <f>IFERROR(__xludf.DUMMYFUNCTION("GoogleTranslate(C2, ""en"", ""nl"")"),"Lokale tijd")</f>
        <v>Lokale tijd</v>
      </c>
      <c r="U2" s="3" t="str">
        <f>IFERROR(__xludf.DUMMYFUNCTION("GoogleTranslate(C2, ""en"", ""et"")"),"Kohalik aeg")</f>
        <v>Kohalik aeg</v>
      </c>
      <c r="V2" s="1" t="str">
        <f t="shared" ref="V2:V244" si="3">B2</f>
        <v>Local time</v>
      </c>
      <c r="W2" s="3" t="str">
        <f>IFERROR(__xludf.DUMMYFUNCTION("GoogleTranslate(C2, ""en"", ""fi"")"),"Paikallista aikaa")</f>
        <v>Paikallista aikaa</v>
      </c>
      <c r="X2" s="3" t="str">
        <f>IFERROR(__xludf.DUMMYFUNCTION("GoogleTranslate(C2, ""en"", ""fr"")"),"Heure locale")</f>
        <v>Heure locale</v>
      </c>
      <c r="Y2" s="3" t="str">
        <f>IFERROR(__xludf.DUMMYFUNCTION("GoogleTranslate(C2, ""en"", ""de"")"),"Ortszeit")</f>
        <v>Ortszeit</v>
      </c>
      <c r="Z2" s="3" t="str">
        <f>IFERROR(__xludf.DUMMYFUNCTION("GoogleTranslate(C2, ""en"", ""el"")"),"Τοπική ώρα")</f>
        <v>Τοπική ώρα</v>
      </c>
      <c r="AA2" s="3" t="str">
        <f>IFERROR(__xludf.DUMMYFUNCTION("GoogleTranslate(C2, ""en"", ""iw"")"),"זמן מקומי")</f>
        <v>זמן מקומי</v>
      </c>
      <c r="AB2" s="3" t="str">
        <f>IFERROR(__xludf.DUMMYFUNCTION("GoogleTranslate(C2, ""en"", ""hi"")"),"स्थानीय समय")</f>
        <v>स्थानीय समय</v>
      </c>
      <c r="AC2" s="3" t="str">
        <f>IFERROR(__xludf.DUMMYFUNCTION("GoogleTranslate(C2, ""en"", ""hu"")"),"Helyi idő")</f>
        <v>Helyi idő</v>
      </c>
      <c r="AD2" s="3" t="str">
        <f>IFERROR(__xludf.DUMMYFUNCTION("GoogleTranslate(C2, ""en"", ""is"")"),"Staðartími")</f>
        <v>Staðartími</v>
      </c>
      <c r="AE2" s="3" t="str">
        <f>IFERROR(__xludf.DUMMYFUNCTION("GoogleTranslate(C2, ""en"", ""id"")"),"Waktu setempat")</f>
        <v>Waktu setempat</v>
      </c>
      <c r="AF2" s="3" t="str">
        <f>IFERROR(__xludf.DUMMYFUNCTION("GoogleTranslate(C2, ""en"", ""in"")"),"Waktu setempat")</f>
        <v>Waktu setempat</v>
      </c>
      <c r="AG2" s="3" t="str">
        <f>IFERROR(__xludf.DUMMYFUNCTION("GoogleTranslate(C2, ""en"", ""it"")"),"Ora locale")</f>
        <v>Ora locale</v>
      </c>
      <c r="AH2" s="3" t="str">
        <f>IFERROR(__xludf.DUMMYFUNCTION("GoogleTranslate(C2, ""en"", ""ja"")"),"現地時間")</f>
        <v>現地時間</v>
      </c>
      <c r="AI2" s="3" t="str">
        <f>IFERROR(__xludf.DUMMYFUNCTION("GoogleTranslate(C2, ""en"", ""kn"")"),"ಸ್ಥಳೀಯ ಸಮಯ")</f>
        <v>ಸ್ಥಳೀಯ ಸಮಯ</v>
      </c>
      <c r="AJ2" s="3" t="str">
        <f>IFERROR(__xludf.DUMMYFUNCTION("GoogleTranslate(C2, ""en"", ""km"")"),"ម៉ោងក្នុងស្រុក")</f>
        <v>ម៉ោងក្នុងស្រុក</v>
      </c>
      <c r="AK2" s="3" t="str">
        <f>IFERROR(__xludf.DUMMYFUNCTION("GoogleTranslate(C2, ""en"", ""ko"")"),"현지 시간")</f>
        <v>현지 시간</v>
      </c>
      <c r="AL2" s="3" t="str">
        <f>IFERROR(__xludf.DUMMYFUNCTION("GoogleTranslate(C2, ""en"", ""lo"")"),"ເວລາທ້ອງຖິ່ນ")</f>
        <v>ເວລາທ້ອງຖິ່ນ</v>
      </c>
      <c r="AM2" s="3" t="str">
        <f>IFERROR(__xludf.DUMMYFUNCTION("GoogleTranslate(C2, ""en"", ""lv"")"),"Vietējais laiks")</f>
        <v>Vietējais laiks</v>
      </c>
      <c r="AN2" s="3" t="str">
        <f>IFERROR(__xludf.DUMMYFUNCTION("GoogleTranslate(C2, ""en"", ""lt"")"),"vietos laiku")</f>
        <v>vietos laiku</v>
      </c>
      <c r="AO2" s="3" t="str">
        <f>IFERROR(__xludf.DUMMYFUNCTION("GoogleTranslate(C2, ""en"", ""mk"")"),"локално време")</f>
        <v>локално време</v>
      </c>
      <c r="AP2" s="3" t="str">
        <f>IFERROR(__xludf.DUMMYFUNCTION("GoogleTranslate(C2, ""en"", ""ms"")"),"Waktu tempatan")</f>
        <v>Waktu tempatan</v>
      </c>
      <c r="AQ2" s="3" t="str">
        <f>IFERROR(__xludf.DUMMYFUNCTION("GoogleTranslate(C2, ""en"", ""ml"")"),"പ്രാദേശിക സമയം")</f>
        <v>പ്രാദേശിക സമയം</v>
      </c>
      <c r="AR2" s="3" t="str">
        <f>IFERROR(__xludf.DUMMYFUNCTION("GoogleTranslate(C2, ""en"", ""mr"")"),"स्थानिक वेळ")</f>
        <v>स्थानिक वेळ</v>
      </c>
      <c r="AS2" s="3" t="str">
        <f>IFERROR(__xludf.DUMMYFUNCTION("GoogleTranslate(C2, ""en"", ""mn"")"),"Орон нутгийн цаг")</f>
        <v>Орон нутгийн цаг</v>
      </c>
      <c r="AT2" s="3" t="str">
        <f>IFERROR(__xludf.DUMMYFUNCTION("GoogleTranslate(C2, ""en"", ""ne"")"),"स्थानीय समय")</f>
        <v>स्थानीय समय</v>
      </c>
      <c r="AU2" s="3" t="str">
        <f>IFERROR(__xludf.DUMMYFUNCTION("GoogleTranslate(C2, ""en"", ""nb"")"),"Lokal tid")</f>
        <v>Lokal tid</v>
      </c>
      <c r="AV2" s="3" t="str">
        <f>IFERROR(__xludf.DUMMYFUNCTION("GoogleTranslate(C2, ""en"", ""fa"")"),"به وقت محلی")</f>
        <v>به وقت محلی</v>
      </c>
      <c r="AW2" s="3" t="str">
        <f>IFERROR(__xludf.DUMMYFUNCTION("GoogleTranslate(C2, ""en"", ""pl"")"),"Czas lokalny")</f>
        <v>Czas lokalny</v>
      </c>
      <c r="AX2" s="3" t="str">
        <f>IFERROR(__xludf.DUMMYFUNCTION("GoogleTranslate(C2, ""en"", ""pt"")"),"Hora local")</f>
        <v>Hora local</v>
      </c>
      <c r="AY2" s="3" t="str">
        <f>IFERROR(__xludf.DUMMYFUNCTION("GoogleTranslate(C2, ""en"", ""ro"")"),"Ora locală")</f>
        <v>Ora locală</v>
      </c>
      <c r="AZ2" s="3" t="str">
        <f>IFERROR(__xludf.DUMMYFUNCTION("GoogleTranslate(C2, ""en"", ""ru"")"),"Местное время")</f>
        <v>Местное время</v>
      </c>
      <c r="BA2" s="3" t="str">
        <f>IFERROR(__xludf.DUMMYFUNCTION("GoogleTranslate(C2, ""en"", ""sr"")"),"Локално време")</f>
        <v>Локално време</v>
      </c>
      <c r="BB2" s="3" t="str">
        <f>IFERROR(__xludf.DUMMYFUNCTION("GoogleTranslate(C2, ""en"", ""si"")"),"දේශීය වේලාව")</f>
        <v>දේශීය වේලාව</v>
      </c>
      <c r="BC2" s="3" t="str">
        <f>IFERROR(__xludf.DUMMYFUNCTION("GoogleTranslate(C2, ""en"", ""sk"")"),"Miestny čas")</f>
        <v>Miestny čas</v>
      </c>
      <c r="BD2" s="3" t="str">
        <f>IFERROR(__xludf.DUMMYFUNCTION("GoogleTranslate(C2, ""en"", ""sl"")"),"Lokalni čas")</f>
        <v>Lokalni čas</v>
      </c>
      <c r="BE2" s="3" t="str">
        <f>IFERROR(__xludf.DUMMYFUNCTION("GoogleTranslate(C2, ""en"", ""es"")"),"Hora local")</f>
        <v>Hora local</v>
      </c>
      <c r="BF2" s="3" t="str">
        <f>IFERROR(__xludf.DUMMYFUNCTION("GoogleTranslate(C2, ""en"", ""sw"")"),"Wakati wa ndani")</f>
        <v>Wakati wa ndani</v>
      </c>
      <c r="BG2" s="3" t="str">
        <f>IFERROR(__xludf.DUMMYFUNCTION("GoogleTranslate(C2, ""en"", ""sv"")"),"Lokaltid")</f>
        <v>Lokaltid</v>
      </c>
      <c r="BH2" s="3" t="str">
        <f>IFERROR(__xludf.DUMMYFUNCTION("GoogleTranslate(C2, ""en"", ""te"")"),"స్థానిక సమయం")</f>
        <v>స్థానిక సమయం</v>
      </c>
      <c r="BI2" s="3" t="str">
        <f>IFERROR(__xludf.DUMMYFUNCTION("GoogleTranslate(C2, ""en"", ""th"")"),"เวลาท้องถิ่น")</f>
        <v>เวลาท้องถิ่น</v>
      </c>
      <c r="BJ2" s="3" t="str">
        <f>IFERROR(__xludf.DUMMYFUNCTION("GoogleTranslate(C2, ""en"", ""tr"")"),"Yerel saat")</f>
        <v>Yerel saat</v>
      </c>
      <c r="BK2" s="3" t="str">
        <f>IFERROR(__xludf.DUMMYFUNCTION("GoogleTranslate(C2, ""en"", ""uk"")"),"Місцевий час")</f>
        <v>Місцевий час</v>
      </c>
      <c r="BL2" s="3" t="str">
        <f>IFERROR(__xludf.DUMMYFUNCTION("GoogleTranslate(C2, ""en"", ""zu"")"),"Isikhathi sendawo")</f>
        <v>Isikhathi sendawo</v>
      </c>
    </row>
    <row r="3">
      <c r="A3" s="1" t="str">
        <f t="shared" si="1"/>
        <v>Recent_Locations</v>
      </c>
      <c r="B3" s="4" t="s">
        <v>65</v>
      </c>
      <c r="C3" s="1" t="str">
        <f t="shared" si="2"/>
        <v>Recent Locations</v>
      </c>
      <c r="D3" s="3" t="str">
        <f>IFERROR(__xludf.DUMMYFUNCTION("GoogleTranslate(C3, ""en"", ""es"")"),"Ubicaciones recientes")</f>
        <v>Ubicaciones recientes</v>
      </c>
      <c r="E3" s="3" t="str">
        <f>IFERROR(__xludf.DUMMYFUNCTION("GoogleTranslate(C3, ""en"", ""ar"")"),"المواقع الأخيرة")</f>
        <v>المواقع الأخيرة</v>
      </c>
      <c r="F3" s="3" t="str">
        <f>IFERROR(__xludf.DUMMYFUNCTION("GoogleTranslate(C3, ""en"", ""hy"")"),"Վերջին վայրերը")</f>
        <v>Վերջին վայրերը</v>
      </c>
      <c r="G3" s="3" t="str">
        <f>IFERROR(__xludf.DUMMYFUNCTION("GoogleTranslate(C3, ""en"", ""vi"")"),"Vị trí gần đây")</f>
        <v>Vị trí gần đây</v>
      </c>
      <c r="H3" s="3" t="str">
        <f>IFERROR(__xludf.DUMMYFUNCTION("GoogleTranslate(C3, ""en"", ""az"")"),"Son Məkanlar")</f>
        <v>Son Məkanlar</v>
      </c>
      <c r="I3" s="3" t="str">
        <f>IFERROR(__xludf.DUMMYFUNCTION("GoogleTranslate(C3, ""en"", ""eu"")"),"Azken kokapenak")</f>
        <v>Azken kokapenak</v>
      </c>
      <c r="J3" s="3" t="str">
        <f>IFERROR(__xludf.DUMMYFUNCTION("GoogleTranslate(C3, ""en"", ""be"")"),"Апошнія месцы")</f>
        <v>Апошнія месцы</v>
      </c>
      <c r="K3" s="3" t="str">
        <f>IFERROR(__xludf.DUMMYFUNCTION("GoogleTranslate(C3, ""en"", ""bn"")"),"সাম্প্রতিক অবস্থান")</f>
        <v>সাম্প্রতিক অবস্থান</v>
      </c>
      <c r="L3" s="3" t="str">
        <f>IFERROR(__xludf.DUMMYFUNCTION("GoogleTranslate(C3, ""en"", ""bg"")"),"Скорошни местоположения")</f>
        <v>Скорошни местоположения</v>
      </c>
      <c r="M3" s="3" t="str">
        <f>IFERROR(__xludf.DUMMYFUNCTION("GoogleTranslate(C3, ""en"", ""my"")"),"လတ်တလောတည်နေရာများ")</f>
        <v>လတ်တလောတည်နေရာများ</v>
      </c>
      <c r="N3" s="3" t="str">
        <f>IFERROR(__xludf.DUMMYFUNCTION("GoogleTranslate(C3, ""en"", ""ca"")"),"Ubicacions recents")</f>
        <v>Ubicacions recents</v>
      </c>
      <c r="O3" s="3" t="str">
        <f>IFERROR(__xludf.DUMMYFUNCTION("GoogleTranslate(C3, ""en"", ""zh-cn"")"),"最近的地点")</f>
        <v>最近的地点</v>
      </c>
      <c r="P3" s="3" t="str">
        <f>IFERROR(__xludf.DUMMYFUNCTION("GoogleTranslate(C3, ""en"", ""zh-TW"")"),"最近的地點")</f>
        <v>最近的地點</v>
      </c>
      <c r="Q3" s="3" t="str">
        <f>IFERROR(__xludf.DUMMYFUNCTION("GoogleTranslate(C3, ""en"", ""hr"")"),"Nedavne lokacije")</f>
        <v>Nedavne lokacije</v>
      </c>
      <c r="R3" s="3" t="str">
        <f>IFERROR(__xludf.DUMMYFUNCTION("GoogleTranslate(C3, ""en"", ""cs"")"),"Nedávná umístění")</f>
        <v>Nedávná umístění</v>
      </c>
      <c r="S3" s="3" t="str">
        <f>IFERROR(__xludf.DUMMYFUNCTION("GoogleTranslate(C3, ""en"", ""da"")"),"Seneste steder")</f>
        <v>Seneste steder</v>
      </c>
      <c r="T3" s="3" t="str">
        <f>IFERROR(__xludf.DUMMYFUNCTION("GoogleTranslate(C3, ""en"", ""nl"")"),"Recente locaties")</f>
        <v>Recente locaties</v>
      </c>
      <c r="U3" s="3" t="str">
        <f>IFERROR(__xludf.DUMMYFUNCTION("GoogleTranslate(C3, ""en"", ""et"")"),"Viimased asukohad")</f>
        <v>Viimased asukohad</v>
      </c>
      <c r="V3" s="1" t="str">
        <f t="shared" si="3"/>
        <v>Recent Locations</v>
      </c>
      <c r="W3" s="3" t="str">
        <f>IFERROR(__xludf.DUMMYFUNCTION("GoogleTranslate(C3, ""en"", ""fi"")"),"Viimeaikaiset paikat")</f>
        <v>Viimeaikaiset paikat</v>
      </c>
      <c r="X3" s="3" t="str">
        <f>IFERROR(__xludf.DUMMYFUNCTION("GoogleTranslate(C3, ""en"", ""fr"")"),"Emplacements récents")</f>
        <v>Emplacements récents</v>
      </c>
      <c r="Y3" s="3" t="str">
        <f>IFERROR(__xludf.DUMMYFUNCTION("GoogleTranslate(C3, ""en"", ""de"")"),"Aktuelle Standorte")</f>
        <v>Aktuelle Standorte</v>
      </c>
      <c r="Z3" s="3" t="str">
        <f>IFERROR(__xludf.DUMMYFUNCTION("GoogleTranslate(C3, ""en"", ""el"")"),"Πρόσφατες τοποθεσίες")</f>
        <v>Πρόσφατες τοποθεσίες</v>
      </c>
      <c r="AA3" s="3" t="str">
        <f>IFERROR(__xludf.DUMMYFUNCTION("GoogleTranslate(C3, ""en"", ""iw"")"),"מיקומים אחרונים")</f>
        <v>מיקומים אחרונים</v>
      </c>
      <c r="AB3" s="3" t="str">
        <f>IFERROR(__xludf.DUMMYFUNCTION("GoogleTranslate(C3, ""en"", ""hi"")"),"हाल के स्थान")</f>
        <v>हाल के स्थान</v>
      </c>
      <c r="AC3" s="3" t="str">
        <f>IFERROR(__xludf.DUMMYFUNCTION("GoogleTranslate(C3, ""en"", ""hu"")"),"Legutóbbi helyek")</f>
        <v>Legutóbbi helyek</v>
      </c>
      <c r="AD3" s="3" t="str">
        <f>IFERROR(__xludf.DUMMYFUNCTION("GoogleTranslate(C3, ""en"", ""is"")"),"Nýlegar staðsetningar")</f>
        <v>Nýlegar staðsetningar</v>
      </c>
      <c r="AE3" s="3" t="str">
        <f>IFERROR(__xludf.DUMMYFUNCTION("GoogleTranslate(C3, ""en"", ""id"")"),"Lokasi Terkini")</f>
        <v>Lokasi Terkini</v>
      </c>
      <c r="AF3" s="3" t="str">
        <f>IFERROR(__xludf.DUMMYFUNCTION("GoogleTranslate(C3, ""en"", ""in"")"),"Lokasi Terkini")</f>
        <v>Lokasi Terkini</v>
      </c>
      <c r="AG3" s="3" t="str">
        <f>IFERROR(__xludf.DUMMYFUNCTION("GoogleTranslate(C3, ""en"", ""it"")"),"Posizioni recenti")</f>
        <v>Posizioni recenti</v>
      </c>
      <c r="AH3" s="3" t="str">
        <f>IFERROR(__xludf.DUMMYFUNCTION("GoogleTranslate(C3, ""en"", ""ja"")"),"最近の場所")</f>
        <v>最近の場所</v>
      </c>
      <c r="AI3" s="3" t="str">
        <f>IFERROR(__xludf.DUMMYFUNCTION("GoogleTranslate(C3, ""en"", ""kn"")"),"ಇತ್ತೀಚಿನ ಸ್ಥಳಗಳು")</f>
        <v>ಇತ್ತೀಚಿನ ಸ್ಥಳಗಳು</v>
      </c>
      <c r="AJ3" s="3" t="str">
        <f>IFERROR(__xludf.DUMMYFUNCTION("GoogleTranslate(C3, ""en"", ""km"")"),"ទីតាំងថ្មីៗ")</f>
        <v>ទីតាំងថ្មីៗ</v>
      </c>
      <c r="AK3" s="3" t="str">
        <f>IFERROR(__xludf.DUMMYFUNCTION("GoogleTranslate(C3, ""en"", ""ko"")"),"최근 위치")</f>
        <v>최근 위치</v>
      </c>
      <c r="AL3" s="3" t="str">
        <f>IFERROR(__xludf.DUMMYFUNCTION("GoogleTranslate(C3, ""en"", ""lo"")"),"ສະຖານທີ່ຫຼ້າສຸດ")</f>
        <v>ສະຖານທີ່ຫຼ້າສຸດ</v>
      </c>
      <c r="AM3" s="3" t="str">
        <f>IFERROR(__xludf.DUMMYFUNCTION("GoogleTranslate(C3, ""en"", ""lv"")"),"Pēdējās atrašanās vietas")</f>
        <v>Pēdējās atrašanās vietas</v>
      </c>
      <c r="AN3" s="3" t="str">
        <f>IFERROR(__xludf.DUMMYFUNCTION("GoogleTranslate(C3, ""en"", ""lt"")"),"Naujausios vietos")</f>
        <v>Naujausios vietos</v>
      </c>
      <c r="AO3" s="3" t="str">
        <f>IFERROR(__xludf.DUMMYFUNCTION("GoogleTranslate(C3, ""en"", ""mk"")"),"Неодамнешни локации")</f>
        <v>Неодамнешни локации</v>
      </c>
      <c r="AP3" s="3" t="str">
        <f>IFERROR(__xludf.DUMMYFUNCTION("GoogleTranslate(C3, ""en"", ""ms"")"),"Lokasi Terkini")</f>
        <v>Lokasi Terkini</v>
      </c>
      <c r="AQ3" s="3" t="str">
        <f>IFERROR(__xludf.DUMMYFUNCTION("GoogleTranslate(C3, ""en"", ""ml"")"),"സമീപകാല സ്ഥാനങ്ങൾ")</f>
        <v>സമീപകാല സ്ഥാനങ്ങൾ</v>
      </c>
      <c r="AR3" s="3" t="str">
        <f>IFERROR(__xludf.DUMMYFUNCTION("GoogleTranslate(C3, ""en"", ""mr"")"),"अलीकडील स्थाने")</f>
        <v>अलीकडील स्थाने</v>
      </c>
      <c r="AS3" s="3" t="str">
        <f>IFERROR(__xludf.DUMMYFUNCTION("GoogleTranslate(C3, ""en"", ""mn"")"),"Сүүлийн үеийн байршил")</f>
        <v>Сүүлийн үеийн байршил</v>
      </c>
      <c r="AT3" s="3" t="str">
        <f>IFERROR(__xludf.DUMMYFUNCTION("GoogleTranslate(C3, ""en"", ""ne"")"),"भर्खरका स्थानहरू")</f>
        <v>भर्खरका स्थानहरू</v>
      </c>
      <c r="AU3" s="3" t="str">
        <f>IFERROR(__xludf.DUMMYFUNCTION("GoogleTranslate(C3, ""en"", ""nb"")"),"Nylige plasseringer")</f>
        <v>Nylige plasseringer</v>
      </c>
      <c r="AV3" s="3" t="str">
        <f>IFERROR(__xludf.DUMMYFUNCTION("GoogleTranslate(C3, ""en"", ""fa"")"),"مکان های اخیر")</f>
        <v>مکان های اخیر</v>
      </c>
      <c r="AW3" s="3" t="str">
        <f>IFERROR(__xludf.DUMMYFUNCTION("GoogleTranslate(C3, ""en"", ""pl"")"),"Ostatnie lokalizacje")</f>
        <v>Ostatnie lokalizacje</v>
      </c>
      <c r="AX3" s="3" t="str">
        <f>IFERROR(__xludf.DUMMYFUNCTION("GoogleTranslate(C3, ""en"", ""pt"")"),"Locais recentes")</f>
        <v>Locais recentes</v>
      </c>
      <c r="AY3" s="3" t="str">
        <f>IFERROR(__xludf.DUMMYFUNCTION("GoogleTranslate(C3, ""en"", ""ro"")"),"Locații recente")</f>
        <v>Locații recente</v>
      </c>
      <c r="AZ3" s="3" t="str">
        <f>IFERROR(__xludf.DUMMYFUNCTION("GoogleTranslate(C3, ""en"", ""ru"")"),"Недавние местоположения")</f>
        <v>Недавние местоположения</v>
      </c>
      <c r="BA3" s="3" t="str">
        <f>IFERROR(__xludf.DUMMYFUNCTION("GoogleTranslate(C3, ""en"", ""sr"")"),"Недавне локације")</f>
        <v>Недавне локације</v>
      </c>
      <c r="BB3" s="3" t="str">
        <f>IFERROR(__xludf.DUMMYFUNCTION("GoogleTranslate(C3, ""en"", ""si"")"),"මෑත ස්ථාන")</f>
        <v>මෑත ස්ථාන</v>
      </c>
      <c r="BC3" s="3" t="str">
        <f>IFERROR(__xludf.DUMMYFUNCTION("GoogleTranslate(C3, ""en"", ""sk"")"),"Nedávne miesta")</f>
        <v>Nedávne miesta</v>
      </c>
      <c r="BD3" s="3" t="str">
        <f>IFERROR(__xludf.DUMMYFUNCTION("GoogleTranslate(C3, ""en"", ""sl"")"),"Nedavne lokacije")</f>
        <v>Nedavne lokacije</v>
      </c>
      <c r="BE3" s="3" t="str">
        <f>IFERROR(__xludf.DUMMYFUNCTION("GoogleTranslate(C3, ""en"", ""es"")"),"Ubicaciones recientes")</f>
        <v>Ubicaciones recientes</v>
      </c>
      <c r="BF3" s="3" t="str">
        <f>IFERROR(__xludf.DUMMYFUNCTION("GoogleTranslate(C3, ""en"", ""sw"")"),"Maeneo ya Hivi Karibuni")</f>
        <v>Maeneo ya Hivi Karibuni</v>
      </c>
      <c r="BG3" s="3" t="str">
        <f>IFERROR(__xludf.DUMMYFUNCTION("GoogleTranslate(C3, ""en"", ""sv"")"),"Senaste platser")</f>
        <v>Senaste platser</v>
      </c>
      <c r="BH3" s="3" t="str">
        <f>IFERROR(__xludf.DUMMYFUNCTION("GoogleTranslate(C3, ""en"", ""te"")"),"ఇటీవలి స్థానాలు")</f>
        <v>ఇటీవలి స్థానాలు</v>
      </c>
      <c r="BI3" s="3" t="str">
        <f>IFERROR(__xludf.DUMMYFUNCTION("GoogleTranslate(C3, ""en"", ""th"")"),"สถานที่ล่าสุด")</f>
        <v>สถานที่ล่าสุด</v>
      </c>
      <c r="BJ3" s="3" t="str">
        <f>IFERROR(__xludf.DUMMYFUNCTION("GoogleTranslate(C3, ""en"", ""tr"")"),"Son Konumlar")</f>
        <v>Son Konumlar</v>
      </c>
      <c r="BK3" s="3" t="str">
        <f>IFERROR(__xludf.DUMMYFUNCTION("GoogleTranslate(C3, ""en"", ""uk"")"),"Останні місця розташування")</f>
        <v>Останні місця розташування</v>
      </c>
      <c r="BL3" s="3" t="str">
        <f>IFERROR(__xludf.DUMMYFUNCTION("GoogleTranslate(C3, ""en"", ""zu"")"),"Izindawo Zakamuva")</f>
        <v>Izindawo Zakamuva</v>
      </c>
    </row>
    <row r="4">
      <c r="A4" s="1" t="str">
        <f t="shared" si="1"/>
        <v>Search_location</v>
      </c>
      <c r="B4" s="4" t="s">
        <v>66</v>
      </c>
      <c r="C4" s="1" t="str">
        <f t="shared" si="2"/>
        <v>Search location</v>
      </c>
      <c r="D4" s="3" t="str">
        <f>IFERROR(__xludf.DUMMYFUNCTION("GoogleTranslate(C4, ""en"", ""es"")"),"Ubicación de búsqueda")</f>
        <v>Ubicación de búsqueda</v>
      </c>
      <c r="E4" s="3" t="str">
        <f>IFERROR(__xludf.DUMMYFUNCTION("GoogleTranslate(C4, ""en"", ""ar"")"),"موقع البحث")</f>
        <v>موقع البحث</v>
      </c>
      <c r="F4" s="3" t="str">
        <f>IFERROR(__xludf.DUMMYFUNCTION("GoogleTranslate(C4, ""en"", ""hy"")"),"Որոնել գտնվելու վայրը")</f>
        <v>Որոնել գտնվելու վայրը</v>
      </c>
      <c r="G4" s="3" t="str">
        <f>IFERROR(__xludf.DUMMYFUNCTION("GoogleTranslate(C4, ""en"", ""vi"")"),"Tìm kiếm vị trí")</f>
        <v>Tìm kiếm vị trí</v>
      </c>
      <c r="H4" s="3" t="str">
        <f>IFERROR(__xludf.DUMMYFUNCTION("GoogleTranslate(C4, ""en"", ""az"")"),"Məkanı axtarın")</f>
        <v>Məkanı axtarın</v>
      </c>
      <c r="I4" s="3" t="str">
        <f>IFERROR(__xludf.DUMMYFUNCTION("GoogleTranslate(C4, ""en"", ""eu"")"),"Bilatu kokapena")</f>
        <v>Bilatu kokapena</v>
      </c>
      <c r="J4" s="3" t="str">
        <f>IFERROR(__xludf.DUMMYFUNCTION("GoogleTranslate(C4, ""en"", ""be"")"),"Месца пошуку")</f>
        <v>Месца пошуку</v>
      </c>
      <c r="K4" s="3" t="str">
        <f>IFERROR(__xludf.DUMMYFUNCTION("GoogleTranslate(C4, ""en"", ""bn"")"),"অবস্থান অনুসন্ধান করুন")</f>
        <v>অবস্থান অনুসন্ধান করুন</v>
      </c>
      <c r="L4" s="3" t="str">
        <f>IFERROR(__xludf.DUMMYFUNCTION("GoogleTranslate(C4, ""en"", ""bg"")"),"Търсете местоположение")</f>
        <v>Търсете местоположение</v>
      </c>
      <c r="M4" s="3" t="str">
        <f>IFERROR(__xludf.DUMMYFUNCTION("GoogleTranslate(C4, ""en"", ""my"")"),"တည်နေရာကို ရှာဖွေပါ။")</f>
        <v>တည်နေရာကို ရှာဖွေပါ။</v>
      </c>
      <c r="N4" s="3" t="str">
        <f>IFERROR(__xludf.DUMMYFUNCTION("GoogleTranslate(C4, ""en"", ""ca"")"),"Cerca la ubicació")</f>
        <v>Cerca la ubicació</v>
      </c>
      <c r="O4" s="3" t="str">
        <f>IFERROR(__xludf.DUMMYFUNCTION("GoogleTranslate(C4, ""en"", ""zh-cn"")"),"搜索地点")</f>
        <v>搜索地点</v>
      </c>
      <c r="P4" s="3" t="str">
        <f>IFERROR(__xludf.DUMMYFUNCTION("GoogleTranslate(C4, ""en"", ""zh-TW"")"),"搜尋地點")</f>
        <v>搜尋地點</v>
      </c>
      <c r="Q4" s="3" t="str">
        <f>IFERROR(__xludf.DUMMYFUNCTION("GoogleTranslate(C4, ""en"", ""hr"")"),"Lokacija traženja")</f>
        <v>Lokacija traženja</v>
      </c>
      <c r="R4" s="3" t="str">
        <f>IFERROR(__xludf.DUMMYFUNCTION("GoogleTranslate(C4, ""en"", ""cs"")"),"Vyhledat místo")</f>
        <v>Vyhledat místo</v>
      </c>
      <c r="S4" s="3" t="str">
        <f>IFERROR(__xludf.DUMMYFUNCTION("GoogleTranslate(C4, ""en"", ""da"")"),"Søg efter placering")</f>
        <v>Søg efter placering</v>
      </c>
      <c r="T4" s="3" t="str">
        <f>IFERROR(__xludf.DUMMYFUNCTION("GoogleTranslate(C4, ""en"", ""nl"")"),"Zoek locatie")</f>
        <v>Zoek locatie</v>
      </c>
      <c r="U4" s="3" t="str">
        <f>IFERROR(__xludf.DUMMYFUNCTION("GoogleTranslate(C4, ""en"", ""et"")"),"Otsi asukohta")</f>
        <v>Otsi asukohta</v>
      </c>
      <c r="V4" s="1" t="str">
        <f t="shared" si="3"/>
        <v>Search location</v>
      </c>
      <c r="W4" s="3" t="str">
        <f>IFERROR(__xludf.DUMMYFUNCTION("GoogleTranslate(C4, ""en"", ""fi"")"),"Hae sijaintia")</f>
        <v>Hae sijaintia</v>
      </c>
      <c r="X4" s="3" t="str">
        <f>IFERROR(__xludf.DUMMYFUNCTION("GoogleTranslate(C4, ""en"", ""fr"")"),"Localisation de recherche")</f>
        <v>Localisation de recherche</v>
      </c>
      <c r="Y4" s="3" t="str">
        <f>IFERROR(__xludf.DUMMYFUNCTION("GoogleTranslate(C4, ""en"", ""de"")"),"Standort suchen")</f>
        <v>Standort suchen</v>
      </c>
      <c r="Z4" s="3" t="str">
        <f>IFERROR(__xludf.DUMMYFUNCTION("GoogleTranslate(C4, ""en"", ""el"")"),"Αναζήτηση τοποθεσίας")</f>
        <v>Αναζήτηση τοποθεσίας</v>
      </c>
      <c r="AA4" s="3" t="str">
        <f>IFERROR(__xludf.DUMMYFUNCTION("GoogleTranslate(C4, ""en"", ""iw"")"),"חיפוש מיקום")</f>
        <v>חיפוש מיקום</v>
      </c>
      <c r="AB4" s="3" t="str">
        <f>IFERROR(__xludf.DUMMYFUNCTION("GoogleTranslate(C4, ""en"", ""hi"")"),"स्थान खोजें")</f>
        <v>स्थान खोजें</v>
      </c>
      <c r="AC4" s="3" t="str">
        <f>IFERROR(__xludf.DUMMYFUNCTION("GoogleTranslate(C4, ""en"", ""hu"")"),"Hely keresése")</f>
        <v>Hely keresése</v>
      </c>
      <c r="AD4" s="3" t="str">
        <f>IFERROR(__xludf.DUMMYFUNCTION("GoogleTranslate(C4, ""en"", ""is"")"),"Leitaðu að staðsetningu")</f>
        <v>Leitaðu að staðsetningu</v>
      </c>
      <c r="AE4" s="3" t="str">
        <f>IFERROR(__xludf.DUMMYFUNCTION("GoogleTranslate(C4, ""en"", ""id"")"),"Lokasi pencarian")</f>
        <v>Lokasi pencarian</v>
      </c>
      <c r="AF4" s="3" t="str">
        <f>IFERROR(__xludf.DUMMYFUNCTION("GoogleTranslate(C4, ""en"", ""in"")"),"Lokasi pencarian")</f>
        <v>Lokasi pencarian</v>
      </c>
      <c r="AG4" s="3" t="str">
        <f>IFERROR(__xludf.DUMMYFUNCTION("GoogleTranslate(C4, ""en"", ""it"")"),"Cerca posizione")</f>
        <v>Cerca posizione</v>
      </c>
      <c r="AH4" s="3" t="str">
        <f>IFERROR(__xludf.DUMMYFUNCTION("GoogleTranslate(C4, ""en"", ""ja"")"),"検索場所")</f>
        <v>検索場所</v>
      </c>
      <c r="AI4" s="3" t="str">
        <f>IFERROR(__xludf.DUMMYFUNCTION("GoogleTranslate(C4, ""en"", ""kn"")"),"ಸ್ಥಳವನ್ನು ಹುಡುಕಿ")</f>
        <v>ಸ್ಥಳವನ್ನು ಹುಡುಕಿ</v>
      </c>
      <c r="AJ4" s="3" t="str">
        <f>IFERROR(__xludf.DUMMYFUNCTION("GoogleTranslate(C4, ""en"", ""km"")"),"ស្វែងរកទីតាំង")</f>
        <v>ស្វែងរកទីតាំង</v>
      </c>
      <c r="AK4" s="3" t="str">
        <f>IFERROR(__xludf.DUMMYFUNCTION("GoogleTranslate(C4, ""en"", ""ko"")"),"위치 검색")</f>
        <v>위치 검색</v>
      </c>
      <c r="AL4" s="3" t="str">
        <f>IFERROR(__xludf.DUMMYFUNCTION("GoogleTranslate(C4, ""en"", ""lo"")"),"ຊອກຫາສະຖານທີ່")</f>
        <v>ຊອກຫາສະຖານທີ່</v>
      </c>
      <c r="AM4" s="3" t="str">
        <f>IFERROR(__xludf.DUMMYFUNCTION("GoogleTranslate(C4, ""en"", ""lv"")"),"Meklēt atrašanās vietu")</f>
        <v>Meklēt atrašanās vietu</v>
      </c>
      <c r="AN4" s="3" t="str">
        <f>IFERROR(__xludf.DUMMYFUNCTION("GoogleTranslate(C4, ""en"", ""lt"")"),"Ieškokite vietos")</f>
        <v>Ieškokite vietos</v>
      </c>
      <c r="AO4" s="3" t="str">
        <f>IFERROR(__xludf.DUMMYFUNCTION("GoogleTranslate(C4, ""en"", ""mk"")"),"Пребарајте локација")</f>
        <v>Пребарајте локација</v>
      </c>
      <c r="AP4" s="3" t="str">
        <f>IFERROR(__xludf.DUMMYFUNCTION("GoogleTranslate(C4, ""en"", ""ms"")"),"Cari lokasi")</f>
        <v>Cari lokasi</v>
      </c>
      <c r="AQ4" s="3" t="str">
        <f>IFERROR(__xludf.DUMMYFUNCTION("GoogleTranslate(C4, ""en"", ""ml"")"),"ലൊക്കേഷൻ തിരയുക")</f>
        <v>ലൊക്കേഷൻ തിരയുക</v>
      </c>
      <c r="AR4" s="3" t="str">
        <f>IFERROR(__xludf.DUMMYFUNCTION("GoogleTranslate(C4, ""en"", ""mr"")"),"स्थान शोधा")</f>
        <v>स्थान शोधा</v>
      </c>
      <c r="AS4" s="3" t="str">
        <f>IFERROR(__xludf.DUMMYFUNCTION("GoogleTranslate(C4, ""en"", ""mn"")"),"Байршлыг хайх")</f>
        <v>Байршлыг хайх</v>
      </c>
      <c r="AT4" s="3" t="str">
        <f>IFERROR(__xludf.DUMMYFUNCTION("GoogleTranslate(C4, ""en"", ""ne"")"),"स्थान खोज्नुहोस्")</f>
        <v>स्थान खोज्नुहोस्</v>
      </c>
      <c r="AU4" s="3" t="str">
        <f>IFERROR(__xludf.DUMMYFUNCTION("GoogleTranslate(C4, ""en"", ""nb"")"),"Søk plassering")</f>
        <v>Søk plassering</v>
      </c>
      <c r="AV4" s="3" t="str">
        <f>IFERROR(__xludf.DUMMYFUNCTION("GoogleTranslate(C4, ""en"", ""fa"")"),"جستجوی مکان")</f>
        <v>جستجوی مکان</v>
      </c>
      <c r="AW4" s="3" t="str">
        <f>IFERROR(__xludf.DUMMYFUNCTION("GoogleTranslate(C4, ""en"", ""pl"")"),"Wyszukaj lokalizację")</f>
        <v>Wyszukaj lokalizację</v>
      </c>
      <c r="AX4" s="3" t="str">
        <f>IFERROR(__xludf.DUMMYFUNCTION("GoogleTranslate(C4, ""en"", ""pt"")"),"Local de pesquisa")</f>
        <v>Local de pesquisa</v>
      </c>
      <c r="AY4" s="3" t="str">
        <f>IFERROR(__xludf.DUMMYFUNCTION("GoogleTranslate(C4, ""en"", ""ro"")"),"Căutați locația")</f>
        <v>Căutați locația</v>
      </c>
      <c r="AZ4" s="3" t="str">
        <f>IFERROR(__xludf.DUMMYFUNCTION("GoogleTranslate(C4, ""en"", ""ru"")"),"Поиск местоположения")</f>
        <v>Поиск местоположения</v>
      </c>
      <c r="BA4" s="3" t="str">
        <f>IFERROR(__xludf.DUMMYFUNCTION("GoogleTranslate(C4, ""en"", ""sr"")"),"Претражите локацију")</f>
        <v>Претражите локацију</v>
      </c>
      <c r="BB4" s="3" t="str">
        <f>IFERROR(__xludf.DUMMYFUNCTION("GoogleTranslate(C4, ""en"", ""si"")"),"ස්ථානය සොයන්න")</f>
        <v>ස්ථානය සොයන්න</v>
      </c>
      <c r="BC4" s="3" t="str">
        <f>IFERROR(__xludf.DUMMYFUNCTION("GoogleTranslate(C4, ""en"", ""sk"")"),"Vyhľadajte miesto")</f>
        <v>Vyhľadajte miesto</v>
      </c>
      <c r="BD4" s="3" t="str">
        <f>IFERROR(__xludf.DUMMYFUNCTION("GoogleTranslate(C4, ""en"", ""sl"")"),"Lokacija iskanja")</f>
        <v>Lokacija iskanja</v>
      </c>
      <c r="BE4" s="3" t="str">
        <f>IFERROR(__xludf.DUMMYFUNCTION("GoogleTranslate(C4, ""en"", ""es"")"),"Ubicación de búsqueda")</f>
        <v>Ubicación de búsqueda</v>
      </c>
      <c r="BF4" s="3" t="str">
        <f>IFERROR(__xludf.DUMMYFUNCTION("GoogleTranslate(C4, ""en"", ""sw"")"),"Tafuta eneo")</f>
        <v>Tafuta eneo</v>
      </c>
      <c r="BG4" s="3" t="str">
        <f>IFERROR(__xludf.DUMMYFUNCTION("GoogleTranslate(C4, ""en"", ""sv"")"),"Sök plats")</f>
        <v>Sök plats</v>
      </c>
      <c r="BH4" s="3" t="str">
        <f>IFERROR(__xludf.DUMMYFUNCTION("GoogleTranslate(C4, ""en"", ""te"")"),"స్థానాన్ని శోధించండి")</f>
        <v>స్థానాన్ని శోధించండి</v>
      </c>
      <c r="BI4" s="3" t="str">
        <f>IFERROR(__xludf.DUMMYFUNCTION("GoogleTranslate(C4, ""en"", ""th"")"),"ค้นหาตำแหน่ง")</f>
        <v>ค้นหาตำแหน่ง</v>
      </c>
      <c r="BJ4" s="3" t="str">
        <f>IFERROR(__xludf.DUMMYFUNCTION("GoogleTranslate(C4, ""en"", ""tr"")"),"Konum ara")</f>
        <v>Konum ara</v>
      </c>
      <c r="BK4" s="3" t="str">
        <f>IFERROR(__xludf.DUMMYFUNCTION("GoogleTranslate(C4, ""en"", ""uk"")"),"Місце пошуку")</f>
        <v>Місце пошуку</v>
      </c>
      <c r="BL4" s="3" t="str">
        <f>IFERROR(__xludf.DUMMYFUNCTION("GoogleTranslate(C4, ""en"", ""zu"")"),"Sesha indawo")</f>
        <v>Sesha indawo</v>
      </c>
    </row>
    <row r="5">
      <c r="A5" s="1" t="str">
        <f t="shared" si="1"/>
        <v>Real_Feel</v>
      </c>
      <c r="B5" s="4" t="s">
        <v>67</v>
      </c>
      <c r="C5" s="1" t="str">
        <f t="shared" si="2"/>
        <v>Real Feel</v>
      </c>
      <c r="D5" s="3" t="str">
        <f>IFERROR(__xludf.DUMMYFUNCTION("GoogleTranslate(C5, ""en"", ""es"")"),"sensación real")</f>
        <v>sensación real</v>
      </c>
      <c r="E5" s="3" t="str">
        <f>IFERROR(__xludf.DUMMYFUNCTION("GoogleTranslate(C5, ""en"", ""ar"")"),"يشعر الحقيقي")</f>
        <v>يشعر الحقيقي</v>
      </c>
      <c r="F5" s="3" t="str">
        <f>IFERROR(__xludf.DUMMYFUNCTION("GoogleTranslate(C5, ""en"", ""hy"")"),"Իրական զգացում")</f>
        <v>Իրական զգացում</v>
      </c>
      <c r="G5" s="3" t="str">
        <f>IFERROR(__xludf.DUMMYFUNCTION("GoogleTranslate(C5, ""en"", ""vi"")"),"Cảm giác thực sự")</f>
        <v>Cảm giác thực sự</v>
      </c>
      <c r="H5" s="3" t="str">
        <f>IFERROR(__xludf.DUMMYFUNCTION("GoogleTranslate(C5, ""en"", ""az"")"),"Real Hiss")</f>
        <v>Real Hiss</v>
      </c>
      <c r="I5" s="3" t="str">
        <f>IFERROR(__xludf.DUMMYFUNCTION("GoogleTranslate(C5, ""en"", ""eu"")"),"Benetako Sentimendua")</f>
        <v>Benetako Sentimendua</v>
      </c>
      <c r="J5" s="3" t="str">
        <f>IFERROR(__xludf.DUMMYFUNCTION("GoogleTranslate(C5, ""en"", ""be"")"),"Рэальнае пачуццё")</f>
        <v>Рэальнае пачуццё</v>
      </c>
      <c r="K5" s="3" t="str">
        <f>IFERROR(__xludf.DUMMYFUNCTION("GoogleTranslate(C5, ""en"", ""bn"")"),"বাস্তব অনুভূতি")</f>
        <v>বাস্তব অনুভূতি</v>
      </c>
      <c r="L5" s="3" t="str">
        <f>IFERROR(__xludf.DUMMYFUNCTION("GoogleTranslate(C5, ""en"", ""bg"")"),"Истинско усещане")</f>
        <v>Истинско усещане</v>
      </c>
      <c r="M5" s="3" t="str">
        <f>IFERROR(__xludf.DUMMYFUNCTION("GoogleTranslate(C5, ""en"", ""my"")"),"တကယ့်ခံစားချက်")</f>
        <v>တကယ့်ခံစားချက်</v>
      </c>
      <c r="N5" s="3" t="str">
        <f>IFERROR(__xludf.DUMMYFUNCTION("GoogleTranslate(C5, ""en"", ""ca"")"),"Sensació real")</f>
        <v>Sensació real</v>
      </c>
      <c r="O5" s="3" t="str">
        <f>IFERROR(__xludf.DUMMYFUNCTION("GoogleTranslate(C5, ""en"", ""zh-cn"")"),"真实的感觉")</f>
        <v>真实的感觉</v>
      </c>
      <c r="P5" s="3" t="str">
        <f>IFERROR(__xludf.DUMMYFUNCTION("GoogleTranslate(C5, ""en"", ""zh-TW"")"),"真實的感覺")</f>
        <v>真實的感覺</v>
      </c>
      <c r="Q5" s="3" t="str">
        <f>IFERROR(__xludf.DUMMYFUNCTION("GoogleTranslate(C5, ""en"", ""hr"")"),"Pravi osjećaj")</f>
        <v>Pravi osjećaj</v>
      </c>
      <c r="R5" s="3" t="str">
        <f>IFERROR(__xludf.DUMMYFUNCTION("GoogleTranslate(C5, ""en"", ""cs"")"),"Skutečný pocit")</f>
        <v>Skutečný pocit</v>
      </c>
      <c r="S5" s="3" t="str">
        <f>IFERROR(__xludf.DUMMYFUNCTION("GoogleTranslate(C5, ""en"", ""da"")"),"Rigtig Følelse")</f>
        <v>Rigtig Følelse</v>
      </c>
      <c r="T5" s="3" t="str">
        <f>IFERROR(__xludf.DUMMYFUNCTION("GoogleTranslate(C5, ""en"", ""nl"")"),"Echt gevoel")</f>
        <v>Echt gevoel</v>
      </c>
      <c r="U5" s="3" t="str">
        <f>IFERROR(__xludf.DUMMYFUNCTION("GoogleTranslate(C5, ""en"", ""et"")"),"Tõeline tunne")</f>
        <v>Tõeline tunne</v>
      </c>
      <c r="V5" s="1" t="str">
        <f t="shared" si="3"/>
        <v>Real Feel</v>
      </c>
      <c r="W5" s="3" t="str">
        <f>IFERROR(__xludf.DUMMYFUNCTION("GoogleTranslate(C5, ""en"", ""fi"")"),"Todellinen fiilis")</f>
        <v>Todellinen fiilis</v>
      </c>
      <c r="X5" s="3" t="str">
        <f>IFERROR(__xludf.DUMMYFUNCTION("GoogleTranslate(C5, ""en"", ""fr"")"),"Sensation réelle")</f>
        <v>Sensation réelle</v>
      </c>
      <c r="Y5" s="3" t="str">
        <f>IFERROR(__xludf.DUMMYFUNCTION("GoogleTranslate(C5, ""en"", ""de"")"),"Echtes Gefühl")</f>
        <v>Echtes Gefühl</v>
      </c>
      <c r="Z5" s="3" t="str">
        <f>IFERROR(__xludf.DUMMYFUNCTION("GoogleTranslate(C5, ""en"", ""el"")"),"Πραγματική αίσθηση")</f>
        <v>Πραγματική αίσθηση</v>
      </c>
      <c r="AA5" s="3" t="str">
        <f>IFERROR(__xludf.DUMMYFUNCTION("GoogleTranslate(C5, ""en"", ""iw"")"),"תחושה אמיתית")</f>
        <v>תחושה אמיתית</v>
      </c>
      <c r="AB5" s="3" t="str">
        <f>IFERROR(__xludf.DUMMYFUNCTION("GoogleTranslate(C5, ""en"", ""hi"")"),"असली लग रहा है")</f>
        <v>असली लग रहा है</v>
      </c>
      <c r="AC5" s="3" t="str">
        <f>IFERROR(__xludf.DUMMYFUNCTION("GoogleTranslate(C5, ""en"", ""hu"")"),"Igazi Feel")</f>
        <v>Igazi Feel</v>
      </c>
      <c r="AD5" s="3" t="str">
        <f>IFERROR(__xludf.DUMMYFUNCTION("GoogleTranslate(C5, ""en"", ""is"")"),"Raunveruleg tilfinning")</f>
        <v>Raunveruleg tilfinning</v>
      </c>
      <c r="AE5" s="3" t="str">
        <f>IFERROR(__xludf.DUMMYFUNCTION("GoogleTranslate(C5, ""en"", ""id"")"),"Rasa Nyata")</f>
        <v>Rasa Nyata</v>
      </c>
      <c r="AF5" s="3" t="str">
        <f>IFERROR(__xludf.DUMMYFUNCTION("GoogleTranslate(C5, ""en"", ""in"")"),"Rasa Nyata")</f>
        <v>Rasa Nyata</v>
      </c>
      <c r="AG5" s="3" t="str">
        <f>IFERROR(__xludf.DUMMYFUNCTION("GoogleTranslate(C5, ""en"", ""it"")"),"Sensazione reale")</f>
        <v>Sensazione reale</v>
      </c>
      <c r="AH5" s="3" t="str">
        <f>IFERROR(__xludf.DUMMYFUNCTION("GoogleTranslate(C5, ""en"", ""ja"")"),"リアルな感触")</f>
        <v>リアルな感触</v>
      </c>
      <c r="AI5" s="3" t="str">
        <f>IFERROR(__xludf.DUMMYFUNCTION("GoogleTranslate(C5, ""en"", ""kn"")"),"ರಿಯಲ್ ಫೀಲ್")</f>
        <v>ರಿಯಲ್ ಫೀಲ್</v>
      </c>
      <c r="AJ5" s="3" t="str">
        <f>IFERROR(__xludf.DUMMYFUNCTION("GoogleTranslate(C5, ""en"", ""km"")"),"អារម្មណ៍ពិត")</f>
        <v>អារម្មណ៍ពិត</v>
      </c>
      <c r="AK5" s="3" t="str">
        <f>IFERROR(__xludf.DUMMYFUNCTION("GoogleTranslate(C5, ""en"", ""ko"")"),"진짜 느낌")</f>
        <v>진짜 느낌</v>
      </c>
      <c r="AL5" s="3" t="str">
        <f>IFERROR(__xludf.DUMMYFUNCTION("GoogleTranslate(C5, ""en"", ""lo"")"),"ຄວາມຮູ້ສຶກທີ່ແທ້ຈິງ")</f>
        <v>ຄວາມຮູ້ສຶກທີ່ແທ້ຈິງ</v>
      </c>
      <c r="AM5" s="3" t="str">
        <f>IFERROR(__xludf.DUMMYFUNCTION("GoogleTranslate(C5, ""en"", ""lv"")"),"Īsta sajūta")</f>
        <v>Īsta sajūta</v>
      </c>
      <c r="AN5" s="3" t="str">
        <f>IFERROR(__xludf.DUMMYFUNCTION("GoogleTranslate(C5, ""en"", ""lt"")"),"Tikras jausmas")</f>
        <v>Tikras jausmas</v>
      </c>
      <c r="AO5" s="3" t="str">
        <f>IFERROR(__xludf.DUMMYFUNCTION("GoogleTranslate(C5, ""en"", ""mk"")"),"Вистинско чувство")</f>
        <v>Вистинско чувство</v>
      </c>
      <c r="AP5" s="3" t="str">
        <f>IFERROR(__xludf.DUMMYFUNCTION("GoogleTranslate(C5, ""en"", ""ms"")"),"Rasa Sebenar")</f>
        <v>Rasa Sebenar</v>
      </c>
      <c r="AQ5" s="3" t="str">
        <f>IFERROR(__xludf.DUMMYFUNCTION("GoogleTranslate(C5, ""en"", ""ml"")"),"യഥാർത്ഥ ഫീൽ")</f>
        <v>യഥാർത്ഥ ഫീൽ</v>
      </c>
      <c r="AR5" s="3" t="str">
        <f>IFERROR(__xludf.DUMMYFUNCTION("GoogleTranslate(C5, ""en"", ""mr"")"),"खरा फील")</f>
        <v>खरा फील</v>
      </c>
      <c r="AS5" s="3" t="str">
        <f>IFERROR(__xludf.DUMMYFUNCTION("GoogleTranslate(C5, ""en"", ""mn"")"),"Жинхэнэ мэдрэмж")</f>
        <v>Жинхэнэ мэдрэмж</v>
      </c>
      <c r="AT5" s="3" t="str">
        <f>IFERROR(__xludf.DUMMYFUNCTION("GoogleTranslate(C5, ""en"", ""ne"")"),"वास्तविक अनुभूति")</f>
        <v>वास्तविक अनुभूति</v>
      </c>
      <c r="AU5" s="3" t="str">
        <f>IFERROR(__xludf.DUMMYFUNCTION("GoogleTranslate(C5, ""en"", ""nb"")"),"Virkelig følelse")</f>
        <v>Virkelig følelse</v>
      </c>
      <c r="AV5" s="3" t="str">
        <f>IFERROR(__xludf.DUMMYFUNCTION("GoogleTranslate(C5, ""en"", ""fa"")"),"احساس واقعی")</f>
        <v>احساس واقعی</v>
      </c>
      <c r="AW5" s="3" t="str">
        <f>IFERROR(__xludf.DUMMYFUNCTION("GoogleTranslate(C5, ""en"", ""pl"")"),"Prawdziwe uczucie")</f>
        <v>Prawdziwe uczucie</v>
      </c>
      <c r="AX5" s="3" t="str">
        <f>IFERROR(__xludf.DUMMYFUNCTION("GoogleTranslate(C5, ""en"", ""pt"")"),"Sensação Real")</f>
        <v>Sensação Real</v>
      </c>
      <c r="AY5" s="3" t="str">
        <f>IFERROR(__xludf.DUMMYFUNCTION("GoogleTranslate(C5, ""en"", ""ro"")"),"Senzație reală")</f>
        <v>Senzație reală</v>
      </c>
      <c r="AZ5" s="3" t="str">
        <f>IFERROR(__xludf.DUMMYFUNCTION("GoogleTranslate(C5, ""en"", ""ru"")"),"Настоящее чувство")</f>
        <v>Настоящее чувство</v>
      </c>
      <c r="BA5" s="3" t="str">
        <f>IFERROR(__xludf.DUMMYFUNCTION("GoogleTranslate(C5, ""en"", ""sr"")"),"Реал Феел")</f>
        <v>Реал Феел</v>
      </c>
      <c r="BB5" s="3" t="str">
        <f>IFERROR(__xludf.DUMMYFUNCTION("GoogleTranslate(C5, ""en"", ""si"")"),"සැබෑ හැඟීම")</f>
        <v>සැබෑ හැඟීම</v>
      </c>
      <c r="BC5" s="3" t="str">
        <f>IFERROR(__xludf.DUMMYFUNCTION("GoogleTranslate(C5, ""en"", ""sk"")"),"Skutočný pocit")</f>
        <v>Skutočný pocit</v>
      </c>
      <c r="BD5" s="3" t="str">
        <f>IFERROR(__xludf.DUMMYFUNCTION("GoogleTranslate(C5, ""en"", ""sl"")"),"Real Feel")</f>
        <v>Real Feel</v>
      </c>
      <c r="BE5" s="3" t="str">
        <f>IFERROR(__xludf.DUMMYFUNCTION("GoogleTranslate(C5, ""en"", ""es"")"),"sensación real")</f>
        <v>sensación real</v>
      </c>
      <c r="BF5" s="3" t="str">
        <f>IFERROR(__xludf.DUMMYFUNCTION("GoogleTranslate(C5, ""en"", ""sw"")"),"Hisia ya Kweli")</f>
        <v>Hisia ya Kweli</v>
      </c>
      <c r="BG5" s="3" t="str">
        <f>IFERROR(__xludf.DUMMYFUNCTION("GoogleTranslate(C5, ""en"", ""sv"")"),"Riktig känsla")</f>
        <v>Riktig känsla</v>
      </c>
      <c r="BH5" s="3" t="str">
        <f>IFERROR(__xludf.DUMMYFUNCTION("GoogleTranslate(C5, ""en"", ""te"")"),"రియల్ ఫీల్")</f>
        <v>రియల్ ఫీల్</v>
      </c>
      <c r="BI5" s="3" t="str">
        <f>IFERROR(__xludf.DUMMYFUNCTION("GoogleTranslate(C5, ""en"", ""th"")"),"ความรู้สึกที่แท้จริง")</f>
        <v>ความรู้สึกที่แท้จริง</v>
      </c>
      <c r="BJ5" s="3" t="str">
        <f>IFERROR(__xludf.DUMMYFUNCTION("GoogleTranslate(C5, ""en"", ""tr"")"),"Gerçek Hissi")</f>
        <v>Gerçek Hissi</v>
      </c>
      <c r="BK5" s="3" t="str">
        <f>IFERROR(__xludf.DUMMYFUNCTION("GoogleTranslate(C5, ""en"", ""uk"")"),"Справжнє відчуття")</f>
        <v>Справжнє відчуття</v>
      </c>
      <c r="BL5" s="3" t="str">
        <f>IFERROR(__xludf.DUMMYFUNCTION("GoogleTranslate(C5, ""en"", ""zu"")"),"Umuzwa Wangempela")</f>
        <v>Umuzwa Wangempela</v>
      </c>
    </row>
    <row r="6">
      <c r="A6" s="1" t="str">
        <f t="shared" si="1"/>
        <v>Province/City</v>
      </c>
      <c r="B6" s="4" t="s">
        <v>68</v>
      </c>
      <c r="C6" s="1" t="str">
        <f t="shared" si="2"/>
        <v>Province/City</v>
      </c>
      <c r="D6" s="3" t="str">
        <f>IFERROR(__xludf.DUMMYFUNCTION("GoogleTranslate(C6, ""en"", ""es"")"),"Provincia/Ciudad")</f>
        <v>Provincia/Ciudad</v>
      </c>
      <c r="E6" s="3" t="str">
        <f>IFERROR(__xludf.DUMMYFUNCTION("GoogleTranslate(C6, ""en"", ""ar"")"),"المقاطعة/المدينة")</f>
        <v>المقاطعة/المدينة</v>
      </c>
      <c r="F6" s="3" t="str">
        <f>IFERROR(__xludf.DUMMYFUNCTION("GoogleTranslate(C6, ""en"", ""hy"")"),"Նահանգ/Քաղաք")</f>
        <v>Նահանգ/Քաղաք</v>
      </c>
      <c r="G6" s="3" t="str">
        <f>IFERROR(__xludf.DUMMYFUNCTION("GoogleTranslate(C6, ""en"", ""vi"")"),"Tỉnh/Thành phố")</f>
        <v>Tỉnh/Thành phố</v>
      </c>
      <c r="H6" s="3" t="str">
        <f>IFERROR(__xludf.DUMMYFUNCTION("GoogleTranslate(C6, ""en"", ""az"")"),"Vilayət/Şəhər")</f>
        <v>Vilayət/Şəhər</v>
      </c>
      <c r="I6" s="3" t="str">
        <f>IFERROR(__xludf.DUMMYFUNCTION("GoogleTranslate(C6, ""en"", ""eu"")"),"Probintzia/Herria")</f>
        <v>Probintzia/Herria</v>
      </c>
      <c r="J6" s="3" t="str">
        <f>IFERROR(__xludf.DUMMYFUNCTION("GoogleTranslate(C6, ""en"", ""be"")"),"Правінцыя/Горад")</f>
        <v>Правінцыя/Горад</v>
      </c>
      <c r="K6" s="3" t="str">
        <f>IFERROR(__xludf.DUMMYFUNCTION("GoogleTranslate(C6, ""en"", ""bn"")"),"প্রদেশ/শহর")</f>
        <v>প্রদেশ/শহর</v>
      </c>
      <c r="L6" s="3" t="str">
        <f>IFERROR(__xludf.DUMMYFUNCTION("GoogleTranslate(C6, ""en"", ""bg"")"),"Област/Град")</f>
        <v>Област/Град</v>
      </c>
      <c r="M6" s="3" t="str">
        <f>IFERROR(__xludf.DUMMYFUNCTION("GoogleTranslate(C6, ""en"", ""my"")"),"ပြည်နယ်/မြို့")</f>
        <v>ပြည်နယ်/မြို့</v>
      </c>
      <c r="N6" s="3" t="str">
        <f>IFERROR(__xludf.DUMMYFUNCTION("GoogleTranslate(C6, ""en"", ""ca"")"),"Província/ciutat")</f>
        <v>Província/ciutat</v>
      </c>
      <c r="O6" s="3" t="str">
        <f>IFERROR(__xludf.DUMMYFUNCTION("GoogleTranslate(C6, ""en"", ""zh-cn"")"),"省/市")</f>
        <v>省/市</v>
      </c>
      <c r="P6" s="3" t="str">
        <f>IFERROR(__xludf.DUMMYFUNCTION("GoogleTranslate(C6, ""en"", ""zh-TW"")"),"省/市")</f>
        <v>省/市</v>
      </c>
      <c r="Q6" s="3" t="str">
        <f>IFERROR(__xludf.DUMMYFUNCTION("GoogleTranslate(C6, ""en"", ""hr"")"),"Pokrajina/grad")</f>
        <v>Pokrajina/grad</v>
      </c>
      <c r="R6" s="3" t="str">
        <f>IFERROR(__xludf.DUMMYFUNCTION("GoogleTranslate(C6, ""en"", ""cs"")"),"Provincie/město")</f>
        <v>Provincie/město</v>
      </c>
      <c r="S6" s="3" t="str">
        <f>IFERROR(__xludf.DUMMYFUNCTION("GoogleTranslate(C6, ""en"", ""da"")"),"Provins/by")</f>
        <v>Provins/by</v>
      </c>
      <c r="T6" s="3" t="str">
        <f>IFERROR(__xludf.DUMMYFUNCTION("GoogleTranslate(C6, ""en"", ""nl"")"),"Provincie/Stad")</f>
        <v>Provincie/Stad</v>
      </c>
      <c r="U6" s="3" t="str">
        <f>IFERROR(__xludf.DUMMYFUNCTION("GoogleTranslate(C6, ""en"", ""et"")"),"Provints/linn")</f>
        <v>Provints/linn</v>
      </c>
      <c r="V6" s="1" t="str">
        <f t="shared" si="3"/>
        <v>Province/City</v>
      </c>
      <c r="W6" s="3" t="str">
        <f>IFERROR(__xludf.DUMMYFUNCTION("GoogleTranslate(C6, ""en"", ""fi"")"),"Maakunta/Kaupunki")</f>
        <v>Maakunta/Kaupunki</v>
      </c>
      <c r="X6" s="3" t="str">
        <f>IFERROR(__xludf.DUMMYFUNCTION("GoogleTranslate(C6, ""en"", ""fr"")"),"Province/Ville")</f>
        <v>Province/Ville</v>
      </c>
      <c r="Y6" s="3" t="str">
        <f>IFERROR(__xludf.DUMMYFUNCTION("GoogleTranslate(C6, ""en"", ""de"")"),"Provinz/Stadt")</f>
        <v>Provinz/Stadt</v>
      </c>
      <c r="Z6" s="3" t="str">
        <f>IFERROR(__xludf.DUMMYFUNCTION("GoogleTranslate(C6, ""en"", ""el"")"),"Επαρχία/Πόλη")</f>
        <v>Επαρχία/Πόλη</v>
      </c>
      <c r="AA6" s="3" t="str">
        <f>IFERROR(__xludf.DUMMYFUNCTION("GoogleTranslate(C6, ""en"", ""iw"")"),"מחוז/עיר")</f>
        <v>מחוז/עיר</v>
      </c>
      <c r="AB6" s="3" t="str">
        <f>IFERROR(__xludf.DUMMYFUNCTION("GoogleTranslate(C6, ""en"", ""hi"")"),"प्रांत/शहर")</f>
        <v>प्रांत/शहर</v>
      </c>
      <c r="AC6" s="3" t="str">
        <f>IFERROR(__xludf.DUMMYFUNCTION("GoogleTranslate(C6, ""en"", ""hu"")"),"Tartomány/város")</f>
        <v>Tartomány/város</v>
      </c>
      <c r="AD6" s="3" t="str">
        <f>IFERROR(__xludf.DUMMYFUNCTION("GoogleTranslate(C6, ""en"", ""is"")"),"Hérað/borg")</f>
        <v>Hérað/borg</v>
      </c>
      <c r="AE6" s="3" t="str">
        <f>IFERROR(__xludf.DUMMYFUNCTION("GoogleTranslate(C6, ""en"", ""id"")"),"Provinsi/Kota")</f>
        <v>Provinsi/Kota</v>
      </c>
      <c r="AF6" s="3" t="str">
        <f>IFERROR(__xludf.DUMMYFUNCTION("GoogleTranslate(C6, ""en"", ""in"")"),"Provinsi/Kota")</f>
        <v>Provinsi/Kota</v>
      </c>
      <c r="AG6" s="3" t="str">
        <f>IFERROR(__xludf.DUMMYFUNCTION("GoogleTranslate(C6, ""en"", ""it"")"),"Provincia/Città")</f>
        <v>Provincia/Città</v>
      </c>
      <c r="AH6" s="3" t="str">
        <f>IFERROR(__xludf.DUMMYFUNCTION("GoogleTranslate(C6, ""en"", ""ja"")"),"県/市")</f>
        <v>県/市</v>
      </c>
      <c r="AI6" s="3" t="str">
        <f>IFERROR(__xludf.DUMMYFUNCTION("GoogleTranslate(C6, ""en"", ""kn"")"),"ಪ್ರಾಂತ್ಯ/ನಗರ")</f>
        <v>ಪ್ರಾಂತ್ಯ/ನಗರ</v>
      </c>
      <c r="AJ6" s="3" t="str">
        <f>IFERROR(__xludf.DUMMYFUNCTION("GoogleTranslate(C6, ""en"", ""km"")"),"ខេត្ត/ក្រុង")</f>
        <v>ខេត្ត/ក្រុង</v>
      </c>
      <c r="AK6" s="3" t="str">
        <f>IFERROR(__xludf.DUMMYFUNCTION("GoogleTranslate(C6, ""en"", ""ko"")"),"지방/시")</f>
        <v>지방/시</v>
      </c>
      <c r="AL6" s="3" t="str">
        <f>IFERROR(__xludf.DUMMYFUNCTION("GoogleTranslate(C6, ""en"", ""lo"")"),"ແຂວງ/ເມືອງ")</f>
        <v>ແຂວງ/ເມືອງ</v>
      </c>
      <c r="AM6" s="3" t="str">
        <f>IFERROR(__xludf.DUMMYFUNCTION("GoogleTranslate(C6, ""en"", ""lv"")"),"Province/Pilsēta")</f>
        <v>Province/Pilsēta</v>
      </c>
      <c r="AN6" s="3" t="str">
        <f>IFERROR(__xludf.DUMMYFUNCTION("GoogleTranslate(C6, ""en"", ""lt"")"),"Provincija/miestas")</f>
        <v>Provincija/miestas</v>
      </c>
      <c r="AO6" s="3" t="str">
        <f>IFERROR(__xludf.DUMMYFUNCTION("GoogleTranslate(C6, ""en"", ""mk"")"),"Провинција/Град")</f>
        <v>Провинција/Град</v>
      </c>
      <c r="AP6" s="3" t="str">
        <f>IFERROR(__xludf.DUMMYFUNCTION("GoogleTranslate(C6, ""en"", ""ms"")"),"Wilayah/Bandar")</f>
        <v>Wilayah/Bandar</v>
      </c>
      <c r="AQ6" s="3" t="str">
        <f>IFERROR(__xludf.DUMMYFUNCTION("GoogleTranslate(C6, ""en"", ""ml"")"),"പ്രവിശ്യ/നഗരം")</f>
        <v>പ്രവിശ്യ/നഗരം</v>
      </c>
      <c r="AR6" s="3" t="str">
        <f>IFERROR(__xludf.DUMMYFUNCTION("GoogleTranslate(C6, ""en"", ""mr"")"),"प्रांत/शहर")</f>
        <v>प्रांत/शहर</v>
      </c>
      <c r="AS6" s="3" t="str">
        <f>IFERROR(__xludf.DUMMYFUNCTION("GoogleTranslate(C6, ""en"", ""mn"")"),"Муж/Хот")</f>
        <v>Муж/Хот</v>
      </c>
      <c r="AT6" s="3" t="str">
        <f>IFERROR(__xludf.DUMMYFUNCTION("GoogleTranslate(C6, ""en"", ""ne"")"),"प्रान्त/नगर")</f>
        <v>प्रान्त/नगर</v>
      </c>
      <c r="AU6" s="3" t="str">
        <f>IFERROR(__xludf.DUMMYFUNCTION("GoogleTranslate(C6, ""en"", ""nb"")"),"Provins/by")</f>
        <v>Provins/by</v>
      </c>
      <c r="AV6" s="3" t="str">
        <f>IFERROR(__xludf.DUMMYFUNCTION("GoogleTranslate(C6, ""en"", ""fa"")"),"استان/شهر")</f>
        <v>استان/شهر</v>
      </c>
      <c r="AW6" s="3" t="str">
        <f>IFERROR(__xludf.DUMMYFUNCTION("GoogleTranslate(C6, ""en"", ""pl"")"),"Prowincja/miasto")</f>
        <v>Prowincja/miasto</v>
      </c>
      <c r="AX6" s="3" t="str">
        <f>IFERROR(__xludf.DUMMYFUNCTION("GoogleTranslate(C6, ""en"", ""pt"")"),"Província/Cidade")</f>
        <v>Província/Cidade</v>
      </c>
      <c r="AY6" s="3" t="str">
        <f>IFERROR(__xludf.DUMMYFUNCTION("GoogleTranslate(C6, ""en"", ""ro"")"),"provincie/oraș")</f>
        <v>provincie/oraș</v>
      </c>
      <c r="AZ6" s="3" t="str">
        <f>IFERROR(__xludf.DUMMYFUNCTION("GoogleTranslate(C6, ""en"", ""ru"")"),"Провинция/Город")</f>
        <v>Провинция/Город</v>
      </c>
      <c r="BA6" s="3" t="str">
        <f>IFERROR(__xludf.DUMMYFUNCTION("GoogleTranslate(C6, ""en"", ""sr"")"),"Покрајина/Град")</f>
        <v>Покрајина/Град</v>
      </c>
      <c r="BB6" s="3" t="str">
        <f>IFERROR(__xludf.DUMMYFUNCTION("GoogleTranslate(C6, ""en"", ""si"")"),"පළාත/නගරය")</f>
        <v>පළාත/නගරය</v>
      </c>
      <c r="BC6" s="3" t="str">
        <f>IFERROR(__xludf.DUMMYFUNCTION("GoogleTranslate(C6, ""en"", ""sk"")"),"Provincia/mesto")</f>
        <v>Provincia/mesto</v>
      </c>
      <c r="BD6" s="3" t="str">
        <f>IFERROR(__xludf.DUMMYFUNCTION("GoogleTranslate(C6, ""en"", ""sl"")"),"Pokrajina/mesto")</f>
        <v>Pokrajina/mesto</v>
      </c>
      <c r="BE6" s="3" t="str">
        <f>IFERROR(__xludf.DUMMYFUNCTION("GoogleTranslate(C6, ""en"", ""es"")"),"Provincia/Ciudad")</f>
        <v>Provincia/Ciudad</v>
      </c>
      <c r="BF6" s="3" t="str">
        <f>IFERROR(__xludf.DUMMYFUNCTION("GoogleTranslate(C6, ""en"", ""sw"")"),"Mkoa/Jiji")</f>
        <v>Mkoa/Jiji</v>
      </c>
      <c r="BG6" s="3" t="str">
        <f>IFERROR(__xludf.DUMMYFUNCTION("GoogleTranslate(C6, ""en"", ""sv"")"),"Provins/stad")</f>
        <v>Provins/stad</v>
      </c>
      <c r="BH6" s="3" t="str">
        <f>IFERROR(__xludf.DUMMYFUNCTION("GoogleTranslate(C6, ""en"", ""te"")"),"ప్రావిన్స్/నగరం")</f>
        <v>ప్రావిన్స్/నగరం</v>
      </c>
      <c r="BI6" s="3" t="str">
        <f>IFERROR(__xludf.DUMMYFUNCTION("GoogleTranslate(C6, ""en"", ""th"")"),"จังหวัด/เมือง")</f>
        <v>จังหวัด/เมือง</v>
      </c>
      <c r="BJ6" s="3" t="str">
        <f>IFERROR(__xludf.DUMMYFUNCTION("GoogleTranslate(C6, ""en"", ""tr"")"),"İl/Şehir")</f>
        <v>İl/Şehir</v>
      </c>
      <c r="BK6" s="3" t="str">
        <f>IFERROR(__xludf.DUMMYFUNCTION("GoogleTranslate(C6, ""en"", ""uk"")"),"Провінція/місто")</f>
        <v>Провінція/місто</v>
      </c>
      <c r="BL6" s="3" t="str">
        <f>IFERROR(__xludf.DUMMYFUNCTION("GoogleTranslate(C6, ""en"", ""zu"")"),"Isifundazwe/Idolobha")</f>
        <v>Isifundazwe/Idolobha</v>
      </c>
    </row>
    <row r="7">
      <c r="A7" s="1" t="str">
        <f t="shared" si="1"/>
        <v>Introduce</v>
      </c>
      <c r="B7" s="4" t="s">
        <v>69</v>
      </c>
      <c r="C7" s="1" t="str">
        <f t="shared" si="2"/>
        <v>Introduce</v>
      </c>
      <c r="D7" s="3" t="str">
        <f>IFERROR(__xludf.DUMMYFUNCTION("GoogleTranslate(C7, ""en"", ""es"")"),"Introducir")</f>
        <v>Introducir</v>
      </c>
      <c r="E7" s="3" t="str">
        <f>IFERROR(__xludf.DUMMYFUNCTION("GoogleTranslate(C7, ""en"", ""ar"")"),"يقدم")</f>
        <v>يقدم</v>
      </c>
      <c r="F7" s="3" t="str">
        <f>IFERROR(__xludf.DUMMYFUNCTION("GoogleTranslate(C7, ""en"", ""hy"")"),"Ներկայացրե՛ք")</f>
        <v>Ներկայացրե՛ք</v>
      </c>
      <c r="G7" s="3" t="str">
        <f>IFERROR(__xludf.DUMMYFUNCTION("GoogleTranslate(C7, ""en"", ""vi"")"),"Giới thiệu")</f>
        <v>Giới thiệu</v>
      </c>
      <c r="H7" s="3" t="str">
        <f>IFERROR(__xludf.DUMMYFUNCTION("GoogleTranslate(C7, ""en"", ""az"")"),"təqdim etmək")</f>
        <v>təqdim etmək</v>
      </c>
      <c r="I7" s="3" t="str">
        <f>IFERROR(__xludf.DUMMYFUNCTION("GoogleTranslate(C7, ""en"", ""eu"")"),"Aurkeztu")</f>
        <v>Aurkeztu</v>
      </c>
      <c r="J7" s="3" t="str">
        <f>IFERROR(__xludf.DUMMYFUNCTION("GoogleTranslate(C7, ""en"", ""be"")"),"Прадстаўляць")</f>
        <v>Прадстаўляць</v>
      </c>
      <c r="K7" s="3" t="str">
        <f>IFERROR(__xludf.DUMMYFUNCTION("GoogleTranslate(C7, ""en"", ""bn"")"),"পরিচয় করিয়ে দিন")</f>
        <v>পরিচয় করিয়ে দিন</v>
      </c>
      <c r="L7" s="3" t="str">
        <f>IFERROR(__xludf.DUMMYFUNCTION("GoogleTranslate(C7, ""en"", ""bg"")"),"Представяне")</f>
        <v>Представяне</v>
      </c>
      <c r="M7" s="3" t="str">
        <f>IFERROR(__xludf.DUMMYFUNCTION("GoogleTranslate(C7, ""en"", ""my"")"),"မိတ်​ဆက်​သည်​")</f>
        <v>မိတ်​ဆက်​သည်​</v>
      </c>
      <c r="N7" s="3" t="str">
        <f>IFERROR(__xludf.DUMMYFUNCTION("GoogleTranslate(C7, ""en"", ""ca"")"),"Presentar")</f>
        <v>Presentar</v>
      </c>
      <c r="O7" s="3" t="str">
        <f>IFERROR(__xludf.DUMMYFUNCTION("GoogleTranslate(C7, ""en"", ""zh-cn"")"),"介绍")</f>
        <v>介绍</v>
      </c>
      <c r="P7" s="3" t="str">
        <f>IFERROR(__xludf.DUMMYFUNCTION("GoogleTranslate(C7, ""en"", ""zh-TW"")"),"介紹")</f>
        <v>介紹</v>
      </c>
      <c r="Q7" s="3" t="str">
        <f>IFERROR(__xludf.DUMMYFUNCTION("GoogleTranslate(C7, ""en"", ""hr"")"),"Predstaviti")</f>
        <v>Predstaviti</v>
      </c>
      <c r="R7" s="3" t="str">
        <f>IFERROR(__xludf.DUMMYFUNCTION("GoogleTranslate(C7, ""en"", ""cs"")"),"Představit")</f>
        <v>Představit</v>
      </c>
      <c r="S7" s="3" t="str">
        <f>IFERROR(__xludf.DUMMYFUNCTION("GoogleTranslate(C7, ""en"", ""da"")"),"Indføre")</f>
        <v>Indføre</v>
      </c>
      <c r="T7" s="3" t="str">
        <f>IFERROR(__xludf.DUMMYFUNCTION("GoogleTranslate(C7, ""en"", ""nl"")"),"Introduceren")</f>
        <v>Introduceren</v>
      </c>
      <c r="U7" s="3" t="str">
        <f>IFERROR(__xludf.DUMMYFUNCTION("GoogleTranslate(C7, ""en"", ""et"")"),"Tutvustage")</f>
        <v>Tutvustage</v>
      </c>
      <c r="V7" s="1" t="str">
        <f t="shared" si="3"/>
        <v>Introduce</v>
      </c>
      <c r="W7" s="3" t="str">
        <f>IFERROR(__xludf.DUMMYFUNCTION("GoogleTranslate(C7, ""en"", ""fi"")"),"Esitellä")</f>
        <v>Esitellä</v>
      </c>
      <c r="X7" s="3" t="str">
        <f>IFERROR(__xludf.DUMMYFUNCTION("GoogleTranslate(C7, ""en"", ""fr"")"),"Introduire")</f>
        <v>Introduire</v>
      </c>
      <c r="Y7" s="3" t="str">
        <f>IFERROR(__xludf.DUMMYFUNCTION("GoogleTranslate(C7, ""en"", ""de"")"),"Einführen")</f>
        <v>Einführen</v>
      </c>
      <c r="Z7" s="3" t="str">
        <f>IFERROR(__xludf.DUMMYFUNCTION("GoogleTranslate(C7, ""en"", ""el"")"),"Παρουσιάζω")</f>
        <v>Παρουσιάζω</v>
      </c>
      <c r="AA7" s="3" t="str">
        <f>IFERROR(__xludf.DUMMYFUNCTION("GoogleTranslate(C7, ""en"", ""iw"")"),"לְהַצִיג")</f>
        <v>לְהַצִיג</v>
      </c>
      <c r="AB7" s="3" t="str">
        <f>IFERROR(__xludf.DUMMYFUNCTION("GoogleTranslate(C7, ""en"", ""hi"")"),"परिचय देना")</f>
        <v>परिचय देना</v>
      </c>
      <c r="AC7" s="3" t="str">
        <f>IFERROR(__xludf.DUMMYFUNCTION("GoogleTranslate(C7, ""en"", ""hu"")"),"bevezetni")</f>
        <v>bevezetni</v>
      </c>
      <c r="AD7" s="3" t="str">
        <f>IFERROR(__xludf.DUMMYFUNCTION("GoogleTranslate(C7, ""en"", ""is"")"),"Kynna")</f>
        <v>Kynna</v>
      </c>
      <c r="AE7" s="3" t="str">
        <f>IFERROR(__xludf.DUMMYFUNCTION("GoogleTranslate(C7, ""en"", ""id"")"),"Memperkenalkan")</f>
        <v>Memperkenalkan</v>
      </c>
      <c r="AF7" s="3" t="str">
        <f>IFERROR(__xludf.DUMMYFUNCTION("GoogleTranslate(C7, ""en"", ""in"")"),"Memperkenalkan")</f>
        <v>Memperkenalkan</v>
      </c>
      <c r="AG7" s="3" t="str">
        <f>IFERROR(__xludf.DUMMYFUNCTION("GoogleTranslate(C7, ""en"", ""it"")"),"Introdurre")</f>
        <v>Introdurre</v>
      </c>
      <c r="AH7" s="3" t="str">
        <f>IFERROR(__xludf.DUMMYFUNCTION("GoogleTranslate(C7, ""en"", ""ja"")"),"導入")</f>
        <v>導入</v>
      </c>
      <c r="AI7" s="3" t="str">
        <f>IFERROR(__xludf.DUMMYFUNCTION("GoogleTranslate(C7, ""en"", ""kn"")"),"ಪರಿಚಯಿಸಿ")</f>
        <v>ಪರಿಚಯಿಸಿ</v>
      </c>
      <c r="AJ7" s="3" t="str">
        <f>IFERROR(__xludf.DUMMYFUNCTION("GoogleTranslate(C7, ""en"", ""km"")"),"ណែនាំ")</f>
        <v>ណែនាំ</v>
      </c>
      <c r="AK7" s="3" t="str">
        <f>IFERROR(__xludf.DUMMYFUNCTION("GoogleTranslate(C7, ""en"", ""ko"")"),"소개하다")</f>
        <v>소개하다</v>
      </c>
      <c r="AL7" s="3" t="str">
        <f>IFERROR(__xludf.DUMMYFUNCTION("GoogleTranslate(C7, ""en"", ""lo"")"),"ແນະນຳ")</f>
        <v>ແນະນຳ</v>
      </c>
      <c r="AM7" s="3" t="str">
        <f>IFERROR(__xludf.DUMMYFUNCTION("GoogleTranslate(C7, ""en"", ""lv"")"),"Iepazīstināt")</f>
        <v>Iepazīstināt</v>
      </c>
      <c r="AN7" s="3" t="str">
        <f>IFERROR(__xludf.DUMMYFUNCTION("GoogleTranslate(C7, ""en"", ""lt"")"),"Pristatykite")</f>
        <v>Pristatykite</v>
      </c>
      <c r="AO7" s="3" t="str">
        <f>IFERROR(__xludf.DUMMYFUNCTION("GoogleTranslate(C7, ""en"", ""mk"")"),"Воведи")</f>
        <v>Воведи</v>
      </c>
      <c r="AP7" s="3" t="str">
        <f>IFERROR(__xludf.DUMMYFUNCTION("GoogleTranslate(C7, ""en"", ""ms"")"),"perkenalkan")</f>
        <v>perkenalkan</v>
      </c>
      <c r="AQ7" s="3" t="str">
        <f>IFERROR(__xludf.DUMMYFUNCTION("GoogleTranslate(C7, ""en"", ""ml"")"),"പരിചയപ്പെടുത്തുക")</f>
        <v>പരിചയപ്പെടുത്തുക</v>
      </c>
      <c r="AR7" s="3" t="str">
        <f>IFERROR(__xludf.DUMMYFUNCTION("GoogleTranslate(C7, ""en"", ""mr"")"),"परिचय द्या")</f>
        <v>परिचय द्या</v>
      </c>
      <c r="AS7" s="3" t="str">
        <f>IFERROR(__xludf.DUMMYFUNCTION("GoogleTranslate(C7, ""en"", ""mn"")"),"Танилцуулах")</f>
        <v>Танилцуулах</v>
      </c>
      <c r="AT7" s="3" t="str">
        <f>IFERROR(__xludf.DUMMYFUNCTION("GoogleTranslate(C7, ""en"", ""ne"")"),"परिचय दिनुहोस्")</f>
        <v>परिचय दिनुहोस्</v>
      </c>
      <c r="AU7" s="3" t="str">
        <f>IFERROR(__xludf.DUMMYFUNCTION("GoogleTranslate(C7, ""en"", ""nb"")"),"Introdusere")</f>
        <v>Introdusere</v>
      </c>
      <c r="AV7" s="3" t="str">
        <f>IFERROR(__xludf.DUMMYFUNCTION("GoogleTranslate(C7, ""en"", ""fa"")"),"معرفی کنید")</f>
        <v>معرفی کنید</v>
      </c>
      <c r="AW7" s="3" t="str">
        <f>IFERROR(__xludf.DUMMYFUNCTION("GoogleTranslate(C7, ""en"", ""pl"")"),"Wprowadzić")</f>
        <v>Wprowadzić</v>
      </c>
      <c r="AX7" s="3" t="str">
        <f>IFERROR(__xludf.DUMMYFUNCTION("GoogleTranslate(C7, ""en"", ""pt"")"),"Introduzir")</f>
        <v>Introduzir</v>
      </c>
      <c r="AY7" s="3" t="str">
        <f>IFERROR(__xludf.DUMMYFUNCTION("GoogleTranslate(C7, ""en"", ""ro"")"),"Introduce")</f>
        <v>Introduce</v>
      </c>
      <c r="AZ7" s="3" t="str">
        <f>IFERROR(__xludf.DUMMYFUNCTION("GoogleTranslate(C7, ""en"", ""ru"")"),"Представлять")</f>
        <v>Представлять</v>
      </c>
      <c r="BA7" s="3" t="str">
        <f>IFERROR(__xludf.DUMMYFUNCTION("GoogleTranslate(C7, ""en"", ""sr"")"),"Увести")</f>
        <v>Увести</v>
      </c>
      <c r="BB7" s="3" t="str">
        <f>IFERROR(__xludf.DUMMYFUNCTION("GoogleTranslate(C7, ""en"", ""si"")"),"හඳුන්වා දෙන්න")</f>
        <v>හඳුන්වා දෙන්න</v>
      </c>
      <c r="BC7" s="3" t="str">
        <f>IFERROR(__xludf.DUMMYFUNCTION("GoogleTranslate(C7, ""en"", ""sk"")"),"Predstaviť")</f>
        <v>Predstaviť</v>
      </c>
      <c r="BD7" s="3" t="str">
        <f>IFERROR(__xludf.DUMMYFUNCTION("GoogleTranslate(C7, ""en"", ""sl"")"),"Predstavite")</f>
        <v>Predstavite</v>
      </c>
      <c r="BE7" s="3" t="str">
        <f>IFERROR(__xludf.DUMMYFUNCTION("GoogleTranslate(C7, ""en"", ""es"")"),"Introducir")</f>
        <v>Introducir</v>
      </c>
      <c r="BF7" s="3" t="str">
        <f>IFERROR(__xludf.DUMMYFUNCTION("GoogleTranslate(C7, ""en"", ""sw"")"),"Tambulisha")</f>
        <v>Tambulisha</v>
      </c>
      <c r="BG7" s="3" t="str">
        <f>IFERROR(__xludf.DUMMYFUNCTION("GoogleTranslate(C7, ""en"", ""sv"")"),"Införa")</f>
        <v>Införa</v>
      </c>
      <c r="BH7" s="3" t="str">
        <f>IFERROR(__xludf.DUMMYFUNCTION("GoogleTranslate(C7, ""en"", ""te"")"),"పరిచయం చేయండి")</f>
        <v>పరిచయం చేయండి</v>
      </c>
      <c r="BI7" s="3" t="str">
        <f>IFERROR(__xludf.DUMMYFUNCTION("GoogleTranslate(C7, ""en"", ""th"")"),"แนะนำ")</f>
        <v>แนะนำ</v>
      </c>
      <c r="BJ7" s="3" t="str">
        <f>IFERROR(__xludf.DUMMYFUNCTION("GoogleTranslate(C7, ""en"", ""tr"")"),"Tanıtmak")</f>
        <v>Tanıtmak</v>
      </c>
      <c r="BK7" s="3" t="str">
        <f>IFERROR(__xludf.DUMMYFUNCTION("GoogleTranslate(C7, ""en"", ""uk"")"),"Представити")</f>
        <v>Представити</v>
      </c>
      <c r="BL7" s="3" t="str">
        <f>IFERROR(__xludf.DUMMYFUNCTION("GoogleTranslate(C7, ""en"", ""zu"")"),"Ngenisa")</f>
        <v>Ngenisa</v>
      </c>
    </row>
    <row r="8">
      <c r="A8" s="1" t="str">
        <f t="shared" si="1"/>
        <v>Widget</v>
      </c>
      <c r="B8" s="4" t="s">
        <v>70</v>
      </c>
      <c r="C8" s="1" t="str">
        <f t="shared" si="2"/>
        <v>Widget</v>
      </c>
      <c r="D8" s="3" t="str">
        <f>IFERROR(__xludf.DUMMYFUNCTION("GoogleTranslate(C8, ""en"", ""es"")"),"widget")</f>
        <v>widget</v>
      </c>
      <c r="E8" s="3" t="str">
        <f>IFERROR(__xludf.DUMMYFUNCTION("GoogleTranslate(C8, ""en"", ""ar"")"),"القطعة")</f>
        <v>القطعة</v>
      </c>
      <c r="F8" s="3" t="str">
        <f>IFERROR(__xludf.DUMMYFUNCTION("GoogleTranslate(C8, ""en"", ""hy"")"),"Վիջեթ")</f>
        <v>Վիջեթ</v>
      </c>
      <c r="G8" s="3" t="str">
        <f>IFERROR(__xludf.DUMMYFUNCTION("GoogleTranslate(C8, ""en"", ""vi"")"),"Tiện ích")</f>
        <v>Tiện ích</v>
      </c>
      <c r="H8" s="3" t="str">
        <f>IFERROR(__xludf.DUMMYFUNCTION("GoogleTranslate(C8, ""en"", ""az"")"),"Vidcet")</f>
        <v>Vidcet</v>
      </c>
      <c r="I8" s="3" t="str">
        <f>IFERROR(__xludf.DUMMYFUNCTION("GoogleTranslate(C8, ""en"", ""eu"")"),"Widget-a")</f>
        <v>Widget-a</v>
      </c>
      <c r="J8" s="3" t="str">
        <f>IFERROR(__xludf.DUMMYFUNCTION("GoogleTranslate(C8, ""en"", ""be"")"),"Віджэт")</f>
        <v>Віджэт</v>
      </c>
      <c r="K8" s="3" t="str">
        <f>IFERROR(__xludf.DUMMYFUNCTION("GoogleTranslate(C8, ""en"", ""bn"")"),"উইজেট")</f>
        <v>উইজেট</v>
      </c>
      <c r="L8" s="3" t="str">
        <f>IFERROR(__xludf.DUMMYFUNCTION("GoogleTranslate(C8, ""en"", ""bg"")"),"Widget")</f>
        <v>Widget</v>
      </c>
      <c r="M8" s="3" t="str">
        <f>IFERROR(__xludf.DUMMYFUNCTION("GoogleTranslate(C8, ""en"", ""my"")"),"ဝစ်")</f>
        <v>ဝစ်</v>
      </c>
      <c r="N8" s="3" t="str">
        <f>IFERROR(__xludf.DUMMYFUNCTION("GoogleTranslate(C8, ""en"", ""ca"")"),"Giny")</f>
        <v>Giny</v>
      </c>
      <c r="O8" s="3" t="str">
        <f>IFERROR(__xludf.DUMMYFUNCTION("GoogleTranslate(C8, ""en"", ""zh-cn"")"),"小工具")</f>
        <v>小工具</v>
      </c>
      <c r="P8" s="3" t="str">
        <f>IFERROR(__xludf.DUMMYFUNCTION("GoogleTranslate(C8, ""en"", ""zh-TW"")"),"小工具")</f>
        <v>小工具</v>
      </c>
      <c r="Q8" s="3" t="str">
        <f>IFERROR(__xludf.DUMMYFUNCTION("GoogleTranslate(C8, ""en"", ""hr"")"),"Widget")</f>
        <v>Widget</v>
      </c>
      <c r="R8" s="3" t="str">
        <f>IFERROR(__xludf.DUMMYFUNCTION("GoogleTranslate(C8, ""en"", ""cs"")"),"Widget")</f>
        <v>Widget</v>
      </c>
      <c r="S8" s="3" t="str">
        <f>IFERROR(__xludf.DUMMYFUNCTION("GoogleTranslate(C8, ""en"", ""da"")"),"Widget")</f>
        <v>Widget</v>
      </c>
      <c r="T8" s="3" t="str">
        <f>IFERROR(__xludf.DUMMYFUNCTION("GoogleTranslate(C8, ""en"", ""nl"")"),"Widget")</f>
        <v>Widget</v>
      </c>
      <c r="U8" s="3" t="str">
        <f>IFERROR(__xludf.DUMMYFUNCTION("GoogleTranslate(C8, ""en"", ""et"")"),"Vidin")</f>
        <v>Vidin</v>
      </c>
      <c r="V8" s="1" t="str">
        <f t="shared" si="3"/>
        <v>Widget</v>
      </c>
      <c r="W8" s="3" t="str">
        <f>IFERROR(__xludf.DUMMYFUNCTION("GoogleTranslate(C8, ""en"", ""fi"")"),"Widget")</f>
        <v>Widget</v>
      </c>
      <c r="X8" s="3" t="str">
        <f>IFERROR(__xludf.DUMMYFUNCTION("GoogleTranslate(C8, ""en"", ""fr"")"),"Widget")</f>
        <v>Widget</v>
      </c>
      <c r="Y8" s="3" t="str">
        <f>IFERROR(__xludf.DUMMYFUNCTION("GoogleTranslate(C8, ""en"", ""de"")"),"Widget")</f>
        <v>Widget</v>
      </c>
      <c r="Z8" s="3" t="str">
        <f>IFERROR(__xludf.DUMMYFUNCTION("GoogleTranslate(C8, ""en"", ""el"")"),"Γραφικό στοιχείο")</f>
        <v>Γραφικό στοιχείο</v>
      </c>
      <c r="AA8" s="3" t="str">
        <f>IFERROR(__xludf.DUMMYFUNCTION("GoogleTranslate(C8, ""en"", ""iw"")"),"יישומון")</f>
        <v>יישומון</v>
      </c>
      <c r="AB8" s="3" t="str">
        <f>IFERROR(__xludf.DUMMYFUNCTION("GoogleTranslate(C8, ""en"", ""hi"")"),"विजेट")</f>
        <v>विजेट</v>
      </c>
      <c r="AC8" s="3" t="str">
        <f>IFERROR(__xludf.DUMMYFUNCTION("GoogleTranslate(C8, ""en"", ""hu"")"),"Widget")</f>
        <v>Widget</v>
      </c>
      <c r="AD8" s="3" t="str">
        <f>IFERROR(__xludf.DUMMYFUNCTION("GoogleTranslate(C8, ""en"", ""is"")"),"Græja")</f>
        <v>Græja</v>
      </c>
      <c r="AE8" s="3" t="str">
        <f>IFERROR(__xludf.DUMMYFUNCTION("GoogleTranslate(C8, ""en"", ""id"")"),"Widget")</f>
        <v>Widget</v>
      </c>
      <c r="AF8" s="3" t="str">
        <f>IFERROR(__xludf.DUMMYFUNCTION("GoogleTranslate(C8, ""en"", ""in"")"),"Widget")</f>
        <v>Widget</v>
      </c>
      <c r="AG8" s="3" t="str">
        <f>IFERROR(__xludf.DUMMYFUNCTION("GoogleTranslate(C8, ""en"", ""it"")"),"widget")</f>
        <v>widget</v>
      </c>
      <c r="AH8" s="3" t="str">
        <f>IFERROR(__xludf.DUMMYFUNCTION("GoogleTranslate(C8, ""en"", ""ja"")"),"ウィジェット")</f>
        <v>ウィジェット</v>
      </c>
      <c r="AI8" s="3" t="str">
        <f>IFERROR(__xludf.DUMMYFUNCTION("GoogleTranslate(C8, ""en"", ""kn"")"),"ವಿಜೆಟ್")</f>
        <v>ವಿಜೆಟ್</v>
      </c>
      <c r="AJ8" s="3" t="str">
        <f>IFERROR(__xludf.DUMMYFUNCTION("GoogleTranslate(C8, ""en"", ""km"")"),"ធាតុក្រាហ្វិក")</f>
        <v>ធាតុក្រាហ្វិក</v>
      </c>
      <c r="AK8" s="3" t="str">
        <f>IFERROR(__xludf.DUMMYFUNCTION("GoogleTranslate(C8, ""en"", ""ko"")"),"위젯")</f>
        <v>위젯</v>
      </c>
      <c r="AL8" s="3" t="str">
        <f>IFERROR(__xludf.DUMMYFUNCTION("GoogleTranslate(C8, ""en"", ""lo"")"),"ວິດເຈັດ")</f>
        <v>ວິດເຈັດ</v>
      </c>
      <c r="AM8" s="3" t="str">
        <f>IFERROR(__xludf.DUMMYFUNCTION("GoogleTranslate(C8, ""en"", ""lv"")"),"Logrīks")</f>
        <v>Logrīks</v>
      </c>
      <c r="AN8" s="3" t="str">
        <f>IFERROR(__xludf.DUMMYFUNCTION("GoogleTranslate(C8, ""en"", ""lt"")"),"Valdiklis")</f>
        <v>Valdiklis</v>
      </c>
      <c r="AO8" s="3" t="str">
        <f>IFERROR(__xludf.DUMMYFUNCTION("GoogleTranslate(C8, ""en"", ""mk"")"),"Виџет")</f>
        <v>Виџет</v>
      </c>
      <c r="AP8" s="3" t="str">
        <f>IFERROR(__xludf.DUMMYFUNCTION("GoogleTranslate(C8, ""en"", ""ms"")"),"Widget")</f>
        <v>Widget</v>
      </c>
      <c r="AQ8" s="3" t="str">
        <f>IFERROR(__xludf.DUMMYFUNCTION("GoogleTranslate(C8, ""en"", ""ml"")"),"വിജറ്റ്")</f>
        <v>വിജറ്റ്</v>
      </c>
      <c r="AR8" s="3" t="str">
        <f>IFERROR(__xludf.DUMMYFUNCTION("GoogleTranslate(C8, ""en"", ""mr"")"),"विजेट")</f>
        <v>विजेट</v>
      </c>
      <c r="AS8" s="3" t="str">
        <f>IFERROR(__xludf.DUMMYFUNCTION("GoogleTranslate(C8, ""en"", ""mn"")"),"Виджет")</f>
        <v>Виджет</v>
      </c>
      <c r="AT8" s="3" t="str">
        <f>IFERROR(__xludf.DUMMYFUNCTION("GoogleTranslate(C8, ""en"", ""ne"")"),"विजेट")</f>
        <v>विजेट</v>
      </c>
      <c r="AU8" s="3" t="str">
        <f>IFERROR(__xludf.DUMMYFUNCTION("GoogleTranslate(C8, ""en"", ""nb"")"),"Widget")</f>
        <v>Widget</v>
      </c>
      <c r="AV8" s="3" t="str">
        <f>IFERROR(__xludf.DUMMYFUNCTION("GoogleTranslate(C8, ""en"", ""fa"")"),"ویجت")</f>
        <v>ویجت</v>
      </c>
      <c r="AW8" s="3" t="str">
        <f>IFERROR(__xludf.DUMMYFUNCTION("GoogleTranslate(C8, ""en"", ""pl"")"),"Widżet")</f>
        <v>Widżet</v>
      </c>
      <c r="AX8" s="3" t="str">
        <f>IFERROR(__xludf.DUMMYFUNCTION("GoogleTranslate(C8, ""en"", ""pt"")"),"Widget")</f>
        <v>Widget</v>
      </c>
      <c r="AY8" s="3" t="str">
        <f>IFERROR(__xludf.DUMMYFUNCTION("GoogleTranslate(C8, ""en"", ""ro"")"),"Widget")</f>
        <v>Widget</v>
      </c>
      <c r="AZ8" s="3" t="str">
        <f>IFERROR(__xludf.DUMMYFUNCTION("GoogleTranslate(C8, ""en"", ""ru"")"),"Виджет")</f>
        <v>Виджет</v>
      </c>
      <c r="BA8" s="3" t="str">
        <f>IFERROR(__xludf.DUMMYFUNCTION("GoogleTranslate(C8, ""en"", ""sr"")"),"Видгет")</f>
        <v>Видгет</v>
      </c>
      <c r="BB8" s="3" t="str">
        <f>IFERROR(__xludf.DUMMYFUNCTION("GoogleTranslate(C8, ""en"", ""si"")"),"විජට්")</f>
        <v>විජට්</v>
      </c>
      <c r="BC8" s="3" t="str">
        <f>IFERROR(__xludf.DUMMYFUNCTION("GoogleTranslate(C8, ""en"", ""sk"")"),"Widget")</f>
        <v>Widget</v>
      </c>
      <c r="BD8" s="3" t="str">
        <f>IFERROR(__xludf.DUMMYFUNCTION("GoogleTranslate(C8, ""en"", ""sl"")"),"Widget")</f>
        <v>Widget</v>
      </c>
      <c r="BE8" s="3" t="str">
        <f>IFERROR(__xludf.DUMMYFUNCTION("GoogleTranslate(C8, ""en"", ""es"")"),"widget")</f>
        <v>widget</v>
      </c>
      <c r="BF8" s="3" t="str">
        <f>IFERROR(__xludf.DUMMYFUNCTION("GoogleTranslate(C8, ""en"", ""sw"")"),"Wijeti")</f>
        <v>Wijeti</v>
      </c>
      <c r="BG8" s="3" t="str">
        <f>IFERROR(__xludf.DUMMYFUNCTION("GoogleTranslate(C8, ""en"", ""sv"")"),"Widget")</f>
        <v>Widget</v>
      </c>
      <c r="BH8" s="3" t="str">
        <f>IFERROR(__xludf.DUMMYFUNCTION("GoogleTranslate(C8, ""en"", ""te"")"),"విడ్జెట్")</f>
        <v>విడ్జెట్</v>
      </c>
      <c r="BI8" s="3" t="str">
        <f>IFERROR(__xludf.DUMMYFUNCTION("GoogleTranslate(C8, ""en"", ""th"")"),"วิดเจ็ต")</f>
        <v>วิดเจ็ต</v>
      </c>
      <c r="BJ8" s="3" t="str">
        <f>IFERROR(__xludf.DUMMYFUNCTION("GoogleTranslate(C8, ""en"", ""tr"")"),"Widget")</f>
        <v>Widget</v>
      </c>
      <c r="BK8" s="3" t="str">
        <f>IFERROR(__xludf.DUMMYFUNCTION("GoogleTranslate(C8, ""en"", ""uk"")"),"Віджет")</f>
        <v>Віджет</v>
      </c>
      <c r="BL8" s="3" t="str">
        <f>IFERROR(__xludf.DUMMYFUNCTION("GoogleTranslate(C8, ""en"", ""zu"")"),"Iwijethi")</f>
        <v>Iwijethi</v>
      </c>
    </row>
    <row r="9">
      <c r="A9" s="1" t="str">
        <f t="shared" si="1"/>
        <v>Your_City</v>
      </c>
      <c r="B9" s="4" t="s">
        <v>71</v>
      </c>
      <c r="C9" s="1" t="str">
        <f t="shared" si="2"/>
        <v>Your City</v>
      </c>
      <c r="D9" s="3" t="str">
        <f>IFERROR(__xludf.DUMMYFUNCTION("GoogleTranslate(C9, ""en"", ""es"")"),"Tu ciudad")</f>
        <v>Tu ciudad</v>
      </c>
      <c r="E9" s="3" t="str">
        <f>IFERROR(__xludf.DUMMYFUNCTION("GoogleTranslate(C9, ""en"", ""ar"")"),"مدينتك")</f>
        <v>مدينتك</v>
      </c>
      <c r="F9" s="3" t="str">
        <f>IFERROR(__xludf.DUMMYFUNCTION("GoogleTranslate(C9, ""en"", ""hy"")"),"Ձեր քաղաքը")</f>
        <v>Ձեր քաղաքը</v>
      </c>
      <c r="G9" s="3" t="str">
        <f>IFERROR(__xludf.DUMMYFUNCTION("GoogleTranslate(C9, ""en"", ""vi"")"),"Thành phố của bạn")</f>
        <v>Thành phố của bạn</v>
      </c>
      <c r="H9" s="3" t="str">
        <f>IFERROR(__xludf.DUMMYFUNCTION("GoogleTranslate(C9, ""en"", ""az"")"),"Sizin Şəhər")</f>
        <v>Sizin Şəhər</v>
      </c>
      <c r="I9" s="3" t="str">
        <f>IFERROR(__xludf.DUMMYFUNCTION("GoogleTranslate(C9, ""en"", ""eu"")"),"Zure hiria")</f>
        <v>Zure hiria</v>
      </c>
      <c r="J9" s="3" t="str">
        <f>IFERROR(__xludf.DUMMYFUNCTION("GoogleTranslate(C9, ""en"", ""be"")"),"Ваш горад")</f>
        <v>Ваш горад</v>
      </c>
      <c r="K9" s="3" t="str">
        <f>IFERROR(__xludf.DUMMYFUNCTION("GoogleTranslate(C9, ""en"", ""bn"")"),"আপনার শহর")</f>
        <v>আপনার শহর</v>
      </c>
      <c r="L9" s="3" t="str">
        <f>IFERROR(__xludf.DUMMYFUNCTION("GoogleTranslate(C9, ""en"", ""bg"")"),"Вашият град")</f>
        <v>Вашият град</v>
      </c>
      <c r="M9" s="3" t="str">
        <f>IFERROR(__xludf.DUMMYFUNCTION("GoogleTranslate(C9, ""en"", ""my"")"),"မင်းရဲ့မြို့")</f>
        <v>မင်းရဲ့မြို့</v>
      </c>
      <c r="N9" s="3" t="str">
        <f>IFERROR(__xludf.DUMMYFUNCTION("GoogleTranslate(C9, ""en"", ""ca"")"),"La teva ciutat")</f>
        <v>La teva ciutat</v>
      </c>
      <c r="O9" s="3" t="str">
        <f>IFERROR(__xludf.DUMMYFUNCTION("GoogleTranslate(C9, ""en"", ""zh-cn"")"),"你的城市")</f>
        <v>你的城市</v>
      </c>
      <c r="P9" s="3" t="str">
        <f>IFERROR(__xludf.DUMMYFUNCTION("GoogleTranslate(C9, ""en"", ""zh-TW"")"),"你的城市")</f>
        <v>你的城市</v>
      </c>
      <c r="Q9" s="3" t="str">
        <f>IFERROR(__xludf.DUMMYFUNCTION("GoogleTranslate(C9, ""en"", ""hr"")"),"Vaš Grad")</f>
        <v>Vaš Grad</v>
      </c>
      <c r="R9" s="3" t="str">
        <f>IFERROR(__xludf.DUMMYFUNCTION("GoogleTranslate(C9, ""en"", ""cs"")"),"Vaše město")</f>
        <v>Vaše město</v>
      </c>
      <c r="S9" s="3" t="str">
        <f>IFERROR(__xludf.DUMMYFUNCTION("GoogleTranslate(C9, ""en"", ""da"")"),"Din by")</f>
        <v>Din by</v>
      </c>
      <c r="T9" s="3" t="str">
        <f>IFERROR(__xludf.DUMMYFUNCTION("GoogleTranslate(C9, ""en"", ""nl"")"),"Jouw stad")</f>
        <v>Jouw stad</v>
      </c>
      <c r="U9" s="3" t="str">
        <f>IFERROR(__xludf.DUMMYFUNCTION("GoogleTranslate(C9, ""en"", ""et"")"),"Sinu linn")</f>
        <v>Sinu linn</v>
      </c>
      <c r="V9" s="1" t="str">
        <f t="shared" si="3"/>
        <v>Your City</v>
      </c>
      <c r="W9" s="3" t="str">
        <f>IFERROR(__xludf.DUMMYFUNCTION("GoogleTranslate(C9, ""en"", ""fi"")"),"Sinun kaupunkisi")</f>
        <v>Sinun kaupunkisi</v>
      </c>
      <c r="X9" s="3" t="str">
        <f>IFERROR(__xludf.DUMMYFUNCTION("GoogleTranslate(C9, ""en"", ""fr"")"),"Votre ville")</f>
        <v>Votre ville</v>
      </c>
      <c r="Y9" s="3" t="str">
        <f>IFERROR(__xludf.DUMMYFUNCTION("GoogleTranslate(C9, ""en"", ""de"")"),"Deine Stadt")</f>
        <v>Deine Stadt</v>
      </c>
      <c r="Z9" s="3" t="str">
        <f>IFERROR(__xludf.DUMMYFUNCTION("GoogleTranslate(C9, ""en"", ""el"")"),"Η πόλη σας")</f>
        <v>Η πόλη σας</v>
      </c>
      <c r="AA9" s="3" t="str">
        <f>IFERROR(__xludf.DUMMYFUNCTION("GoogleTranslate(C9, ""en"", ""iw"")"),"העיר שלך")</f>
        <v>העיר שלך</v>
      </c>
      <c r="AB9" s="3" t="str">
        <f>IFERROR(__xludf.DUMMYFUNCTION("GoogleTranslate(C9, ""en"", ""hi"")"),"आपका सिटि")</f>
        <v>आपका सिटि</v>
      </c>
      <c r="AC9" s="3" t="str">
        <f>IFERROR(__xludf.DUMMYFUNCTION("GoogleTranslate(C9, ""en"", ""hu"")"),"Az Ön városa")</f>
        <v>Az Ön városa</v>
      </c>
      <c r="AD9" s="3" t="str">
        <f>IFERROR(__xludf.DUMMYFUNCTION("GoogleTranslate(C9, ""en"", ""is"")"),"Borgin þín")</f>
        <v>Borgin þín</v>
      </c>
      <c r="AE9" s="3" t="str">
        <f>IFERROR(__xludf.DUMMYFUNCTION("GoogleTranslate(C9, ""en"", ""id"")"),"Kota Anda")</f>
        <v>Kota Anda</v>
      </c>
      <c r="AF9" s="3" t="str">
        <f>IFERROR(__xludf.DUMMYFUNCTION("GoogleTranslate(C9, ""en"", ""in"")"),"Kota Anda")</f>
        <v>Kota Anda</v>
      </c>
      <c r="AG9" s="3" t="str">
        <f>IFERROR(__xludf.DUMMYFUNCTION("GoogleTranslate(C9, ""en"", ""it"")"),"La tua città")</f>
        <v>La tua città</v>
      </c>
      <c r="AH9" s="3" t="str">
        <f>IFERROR(__xludf.DUMMYFUNCTION("GoogleTranslate(C9, ""en"", ""ja"")"),"あなたの街")</f>
        <v>あなたの街</v>
      </c>
      <c r="AI9" s="3" t="str">
        <f>IFERROR(__xludf.DUMMYFUNCTION("GoogleTranslate(C9, ""en"", ""kn"")"),"ನಿಮ್ಮ ನಗರ")</f>
        <v>ನಿಮ್ಮ ನಗರ</v>
      </c>
      <c r="AJ9" s="3" t="str">
        <f>IFERROR(__xludf.DUMMYFUNCTION("GoogleTranslate(C9, ""en"", ""km"")"),"ទីក្រុងរបស់អ្នក។")</f>
        <v>ទីក្រុងរបស់អ្នក។</v>
      </c>
      <c r="AK9" s="3" t="str">
        <f>IFERROR(__xludf.DUMMYFUNCTION("GoogleTranslate(C9, ""en"", ""ko"")"),"귀하의 도시")</f>
        <v>귀하의 도시</v>
      </c>
      <c r="AL9" s="3" t="str">
        <f>IFERROR(__xludf.DUMMYFUNCTION("GoogleTranslate(C9, ""en"", ""lo"")"),"ເມືອງຂອງເຈົ້າ")</f>
        <v>ເມືອງຂອງເຈົ້າ</v>
      </c>
      <c r="AM9" s="3" t="str">
        <f>IFERROR(__xludf.DUMMYFUNCTION("GoogleTranslate(C9, ""en"", ""lv"")"),"Tava pilsēta")</f>
        <v>Tava pilsēta</v>
      </c>
      <c r="AN9" s="3" t="str">
        <f>IFERROR(__xludf.DUMMYFUNCTION("GoogleTranslate(C9, ""en"", ""lt"")"),"Jūsų miestas")</f>
        <v>Jūsų miestas</v>
      </c>
      <c r="AO9" s="3" t="str">
        <f>IFERROR(__xludf.DUMMYFUNCTION("GoogleTranslate(C9, ""en"", ""mk"")"),"Вашиот град")</f>
        <v>Вашиот град</v>
      </c>
      <c r="AP9" s="3" t="str">
        <f>IFERROR(__xludf.DUMMYFUNCTION("GoogleTranslate(C9, ""en"", ""ms"")"),"Bandar anda")</f>
        <v>Bandar anda</v>
      </c>
      <c r="AQ9" s="3" t="str">
        <f>IFERROR(__xludf.DUMMYFUNCTION("GoogleTranslate(C9, ""en"", ""ml"")"),"നിങ്ങളുടെ നഗരം")</f>
        <v>നിങ്ങളുടെ നഗരം</v>
      </c>
      <c r="AR9" s="3" t="str">
        <f>IFERROR(__xludf.DUMMYFUNCTION("GoogleTranslate(C9, ""en"", ""mr"")"),"आपले शहर")</f>
        <v>आपले शहर</v>
      </c>
      <c r="AS9" s="3" t="str">
        <f>IFERROR(__xludf.DUMMYFUNCTION("GoogleTranslate(C9, ""en"", ""mn"")"),"Таны хот")</f>
        <v>Таны хот</v>
      </c>
      <c r="AT9" s="3" t="str">
        <f>IFERROR(__xludf.DUMMYFUNCTION("GoogleTranslate(C9, ""en"", ""ne"")"),"तपाईंको शहर")</f>
        <v>तपाईंको शहर</v>
      </c>
      <c r="AU9" s="3" t="str">
        <f>IFERROR(__xludf.DUMMYFUNCTION("GoogleTranslate(C9, ""en"", ""nb"")"),"Din by")</f>
        <v>Din by</v>
      </c>
      <c r="AV9" s="3" t="str">
        <f>IFERROR(__xludf.DUMMYFUNCTION("GoogleTranslate(C9, ""en"", ""fa"")"),"شهر شما")</f>
        <v>شهر شما</v>
      </c>
      <c r="AW9" s="3" t="str">
        <f>IFERROR(__xludf.DUMMYFUNCTION("GoogleTranslate(C9, ""en"", ""pl"")"),"Twoje miasto")</f>
        <v>Twoje miasto</v>
      </c>
      <c r="AX9" s="3" t="str">
        <f>IFERROR(__xludf.DUMMYFUNCTION("GoogleTranslate(C9, ""en"", ""pt"")"),"Sua cidade")</f>
        <v>Sua cidade</v>
      </c>
      <c r="AY9" s="3" t="str">
        <f>IFERROR(__xludf.DUMMYFUNCTION("GoogleTranslate(C9, ""en"", ""ro"")"),"Orașul tău")</f>
        <v>Orașul tău</v>
      </c>
      <c r="AZ9" s="3" t="str">
        <f>IFERROR(__xludf.DUMMYFUNCTION("GoogleTranslate(C9, ""en"", ""ru"")"),"Ваш город")</f>
        <v>Ваш город</v>
      </c>
      <c r="BA9" s="3" t="str">
        <f>IFERROR(__xludf.DUMMYFUNCTION("GoogleTranslate(C9, ""en"", ""sr"")"),"Ваш град")</f>
        <v>Ваш град</v>
      </c>
      <c r="BB9" s="3" t="str">
        <f>IFERROR(__xludf.DUMMYFUNCTION("GoogleTranslate(C9, ""en"", ""si"")"),"ඔබේ නගරය")</f>
        <v>ඔබේ නගරය</v>
      </c>
      <c r="BC9" s="3" t="str">
        <f>IFERROR(__xludf.DUMMYFUNCTION("GoogleTranslate(C9, ""en"", ""sk"")"),"Vaše Mesto")</f>
        <v>Vaše Mesto</v>
      </c>
      <c r="BD9" s="3" t="str">
        <f>IFERROR(__xludf.DUMMYFUNCTION("GoogleTranslate(C9, ""en"", ""sl"")"),"Vaše mesto")</f>
        <v>Vaše mesto</v>
      </c>
      <c r="BE9" s="3" t="str">
        <f>IFERROR(__xludf.DUMMYFUNCTION("GoogleTranslate(C9, ""en"", ""es"")"),"Tu ciudad")</f>
        <v>Tu ciudad</v>
      </c>
      <c r="BF9" s="3" t="str">
        <f>IFERROR(__xludf.DUMMYFUNCTION("GoogleTranslate(C9, ""en"", ""sw"")"),"Jiji lako")</f>
        <v>Jiji lako</v>
      </c>
      <c r="BG9" s="3" t="str">
        <f>IFERROR(__xludf.DUMMYFUNCTION("GoogleTranslate(C9, ""en"", ""sv"")"),"Din stad")</f>
        <v>Din stad</v>
      </c>
      <c r="BH9" s="3" t="str">
        <f>IFERROR(__xludf.DUMMYFUNCTION("GoogleTranslate(C9, ""en"", ""te"")"),"మీ నగరం")</f>
        <v>మీ నగరం</v>
      </c>
      <c r="BI9" s="3" t="str">
        <f>IFERROR(__xludf.DUMMYFUNCTION("GoogleTranslate(C9, ""en"", ""th"")"),"เมืองของคุณ")</f>
        <v>เมืองของคุณ</v>
      </c>
      <c r="BJ9" s="3" t="str">
        <f>IFERROR(__xludf.DUMMYFUNCTION("GoogleTranslate(C9, ""en"", ""tr"")"),"Şehriniz")</f>
        <v>Şehriniz</v>
      </c>
      <c r="BK9" s="3" t="str">
        <f>IFERROR(__xludf.DUMMYFUNCTION("GoogleTranslate(C9, ""en"", ""uk"")"),"Ваше місто")</f>
        <v>Ваше місто</v>
      </c>
      <c r="BL9" s="3" t="str">
        <f>IFERROR(__xludf.DUMMYFUNCTION("GoogleTranslate(C9, ""en"", ""zu"")"),"Idolobha Lakho")</f>
        <v>Idolobha Lakho</v>
      </c>
    </row>
    <row r="10">
      <c r="A10" s="1" t="str">
        <f t="shared" si="1"/>
        <v>Weather_forecast_{name}</v>
      </c>
      <c r="B10" s="4" t="s">
        <v>72</v>
      </c>
      <c r="C10" s="1" t="str">
        <f t="shared" si="2"/>
        <v>Weather forecast {name}</v>
      </c>
      <c r="D10" s="3" t="str">
        <f>IFERROR(__xludf.DUMMYFUNCTION("GoogleTranslate(C10, ""en"", ""es"")"),"Pronóstico del tiempo {nombre}")</f>
        <v>Pronóstico del tiempo {nombre}</v>
      </c>
      <c r="E10" s="3" t="str">
        <f>IFERROR(__xludf.DUMMYFUNCTION("GoogleTranslate(C10, ""en"", ""ar"")"),"توقعات الطقس {الاسم}")</f>
        <v>توقعات الطقس {الاسم}</v>
      </c>
      <c r="F10" s="3" t="str">
        <f>IFERROR(__xludf.DUMMYFUNCTION("GoogleTranslate(C10, ""en"", ""hy"")"),"Եղանակի կանխատեսում {name}")</f>
        <v>Եղանակի կանխատեսում {name}</v>
      </c>
      <c r="G10" s="3" t="str">
        <f>IFERROR(__xludf.DUMMYFUNCTION("GoogleTranslate(C10, ""en"", ""vi"")"),"Dự báo thời tiết {name}")</f>
        <v>Dự báo thời tiết {name}</v>
      </c>
      <c r="H10" s="3" t="str">
        <f>IFERROR(__xludf.DUMMYFUNCTION("GoogleTranslate(C10, ""en"", ""az"")"),"Hava proqnozu {name}")</f>
        <v>Hava proqnozu {name}</v>
      </c>
      <c r="I10" s="3" t="str">
        <f>IFERROR(__xludf.DUMMYFUNCTION("GoogleTranslate(C10, ""en"", ""eu"")"),"Eguraldi iragarpena {name}")</f>
        <v>Eguraldi iragarpena {name}</v>
      </c>
      <c r="J10" s="3" t="str">
        <f>IFERROR(__xludf.DUMMYFUNCTION("GoogleTranslate(C10, ""en"", ""be"")"),"Прагноз надвор'я {name}")</f>
        <v>Прагноз надвор'я {name}</v>
      </c>
      <c r="K10" s="3" t="str">
        <f>IFERROR(__xludf.DUMMYFUNCTION("GoogleTranslate(C10, ""en"", ""bn"")"),"আবহাওয়ার পূর্বাভাস {name}")</f>
        <v>আবহাওয়ার পূর্বাভাস {name}</v>
      </c>
      <c r="L10" s="3" t="str">
        <f>IFERROR(__xludf.DUMMYFUNCTION("GoogleTranslate(C10, ""en"", ""bg"")"),"Прогноза за времето {name}")</f>
        <v>Прогноза за времето {name}</v>
      </c>
      <c r="M10" s="3" t="str">
        <f>IFERROR(__xludf.DUMMYFUNCTION("GoogleTranslate(C10, ""en"", ""my"")"),"မိုးလေဝသ ခန့်မှန်းချက် {name}")</f>
        <v>မိုးလေဝသ ခန့်မှန်းချက် {name}</v>
      </c>
      <c r="N10" s="3" t="str">
        <f>IFERROR(__xludf.DUMMYFUNCTION("GoogleTranslate(C10, ""en"", ""ca"")"),"Previsió meteorològica {name}")</f>
        <v>Previsió meteorològica {name}</v>
      </c>
      <c r="O10" s="3" t="str">
        <f>IFERROR(__xludf.DUMMYFUNCTION("GoogleTranslate(C10, ""en"", ""zh-cn"")"),"天气预报{名称}")</f>
        <v>天气预报{名称}</v>
      </c>
      <c r="P10" s="3" t="str">
        <f>IFERROR(__xludf.DUMMYFUNCTION("GoogleTranslate(C10, ""en"", ""zh-TW"")"),"天氣預報{名稱}")</f>
        <v>天氣預報{名稱}</v>
      </c>
      <c r="Q10" s="3" t="str">
        <f>IFERROR(__xludf.DUMMYFUNCTION("GoogleTranslate(C10, ""en"", ""hr"")"),"Vremenska prognoza {name}")</f>
        <v>Vremenska prognoza {name}</v>
      </c>
      <c r="R10" s="3" t="str">
        <f>IFERROR(__xludf.DUMMYFUNCTION("GoogleTranslate(C10, ""en"", ""cs"")"),"Předpověď počasí {name}")</f>
        <v>Předpověď počasí {name}</v>
      </c>
      <c r="S10" s="3" t="str">
        <f>IFERROR(__xludf.DUMMYFUNCTION("GoogleTranslate(C10, ""en"", ""da"")"),"Vejrudsigt {name}")</f>
        <v>Vejrudsigt {name}</v>
      </c>
      <c r="T10" s="3" t="str">
        <f>IFERROR(__xludf.DUMMYFUNCTION("GoogleTranslate(C10, ""en"", ""nl"")"),"Weersvoorspelling {naam}")</f>
        <v>Weersvoorspelling {naam}</v>
      </c>
      <c r="U10" s="3" t="str">
        <f>IFERROR(__xludf.DUMMYFUNCTION("GoogleTranslate(C10, ""en"", ""et"")"),"Ilmateade {name}")</f>
        <v>Ilmateade {name}</v>
      </c>
      <c r="V10" s="1" t="str">
        <f t="shared" si="3"/>
        <v>Weather forecast {name}</v>
      </c>
      <c r="W10" s="3" t="str">
        <f>IFERROR(__xludf.DUMMYFUNCTION("GoogleTranslate(C10, ""en"", ""fi"")"),"Sääennuste {name}")</f>
        <v>Sääennuste {name}</v>
      </c>
      <c r="X10" s="3" t="str">
        <f>IFERROR(__xludf.DUMMYFUNCTION("GoogleTranslate(C10, ""en"", ""fr"")"),"Prévisions météo {nom}")</f>
        <v>Prévisions météo {nom}</v>
      </c>
      <c r="Y10" s="3" t="str">
        <f>IFERROR(__xludf.DUMMYFUNCTION("GoogleTranslate(C10, ""en"", ""de"")"),"Wettervorhersage {Name}")</f>
        <v>Wettervorhersage {Name}</v>
      </c>
      <c r="Z10" s="3" t="str">
        <f>IFERROR(__xludf.DUMMYFUNCTION("GoogleTranslate(C10, ""en"", ""el"")"),"Πρόγνωση καιρού {name}")</f>
        <v>Πρόγνωση καιρού {name}</v>
      </c>
      <c r="AA10" s="3" t="str">
        <f>IFERROR(__xludf.DUMMYFUNCTION("GoogleTranslate(C10, ""en"", ""iw"")"),"תחזית מזג האוויר {name}")</f>
        <v>תחזית מזג האוויר {name}</v>
      </c>
      <c r="AB10" s="3" t="str">
        <f>IFERROR(__xludf.DUMMYFUNCTION("GoogleTranslate(C10, ""en"", ""hi"")"),"मौसम पूर्वानुमान {नाम}")</f>
        <v>मौसम पूर्वानुमान {नाम}</v>
      </c>
      <c r="AC10" s="3" t="str">
        <f>IFERROR(__xludf.DUMMYFUNCTION("GoogleTranslate(C10, ""en"", ""hu"")"),"Időjárás előrejelzés {name}")</f>
        <v>Időjárás előrejelzés {name}</v>
      </c>
      <c r="AD10" s="3" t="str">
        <f>IFERROR(__xludf.DUMMYFUNCTION("GoogleTranslate(C10, ""en"", ""is"")"),"Veðurspá {name}")</f>
        <v>Veðurspá {name}</v>
      </c>
      <c r="AE10" s="3" t="str">
        <f>IFERROR(__xludf.DUMMYFUNCTION("GoogleTranslate(C10, ""en"", ""id"")"),"Prakiraan cuaca {name}")</f>
        <v>Prakiraan cuaca {name}</v>
      </c>
      <c r="AF10" s="3" t="str">
        <f>IFERROR(__xludf.DUMMYFUNCTION("GoogleTranslate(C10, ""en"", ""in"")"),"Prakiraan cuaca {name}")</f>
        <v>Prakiraan cuaca {name}</v>
      </c>
      <c r="AG10" s="3" t="str">
        <f>IFERROR(__xludf.DUMMYFUNCTION("GoogleTranslate(C10, ""en"", ""it"")"),"Previsioni del tempo {nome}")</f>
        <v>Previsioni del tempo {nome}</v>
      </c>
      <c r="AH10" s="3" t="str">
        <f>IFERROR(__xludf.DUMMYFUNCTION("GoogleTranslate(C10, ""en"", ""ja"")"),"天気予報 {名前}")</f>
        <v>天気予報 {名前}</v>
      </c>
      <c r="AI10" s="3" t="str">
        <f>IFERROR(__xludf.DUMMYFUNCTION("GoogleTranslate(C10, ""en"", ""kn"")"),"ಹವಾಮಾನ ಮುನ್ಸೂಚನೆ {name}")</f>
        <v>ಹವಾಮಾನ ಮುನ್ಸೂಚನೆ {name}</v>
      </c>
      <c r="AJ10" s="3" t="str">
        <f>IFERROR(__xludf.DUMMYFUNCTION("GoogleTranslate(C10, ""en"", ""km"")"),"ការព្យាករណ៍អាកាសធាតុ {name}")</f>
        <v>ការព្យាករណ៍អាកាសធាតុ {name}</v>
      </c>
      <c r="AK10" s="3" t="str">
        <f>IFERROR(__xludf.DUMMYFUNCTION("GoogleTranslate(C10, ""en"", ""ko"")"),"일기 예보 {이름}")</f>
        <v>일기 예보 {이름}</v>
      </c>
      <c r="AL10" s="3" t="str">
        <f>IFERROR(__xludf.DUMMYFUNCTION("GoogleTranslate(C10, ""en"", ""lo"")"),"ພະຍາກອນອາກາດ {name}")</f>
        <v>ພະຍາກອນອາກາດ {name}</v>
      </c>
      <c r="AM10" s="3" t="str">
        <f>IFERROR(__xludf.DUMMYFUNCTION("GoogleTranslate(C10, ""en"", ""lv"")"),"Laika prognoze {name}")</f>
        <v>Laika prognoze {name}</v>
      </c>
      <c r="AN10" s="3" t="str">
        <f>IFERROR(__xludf.DUMMYFUNCTION("GoogleTranslate(C10, ""en"", ""lt"")"),"Orų prognozė {name}")</f>
        <v>Orų prognozė {name}</v>
      </c>
      <c r="AO10" s="3" t="str">
        <f>IFERROR(__xludf.DUMMYFUNCTION("GoogleTranslate(C10, ""en"", ""mk"")"),"Временска прогноза {name}")</f>
        <v>Временска прогноза {name}</v>
      </c>
      <c r="AP10" s="3" t="str">
        <f>IFERROR(__xludf.DUMMYFUNCTION("GoogleTranslate(C10, ""en"", ""ms"")"),"Ramalan cuaca {nama}")</f>
        <v>Ramalan cuaca {nama}</v>
      </c>
      <c r="AQ10" s="3" t="str">
        <f>IFERROR(__xludf.DUMMYFUNCTION("GoogleTranslate(C10, ""en"", ""ml"")"),"കാലാവസ്ഥാ പ്രവചനം {name}")</f>
        <v>കാലാവസ്ഥാ പ്രവചനം {name}</v>
      </c>
      <c r="AR10" s="3" t="str">
        <f>IFERROR(__xludf.DUMMYFUNCTION("GoogleTranslate(C10, ""en"", ""mr"")"),"हवामान अंदाज {name}")</f>
        <v>हवामान अंदाज {name}</v>
      </c>
      <c r="AS10" s="3" t="str">
        <f>IFERROR(__xludf.DUMMYFUNCTION("GoogleTranslate(C10, ""en"", ""mn"")"),"Цаг агаарын мэдээ {name}")</f>
        <v>Цаг агаарын мэдээ {name}</v>
      </c>
      <c r="AT10" s="3" t="str">
        <f>IFERROR(__xludf.DUMMYFUNCTION("GoogleTranslate(C10, ""en"", ""ne"")"),"मौसम पूर्वानुमान {नाम}")</f>
        <v>मौसम पूर्वानुमान {नाम}</v>
      </c>
      <c r="AU10" s="3" t="str">
        <f>IFERROR(__xludf.DUMMYFUNCTION("GoogleTranslate(C10, ""en"", ""nb"")"),"Værmelding {name}")</f>
        <v>Værmelding {name}</v>
      </c>
      <c r="AV10" s="3" t="str">
        <f>IFERROR(__xludf.DUMMYFUNCTION("GoogleTranslate(C10, ""en"", ""fa"")"),"پیش بینی آب و هوا {name}")</f>
        <v>پیش بینی آب و هوا {name}</v>
      </c>
      <c r="AW10" s="3" t="str">
        <f>IFERROR(__xludf.DUMMYFUNCTION("GoogleTranslate(C10, ""en"", ""pl"")"),"Prognoza pogody {name}")</f>
        <v>Prognoza pogody {name}</v>
      </c>
      <c r="AX10" s="3" t="str">
        <f>IFERROR(__xludf.DUMMYFUNCTION("GoogleTranslate(C10, ""en"", ""pt"")"),"Previsão do tempo {nome}")</f>
        <v>Previsão do tempo {nome}</v>
      </c>
      <c r="AY10" s="3" t="str">
        <f>IFERROR(__xludf.DUMMYFUNCTION("GoogleTranslate(C10, ""en"", ""ro"")"),"Prognoza meteo {name}")</f>
        <v>Prognoza meteo {name}</v>
      </c>
      <c r="AZ10" s="3" t="str">
        <f>IFERROR(__xludf.DUMMYFUNCTION("GoogleTranslate(C10, ""en"", ""ru"")"),"Прогноз погоды {имя}")</f>
        <v>Прогноз погоды {имя}</v>
      </c>
      <c r="BA10" s="3" t="str">
        <f>IFERROR(__xludf.DUMMYFUNCTION("GoogleTranslate(C10, ""en"", ""sr"")"),"Временска прогноза {наме}")</f>
        <v>Временска прогноза {наме}</v>
      </c>
      <c r="BB10" s="3" t="str">
        <f>IFERROR(__xludf.DUMMYFUNCTION("GoogleTranslate(C10, ""en"", ""si"")"),"කාලගුණ අනාවැකිය {name}")</f>
        <v>කාලගුණ අනාවැකිය {name}</v>
      </c>
      <c r="BC10" s="3" t="str">
        <f>IFERROR(__xludf.DUMMYFUNCTION("GoogleTranslate(C10, ""en"", ""sk"")"),"Predpoveď počasia {name}")</f>
        <v>Predpoveď počasia {name}</v>
      </c>
      <c r="BD10" s="3" t="str">
        <f>IFERROR(__xludf.DUMMYFUNCTION("GoogleTranslate(C10, ""en"", ""sl"")"),"Vremenska napoved {name}")</f>
        <v>Vremenska napoved {name}</v>
      </c>
      <c r="BE10" s="3" t="str">
        <f>IFERROR(__xludf.DUMMYFUNCTION("GoogleTranslate(C10, ""en"", ""es"")"),"Pronóstico del tiempo {nombre}")</f>
        <v>Pronóstico del tiempo {nombre}</v>
      </c>
      <c r="BF10" s="3" t="str">
        <f>IFERROR(__xludf.DUMMYFUNCTION("GoogleTranslate(C10, ""en"", ""sw"")"),"Utabiri wa hali ya hewa {name}")</f>
        <v>Utabiri wa hali ya hewa {name}</v>
      </c>
      <c r="BG10" s="3" t="str">
        <f>IFERROR(__xludf.DUMMYFUNCTION("GoogleTranslate(C10, ""en"", ""sv"")"),"Väderprognos {name}")</f>
        <v>Väderprognos {name}</v>
      </c>
      <c r="BH10" s="3" t="str">
        <f>IFERROR(__xludf.DUMMYFUNCTION("GoogleTranslate(C10, ""en"", ""te"")"),"వాతావరణ సూచన {name}")</f>
        <v>వాతావరణ సూచన {name}</v>
      </c>
      <c r="BI10" s="3" t="str">
        <f>IFERROR(__xludf.DUMMYFUNCTION("GoogleTranslate(C10, ""en"", ""th"")"),"พยากรณ์อากาศ {ชื่อ}")</f>
        <v>พยากรณ์อากาศ {ชื่อ}</v>
      </c>
      <c r="BJ10" s="3" t="str">
        <f>IFERROR(__xludf.DUMMYFUNCTION("GoogleTranslate(C10, ""en"", ""tr"")"),"Hava tahmini {name}")</f>
        <v>Hava tahmini {name}</v>
      </c>
      <c r="BK10" s="3" t="str">
        <f>IFERROR(__xludf.DUMMYFUNCTION("GoogleTranslate(C10, ""en"", ""uk"")"),"Прогноз погоди {name}")</f>
        <v>Прогноз погоди {name}</v>
      </c>
      <c r="BL10" s="3" t="str">
        <f>IFERROR(__xludf.DUMMYFUNCTION("GoogleTranslate(C10, ""en"", ""zu"")"),"Isibikezelo sezulu {name}")</f>
        <v>Isibikezelo sezulu {name}</v>
      </c>
    </row>
    <row r="11">
      <c r="A11" s="1" t="str">
        <f t="shared" si="1"/>
        <v>Weather_in_{number}_provinces</v>
      </c>
      <c r="B11" s="4" t="s">
        <v>73</v>
      </c>
      <c r="C11" s="1" t="str">
        <f t="shared" si="2"/>
        <v>Weather in {number} provinces</v>
      </c>
      <c r="D11" s="3" t="str">
        <f>IFERROR(__xludf.DUMMYFUNCTION("GoogleTranslate(C11, ""en"", ""es"")"),"El tiempo en {número} provincias")</f>
        <v>El tiempo en {número} provincias</v>
      </c>
      <c r="E11" s="3" t="str">
        <f>IFERROR(__xludf.DUMMYFUNCTION("GoogleTranslate(C11, ""en"", ""ar"")"),"الطقس في {number} محافظات")</f>
        <v>الطقس في {number} محافظات</v>
      </c>
      <c r="F11" s="3" t="str">
        <f>IFERROR(__xludf.DUMMYFUNCTION("GoogleTranslate(C11, ""en"", ""hy"")"),"Եղանակը {number} մարզերում")</f>
        <v>Եղանակը {number} մարզերում</v>
      </c>
      <c r="G11" s="3" t="str">
        <f>IFERROR(__xludf.DUMMYFUNCTION("GoogleTranslate(C11, ""en"", ""vi"")"),"Thời tiết ở {number} tỉnh")</f>
        <v>Thời tiết ở {number} tỉnh</v>
      </c>
      <c r="H11" s="3" t="str">
        <f>IFERROR(__xludf.DUMMYFUNCTION("GoogleTranslate(C11, ""en"", ""az"")"),"{number} əyalətdə hava")</f>
        <v>{number} əyalətdə hava</v>
      </c>
      <c r="I11" s="3" t="str">
        <f>IFERROR(__xludf.DUMMYFUNCTION("GoogleTranslate(C11, ""en"", ""eu"")"),"Eguraldia {number} probintzietan")</f>
        <v>Eguraldia {number} probintzietan</v>
      </c>
      <c r="J11" s="3" t="str">
        <f>IFERROR(__xludf.DUMMYFUNCTION("GoogleTranslate(C11, ""en"", ""be"")"),"Надвор'е ў {number} правінцыях")</f>
        <v>Надвор'е ў {number} правінцыях</v>
      </c>
      <c r="K11" s="3" t="str">
        <f>IFERROR(__xludf.DUMMYFUNCTION("GoogleTranslate(C11, ""en"", ""bn"")"),"{number}টি প্রদেশের আবহাওয়া")</f>
        <v>{number}টি প্রদেশের আবহাওয়া</v>
      </c>
      <c r="L11" s="3" t="str">
        <f>IFERROR(__xludf.DUMMYFUNCTION("GoogleTranslate(C11, ""en"", ""bg"")"),"Времето в {number} провинции")</f>
        <v>Времето в {number} провинции</v>
      </c>
      <c r="M11" s="3" t="str">
        <f>IFERROR(__xludf.DUMMYFUNCTION("GoogleTranslate(C11, ""en"", ""my"")"),"ပြည်နယ် {number} ရှိ ရာသီဥတု")</f>
        <v>ပြည်နယ် {number} ရှိ ရာသီဥတု</v>
      </c>
      <c r="N11" s="3" t="str">
        <f>IFERROR(__xludf.DUMMYFUNCTION("GoogleTranslate(C11, ""en"", ""ca"")"),"El temps a {nombre} províncies")</f>
        <v>El temps a {nombre} províncies</v>
      </c>
      <c r="O11" s="3" t="str">
        <f>IFERROR(__xludf.DUMMYFUNCTION("GoogleTranslate(C11, ""en"", ""zh-cn"")"),"{number} 个省的天气")</f>
        <v>{number} 个省的天气</v>
      </c>
      <c r="P11" s="3" t="str">
        <f>IFERROR(__xludf.DUMMYFUNCTION("GoogleTranslate(C11, ""en"", ""zh-TW"")"),"{number} 個省的天氣")</f>
        <v>{number} 個省的天氣</v>
      </c>
      <c r="Q11" s="3" t="str">
        <f>IFERROR(__xludf.DUMMYFUNCTION("GoogleTranslate(C11, ""en"", ""hr"")"),"Vrijeme u {number} pokrajina")</f>
        <v>Vrijeme u {number} pokrajina</v>
      </c>
      <c r="R11" s="3" t="str">
        <f>IFERROR(__xludf.DUMMYFUNCTION("GoogleTranslate(C11, ""en"", ""cs"")"),"Počasí v {number} provinciích")</f>
        <v>Počasí v {number} provinciích</v>
      </c>
      <c r="S11" s="3" t="str">
        <f>IFERROR(__xludf.DUMMYFUNCTION("GoogleTranslate(C11, ""en"", ""da"")"),"Vejret i {number} provinser")</f>
        <v>Vejret i {number} provinser</v>
      </c>
      <c r="T11" s="3" t="str">
        <f>IFERROR(__xludf.DUMMYFUNCTION("GoogleTranslate(C11, ""en"", ""nl"")"),"Weer in {aantal} provincies")</f>
        <v>Weer in {aantal} provincies</v>
      </c>
      <c r="U11" s="3" t="str">
        <f>IFERROR(__xludf.DUMMYFUNCTION("GoogleTranslate(C11, ""en"", ""et"")"),"Ilm {number} provintsis")</f>
        <v>Ilm {number} provintsis</v>
      </c>
      <c r="V11" s="1" t="str">
        <f t="shared" si="3"/>
        <v>Weather in {number} provinces</v>
      </c>
      <c r="W11" s="3" t="str">
        <f>IFERROR(__xludf.DUMMYFUNCTION("GoogleTranslate(C11, ""en"", ""fi"")"),"Sää {number} maakunnassa")</f>
        <v>Sää {number} maakunnassa</v>
      </c>
      <c r="X11" s="3" t="str">
        <f>IFERROR(__xludf.DUMMYFUNCTION("GoogleTranslate(C11, ""en"", ""fr"")"),"Météo dans {number} provinces")</f>
        <v>Météo dans {number} provinces</v>
      </c>
      <c r="Y11" s="3" t="str">
        <f>IFERROR(__xludf.DUMMYFUNCTION("GoogleTranslate(C11, ""en"", ""de"")"),"Wetter in {Anzahl} Provinzen")</f>
        <v>Wetter in {Anzahl} Provinzen</v>
      </c>
      <c r="Z11" s="3" t="str">
        <f>IFERROR(__xludf.DUMMYFUNCTION("GoogleTranslate(C11, ""en"", ""el"")"),"Ο καιρός σε {number} επαρχίες")</f>
        <v>Ο καιρός σε {number} επαρχίες</v>
      </c>
      <c r="AA11" s="3" t="str">
        <f>IFERROR(__xludf.DUMMYFUNCTION("GoogleTranslate(C11, ""en"", ""iw"")"),"מזג אוויר ב-{number} מחוזות")</f>
        <v>מזג אוויר ב-{number} מחוזות</v>
      </c>
      <c r="AB11" s="3" t="str">
        <f>IFERROR(__xludf.DUMMYFUNCTION("GoogleTranslate(C11, ""en"", ""hi"")"),"{संख्या} प्रांतों में मौसम")</f>
        <v>{संख्या} प्रांतों में मौसम</v>
      </c>
      <c r="AC11" s="3" t="str">
        <f>IFERROR(__xludf.DUMMYFUNCTION("GoogleTranslate(C11, ""en"", ""hu"")"),"Időjárás {number} tartományban")</f>
        <v>Időjárás {number} tartományban</v>
      </c>
      <c r="AD11" s="3" t="str">
        <f>IFERROR(__xludf.DUMMYFUNCTION("GoogleTranslate(C11, ""en"", ""is"")"),"Veður í {number} héruðum")</f>
        <v>Veður í {number} héruðum</v>
      </c>
      <c r="AE11" s="3" t="str">
        <f>IFERROR(__xludf.DUMMYFUNCTION("GoogleTranslate(C11, ""en"", ""id"")"),"Cuaca di {number} provinsi")</f>
        <v>Cuaca di {number} provinsi</v>
      </c>
      <c r="AF11" s="3" t="str">
        <f>IFERROR(__xludf.DUMMYFUNCTION("GoogleTranslate(C11, ""en"", ""in"")"),"Cuaca di {number} provinsi")</f>
        <v>Cuaca di {number} provinsi</v>
      </c>
      <c r="AG11" s="3" t="str">
        <f>IFERROR(__xludf.DUMMYFUNCTION("GoogleTranslate(C11, ""en"", ""it"")"),"Meteo in {numero} province")</f>
        <v>Meteo in {numero} province</v>
      </c>
      <c r="AH11" s="3" t="str">
        <f>IFERROR(__xludf.DUMMYFUNCTION("GoogleTranslate(C11, ""en"", ""ja"")"),"{number} 州の天気")</f>
        <v>{number} 州の天気</v>
      </c>
      <c r="AI11" s="3" t="str">
        <f>IFERROR(__xludf.DUMMYFUNCTION("GoogleTranslate(C11, ""en"", ""kn"")"),"{number} ಪ್ರಾಂತ್ಯಗಳಲ್ಲಿ ಹವಾಮಾನ")</f>
        <v>{number} ಪ್ರಾಂತ್ಯಗಳಲ್ಲಿ ಹವಾಮಾನ</v>
      </c>
      <c r="AJ11" s="3" t="str">
        <f>IFERROR(__xludf.DUMMYFUNCTION("GoogleTranslate(C11, ""en"", ""km"")"),"អាកាសធាតុនៅក្នុងខេត្ត {number}")</f>
        <v>អាកាសធាតុនៅក្នុងខេត្ត {number}</v>
      </c>
      <c r="AK11" s="3" t="str">
        <f>IFERROR(__xludf.DUMMYFUNCTION("GoogleTranslate(C11, ""en"", ""ko"")"),"{number} 지방의 날씨")</f>
        <v>{number} 지방의 날씨</v>
      </c>
      <c r="AL11" s="3" t="str">
        <f>IFERROR(__xludf.DUMMYFUNCTION("GoogleTranslate(C11, ""en"", ""lo"")"),"ສະພາບອາກາດໃນ {number} ແຂວງ")</f>
        <v>ສະພາບອາກາດໃນ {number} ແຂວງ</v>
      </c>
      <c r="AM11" s="3" t="str">
        <f>IFERROR(__xludf.DUMMYFUNCTION("GoogleTranslate(C11, ""en"", ""lv"")"),"Laikapstākļi {number} provincēs")</f>
        <v>Laikapstākļi {number} provincēs</v>
      </c>
      <c r="AN11" s="3" t="str">
        <f>IFERROR(__xludf.DUMMYFUNCTION("GoogleTranslate(C11, ""en"", ""lt"")"),"Orai {number} provincijose")</f>
        <v>Orai {number} provincijose</v>
      </c>
      <c r="AO11" s="3" t="str">
        <f>IFERROR(__xludf.DUMMYFUNCTION("GoogleTranslate(C11, ""en"", ""mk"")"),"Времето во {number} провинции")</f>
        <v>Времето во {number} провинции</v>
      </c>
      <c r="AP11" s="3" t="str">
        <f>IFERROR(__xludf.DUMMYFUNCTION("GoogleTranslate(C11, ""en"", ""ms"")"),"Cuaca di {number} wilayah")</f>
        <v>Cuaca di {number} wilayah</v>
      </c>
      <c r="AQ11" s="3" t="str">
        <f>IFERROR(__xludf.DUMMYFUNCTION("GoogleTranslate(C11, ""en"", ""ml"")"),"{number} പ്രവിശ്യകളിലെ കാലാവസ്ഥ")</f>
        <v>{number} പ്രവിശ്യകളിലെ കാലാവസ്ഥ</v>
      </c>
      <c r="AR11" s="3" t="str">
        <f>IFERROR(__xludf.DUMMYFUNCTION("GoogleTranslate(C11, ""en"", ""mr"")"),"{number} प्रांतातील हवामान")</f>
        <v>{number} प्रांतातील हवामान</v>
      </c>
      <c r="AS11" s="3" t="str">
        <f>IFERROR(__xludf.DUMMYFUNCTION("GoogleTranslate(C11, ""en"", ""mn"")"),"{number} аймгийн цаг агаар")</f>
        <v>{number} аймгийн цаг агаар</v>
      </c>
      <c r="AT11" s="3" t="str">
        <f>IFERROR(__xludf.DUMMYFUNCTION("GoogleTranslate(C11, ""en"", ""ne"")"),"{number} प्रान्तहरूमा मौसम")</f>
        <v>{number} प्रान्तहरूमा मौसम</v>
      </c>
      <c r="AU11" s="3" t="str">
        <f>IFERROR(__xludf.DUMMYFUNCTION("GoogleTranslate(C11, ""en"", ""nb"")"),"Været i {number} provinser")</f>
        <v>Været i {number} provinser</v>
      </c>
      <c r="AV11" s="3" t="str">
        <f>IFERROR(__xludf.DUMMYFUNCTION("GoogleTranslate(C11, ""en"", ""fa"")"),"آب و هوا در {number} استان")</f>
        <v>آب و هوا در {number} استان</v>
      </c>
      <c r="AW11" s="3" t="str">
        <f>IFERROR(__xludf.DUMMYFUNCTION("GoogleTranslate(C11, ""en"", ""pl"")"),"Pogoda w {number} prowincjach")</f>
        <v>Pogoda w {number} prowincjach</v>
      </c>
      <c r="AX11" s="3" t="str">
        <f>IFERROR(__xludf.DUMMYFUNCTION("GoogleTranslate(C11, ""en"", ""pt"")"),"Tempo em {number} províncias")</f>
        <v>Tempo em {number} províncias</v>
      </c>
      <c r="AY11" s="3" t="str">
        <f>IFERROR(__xludf.DUMMYFUNCTION("GoogleTranslate(C11, ""en"", ""ro"")"),"Vremea în {number} provincii")</f>
        <v>Vremea în {number} provincii</v>
      </c>
      <c r="AZ11" s="3" t="str">
        <f>IFERROR(__xludf.DUMMYFUNCTION("GoogleTranslate(C11, ""en"", ""ru"")"),"Погода в {number} провинциях")</f>
        <v>Погода в {number} провинциях</v>
      </c>
      <c r="BA11" s="3" t="str">
        <f>IFERROR(__xludf.DUMMYFUNCTION("GoogleTranslate(C11, ""en"", ""sr"")"),"Време у {нумбер} провинцијама")</f>
        <v>Време у {нумбер} провинцијама</v>
      </c>
      <c r="BB11" s="3" t="str">
        <f>IFERROR(__xludf.DUMMYFUNCTION("GoogleTranslate(C11, ""en"", ""si"")"),"{number} පළාත්වල කාලගුණය")</f>
        <v>{number} පළාත්වල කාලගුණය</v>
      </c>
      <c r="BC11" s="3" t="str">
        <f>IFERROR(__xludf.DUMMYFUNCTION("GoogleTranslate(C11, ""en"", ""sk"")"),"Počasie v {number} provinciách")</f>
        <v>Počasie v {number} provinciách</v>
      </c>
      <c r="BD11" s="3" t="str">
        <f>IFERROR(__xludf.DUMMYFUNCTION("GoogleTranslate(C11, ""en"", ""sl"")"),"Vreme v {number} provincah")</f>
        <v>Vreme v {number} provincah</v>
      </c>
      <c r="BE11" s="3" t="str">
        <f>IFERROR(__xludf.DUMMYFUNCTION("GoogleTranslate(C11, ""en"", ""es"")"),"El tiempo en {número} provincias")</f>
        <v>El tiempo en {número} provincias</v>
      </c>
      <c r="BF11" s="3" t="str">
        <f>IFERROR(__xludf.DUMMYFUNCTION("GoogleTranslate(C11, ""en"", ""sw"")"),"Hali ya hewa katika mikoa {number}")</f>
        <v>Hali ya hewa katika mikoa {number}</v>
      </c>
      <c r="BG11" s="3" t="str">
        <f>IFERROR(__xludf.DUMMYFUNCTION("GoogleTranslate(C11, ""en"", ""sv"")"),"Vädret i {number} provinser")</f>
        <v>Vädret i {number} provinser</v>
      </c>
      <c r="BH11" s="3" t="str">
        <f>IFERROR(__xludf.DUMMYFUNCTION("GoogleTranslate(C11, ""en"", ""te"")"),"{number} ప్రావిన్సులలో వాతావరణం")</f>
        <v>{number} ప్రావిన్సులలో వాతావరణం</v>
      </c>
      <c r="BI11" s="3" t="str">
        <f>IFERROR(__xludf.DUMMYFUNCTION("GoogleTranslate(C11, ""en"", ""th"")"),"สภาพอากาศใน {number} จังหวัด")</f>
        <v>สภาพอากาศใน {number} จังหวัด</v>
      </c>
      <c r="BJ11" s="3" t="str">
        <f>IFERROR(__xludf.DUMMYFUNCTION("GoogleTranslate(C11, ""en"", ""tr"")"),"{number} ilde hava durumu")</f>
        <v>{number} ilde hava durumu</v>
      </c>
      <c r="BK11" s="3" t="str">
        <f>IFERROR(__xludf.DUMMYFUNCTION("GoogleTranslate(C11, ""en"", ""uk"")"),"Погода в {number} провінціях")</f>
        <v>Погода в {number} провінціях</v>
      </c>
      <c r="BL11" s="3" t="str">
        <f>IFERROR(__xludf.DUMMYFUNCTION("GoogleTranslate(C11, ""en"", ""zu"")"),"Isimo sezulu ezifundazweni ezingu-{number}")</f>
        <v>Isimo sezulu ezifundazweni ezingu-{number}</v>
      </c>
    </row>
    <row r="12">
      <c r="A12" s="1" t="str">
        <f t="shared" si="1"/>
        <v>See_more</v>
      </c>
      <c r="B12" s="4" t="s">
        <v>74</v>
      </c>
      <c r="C12" s="1" t="str">
        <f t="shared" si="2"/>
        <v>See more</v>
      </c>
      <c r="D12" s="3" t="str">
        <f>IFERROR(__xludf.DUMMYFUNCTION("GoogleTranslate(C12, ""en"", ""es"")"),"Ver más")</f>
        <v>Ver más</v>
      </c>
      <c r="E12" s="3" t="str">
        <f>IFERROR(__xludf.DUMMYFUNCTION("GoogleTranslate(C12, ""en"", ""ar"")"),"شاهد المزيد")</f>
        <v>شاهد المزيد</v>
      </c>
      <c r="F12" s="3" t="str">
        <f>IFERROR(__xludf.DUMMYFUNCTION("GoogleTranslate(C12, ""en"", ""hy"")"),"Տեսնել ավելին")</f>
        <v>Տեսնել ավելին</v>
      </c>
      <c r="G12" s="3" t="str">
        <f>IFERROR(__xludf.DUMMYFUNCTION("GoogleTranslate(C12, ""en"", ""vi"")"),"Xem thêm")</f>
        <v>Xem thêm</v>
      </c>
      <c r="H12" s="3" t="str">
        <f>IFERROR(__xludf.DUMMYFUNCTION("GoogleTranslate(C12, ""en"", ""az"")"),"Daha çox baxın")</f>
        <v>Daha çox baxın</v>
      </c>
      <c r="I12" s="3" t="str">
        <f>IFERROR(__xludf.DUMMYFUNCTION("GoogleTranslate(C12, ""en"", ""eu"")"),"Ikusi gehiago")</f>
        <v>Ikusi gehiago</v>
      </c>
      <c r="J12" s="3" t="str">
        <f>IFERROR(__xludf.DUMMYFUNCTION("GoogleTranslate(C12, ""en"", ""be"")"),"Глядзіце больш")</f>
        <v>Глядзіце больш</v>
      </c>
      <c r="K12" s="3" t="str">
        <f>IFERROR(__xludf.DUMMYFUNCTION("GoogleTranslate(C12, ""en"", ""bn"")"),"আরও দেখুন")</f>
        <v>আরও দেখুন</v>
      </c>
      <c r="L12" s="3" t="str">
        <f>IFERROR(__xludf.DUMMYFUNCTION("GoogleTranslate(C12, ""en"", ""bg"")"),"Вижте повече")</f>
        <v>Вижте повече</v>
      </c>
      <c r="M12" s="3" t="str">
        <f>IFERROR(__xludf.DUMMYFUNCTION("GoogleTranslate(C12, ""en"", ""my"")"),"ပိုကြည့်")</f>
        <v>ပိုကြည့်</v>
      </c>
      <c r="N12" s="3" t="str">
        <f>IFERROR(__xludf.DUMMYFUNCTION("GoogleTranslate(C12, ""en"", ""ca"")"),"Veure més")</f>
        <v>Veure més</v>
      </c>
      <c r="O12" s="3" t="str">
        <f>IFERROR(__xludf.DUMMYFUNCTION("GoogleTranslate(C12, ""en"", ""zh-cn"")"),"查看更多")</f>
        <v>查看更多</v>
      </c>
      <c r="P12" s="3" t="str">
        <f>IFERROR(__xludf.DUMMYFUNCTION("GoogleTranslate(C12, ""en"", ""zh-TW"")"),"看更多")</f>
        <v>看更多</v>
      </c>
      <c r="Q12" s="3" t="str">
        <f>IFERROR(__xludf.DUMMYFUNCTION("GoogleTranslate(C12, ""en"", ""hr"")"),"Pogledajte više")</f>
        <v>Pogledajte više</v>
      </c>
      <c r="R12" s="3" t="str">
        <f>IFERROR(__xludf.DUMMYFUNCTION("GoogleTranslate(C12, ""en"", ""cs"")"),"Zobrazit více")</f>
        <v>Zobrazit více</v>
      </c>
      <c r="S12" s="3" t="str">
        <f>IFERROR(__xludf.DUMMYFUNCTION("GoogleTranslate(C12, ""en"", ""da"")"),"Se mere")</f>
        <v>Se mere</v>
      </c>
      <c r="T12" s="3" t="str">
        <f>IFERROR(__xludf.DUMMYFUNCTION("GoogleTranslate(C12, ""en"", ""nl"")"),"Zie meer")</f>
        <v>Zie meer</v>
      </c>
      <c r="U12" s="3" t="str">
        <f>IFERROR(__xludf.DUMMYFUNCTION("GoogleTranslate(C12, ""en"", ""et"")"),"Vaata rohkem")</f>
        <v>Vaata rohkem</v>
      </c>
      <c r="V12" s="1" t="str">
        <f t="shared" si="3"/>
        <v>See more</v>
      </c>
      <c r="W12" s="3" t="str">
        <f>IFERROR(__xludf.DUMMYFUNCTION("GoogleTranslate(C12, ""en"", ""fi"")"),"Katso lisää")</f>
        <v>Katso lisää</v>
      </c>
      <c r="X12" s="3" t="str">
        <f>IFERROR(__xludf.DUMMYFUNCTION("GoogleTranslate(C12, ""en"", ""fr"")"),"Voir plus")</f>
        <v>Voir plus</v>
      </c>
      <c r="Y12" s="3" t="str">
        <f>IFERROR(__xludf.DUMMYFUNCTION("GoogleTranslate(C12, ""en"", ""de"")"),"Mehr sehen")</f>
        <v>Mehr sehen</v>
      </c>
      <c r="Z12" s="3" t="str">
        <f>IFERROR(__xludf.DUMMYFUNCTION("GoogleTranslate(C12, ""en"", ""el"")"),"Δείτε περισσότερα")</f>
        <v>Δείτε περισσότερα</v>
      </c>
      <c r="AA12" s="3" t="str">
        <f>IFERROR(__xludf.DUMMYFUNCTION("GoogleTranslate(C12, ""en"", ""iw"")"),"ראה עוד")</f>
        <v>ראה עוד</v>
      </c>
      <c r="AB12" s="3" t="str">
        <f>IFERROR(__xludf.DUMMYFUNCTION("GoogleTranslate(C12, ""en"", ""hi"")"),"और देखें")</f>
        <v>और देखें</v>
      </c>
      <c r="AC12" s="3" t="str">
        <f>IFERROR(__xludf.DUMMYFUNCTION("GoogleTranslate(C12, ""en"", ""hu"")"),"Lásd még")</f>
        <v>Lásd még</v>
      </c>
      <c r="AD12" s="3" t="str">
        <f>IFERROR(__xludf.DUMMYFUNCTION("GoogleTranslate(C12, ""en"", ""is"")"),"Sjá meira")</f>
        <v>Sjá meira</v>
      </c>
      <c r="AE12" s="3" t="str">
        <f>IFERROR(__xludf.DUMMYFUNCTION("GoogleTranslate(C12, ""en"", ""id"")"),"Lihat selengkapnya")</f>
        <v>Lihat selengkapnya</v>
      </c>
      <c r="AF12" s="3" t="str">
        <f>IFERROR(__xludf.DUMMYFUNCTION("GoogleTranslate(C12, ""en"", ""in"")"),"Lihat selengkapnya")</f>
        <v>Lihat selengkapnya</v>
      </c>
      <c r="AG12" s="3" t="str">
        <f>IFERROR(__xludf.DUMMYFUNCTION("GoogleTranslate(C12, ""en"", ""it"")"),"Vedi di più")</f>
        <v>Vedi di più</v>
      </c>
      <c r="AH12" s="3" t="str">
        <f>IFERROR(__xludf.DUMMYFUNCTION("GoogleTranslate(C12, ""en"", ""ja"")"),"もっと見る")</f>
        <v>もっと見る</v>
      </c>
      <c r="AI12" s="3" t="str">
        <f>IFERROR(__xludf.DUMMYFUNCTION("GoogleTranslate(C12, ""en"", ""kn"")"),"ಇನ್ನಷ್ಟು ನೋಡಿ")</f>
        <v>ಇನ್ನಷ್ಟು ನೋಡಿ</v>
      </c>
      <c r="AJ12" s="3" t="str">
        <f>IFERROR(__xludf.DUMMYFUNCTION("GoogleTranslate(C12, ""en"", ""km"")"),"មើលច្រើនទៀត")</f>
        <v>មើលច្រើនទៀត</v>
      </c>
      <c r="AK12" s="3" t="str">
        <f>IFERROR(__xludf.DUMMYFUNCTION("GoogleTranslate(C12, ""en"", ""ko"")"),"자세히 보기")</f>
        <v>자세히 보기</v>
      </c>
      <c r="AL12" s="3" t="str">
        <f>IFERROR(__xludf.DUMMYFUNCTION("GoogleTranslate(C12, ""en"", ""lo"")"),"ເບິ່ງເພີ່ມເຕີມ")</f>
        <v>ເບິ່ງເພີ່ມເຕີມ</v>
      </c>
      <c r="AM12" s="3" t="str">
        <f>IFERROR(__xludf.DUMMYFUNCTION("GoogleTranslate(C12, ""en"", ""lv"")"),"Skatīt vairāk")</f>
        <v>Skatīt vairāk</v>
      </c>
      <c r="AN12" s="3" t="str">
        <f>IFERROR(__xludf.DUMMYFUNCTION("GoogleTranslate(C12, ""en"", ""lt"")"),"Žiūrėti daugiau")</f>
        <v>Žiūrėti daugiau</v>
      </c>
      <c r="AO12" s="3" t="str">
        <f>IFERROR(__xludf.DUMMYFUNCTION("GoogleTranslate(C12, ""en"", ""mk"")"),"Види повеќе")</f>
        <v>Види повеќе</v>
      </c>
      <c r="AP12" s="3" t="str">
        <f>IFERROR(__xludf.DUMMYFUNCTION("GoogleTranslate(C12, ""en"", ""ms"")"),"Lihat lagi")</f>
        <v>Lihat lagi</v>
      </c>
      <c r="AQ12" s="3" t="str">
        <f>IFERROR(__xludf.DUMMYFUNCTION("GoogleTranslate(C12, ""en"", ""ml"")"),"കൂടുതൽ കാണുക")</f>
        <v>കൂടുതൽ കാണുക</v>
      </c>
      <c r="AR12" s="3" t="str">
        <f>IFERROR(__xludf.DUMMYFUNCTION("GoogleTranslate(C12, ""en"", ""mr"")"),"अधिक पहा")</f>
        <v>अधिक पहा</v>
      </c>
      <c r="AS12" s="3" t="str">
        <f>IFERROR(__xludf.DUMMYFUNCTION("GoogleTranslate(C12, ""en"", ""mn"")"),"Илүү ихийг үзнэ үү")</f>
        <v>Илүү ихийг үзнэ үү</v>
      </c>
      <c r="AT12" s="3" t="str">
        <f>IFERROR(__xludf.DUMMYFUNCTION("GoogleTranslate(C12, ""en"", ""ne"")"),"अझ धेरै हेर्नुहोस्")</f>
        <v>अझ धेरै हेर्नुहोस्</v>
      </c>
      <c r="AU12" s="3" t="str">
        <f>IFERROR(__xludf.DUMMYFUNCTION("GoogleTranslate(C12, ""en"", ""nb"")"),"Se mer")</f>
        <v>Se mer</v>
      </c>
      <c r="AV12" s="3" t="str">
        <f>IFERROR(__xludf.DUMMYFUNCTION("GoogleTranslate(C12, ""en"", ""fa"")"),"بیشتر ببینید")</f>
        <v>بیشتر ببینید</v>
      </c>
      <c r="AW12" s="3" t="str">
        <f>IFERROR(__xludf.DUMMYFUNCTION("GoogleTranslate(C12, ""en"", ""pl"")"),"Zobacz więcej")</f>
        <v>Zobacz więcej</v>
      </c>
      <c r="AX12" s="3" t="str">
        <f>IFERROR(__xludf.DUMMYFUNCTION("GoogleTranslate(C12, ""en"", ""pt"")"),"Ver mais")</f>
        <v>Ver mais</v>
      </c>
      <c r="AY12" s="3" t="str">
        <f>IFERROR(__xludf.DUMMYFUNCTION("GoogleTranslate(C12, ""en"", ""ro"")"),"Vezi mai multe")</f>
        <v>Vezi mai multe</v>
      </c>
      <c r="AZ12" s="3" t="str">
        <f>IFERROR(__xludf.DUMMYFUNCTION("GoogleTranslate(C12, ""en"", ""ru"")"),"Посмотреть больше")</f>
        <v>Посмотреть больше</v>
      </c>
      <c r="BA12" s="3" t="str">
        <f>IFERROR(__xludf.DUMMYFUNCTION("GoogleTranslate(C12, ""en"", ""sr"")"),"Види више")</f>
        <v>Види више</v>
      </c>
      <c r="BB12" s="3" t="str">
        <f>IFERROR(__xludf.DUMMYFUNCTION("GoogleTranslate(C12, ""en"", ""si"")"),"තව බලන්න")</f>
        <v>තව බලන්න</v>
      </c>
      <c r="BC12" s="3" t="str">
        <f>IFERROR(__xludf.DUMMYFUNCTION("GoogleTranslate(C12, ""en"", ""sk"")"),"Zobraziť viac")</f>
        <v>Zobraziť viac</v>
      </c>
      <c r="BD12" s="3" t="str">
        <f>IFERROR(__xludf.DUMMYFUNCTION("GoogleTranslate(C12, ""en"", ""sl"")"),"Glej več")</f>
        <v>Glej več</v>
      </c>
      <c r="BE12" s="3" t="str">
        <f>IFERROR(__xludf.DUMMYFUNCTION("GoogleTranslate(C12, ""en"", ""es"")"),"Ver más")</f>
        <v>Ver más</v>
      </c>
      <c r="BF12" s="3" t="str">
        <f>IFERROR(__xludf.DUMMYFUNCTION("GoogleTranslate(C12, ""en"", ""sw"")"),"Tazama zaidi")</f>
        <v>Tazama zaidi</v>
      </c>
      <c r="BG12" s="3" t="str">
        <f>IFERROR(__xludf.DUMMYFUNCTION("GoogleTranslate(C12, ""en"", ""sv"")"),"Se mer")</f>
        <v>Se mer</v>
      </c>
      <c r="BH12" s="3" t="str">
        <f>IFERROR(__xludf.DUMMYFUNCTION("GoogleTranslate(C12, ""en"", ""te"")"),"మరిన్ని చూడండి")</f>
        <v>మరిన్ని చూడండి</v>
      </c>
      <c r="BI12" s="3" t="str">
        <f>IFERROR(__xludf.DUMMYFUNCTION("GoogleTranslate(C12, ""en"", ""th"")"),"ดูเพิ่มเติม")</f>
        <v>ดูเพิ่มเติม</v>
      </c>
      <c r="BJ12" s="3" t="str">
        <f>IFERROR(__xludf.DUMMYFUNCTION("GoogleTranslate(C12, ""en"", ""tr"")"),"Daha fazlasını gör")</f>
        <v>Daha fazlasını gör</v>
      </c>
      <c r="BK12" s="3" t="str">
        <f>IFERROR(__xludf.DUMMYFUNCTION("GoogleTranslate(C12, ""en"", ""uk"")"),"Дивіться більше")</f>
        <v>Дивіться більше</v>
      </c>
      <c r="BL12" s="3" t="str">
        <f>IFERROR(__xludf.DUMMYFUNCTION("GoogleTranslate(C12, ""en"", ""zu"")"),"Buka Okuningi")</f>
        <v>Buka Okuningi</v>
      </c>
    </row>
    <row r="13">
      <c r="A13" s="1" t="str">
        <f t="shared" si="1"/>
        <v>Weather_Radar</v>
      </c>
      <c r="B13" s="4" t="s">
        <v>75</v>
      </c>
      <c r="C13" s="1" t="str">
        <f t="shared" si="2"/>
        <v>Weather Radar</v>
      </c>
      <c r="D13" s="3" t="str">
        <f>IFERROR(__xludf.DUMMYFUNCTION("GoogleTranslate(C13, ""en"", ""es"")"),"Radar meteorológico")</f>
        <v>Radar meteorológico</v>
      </c>
      <c r="E13" s="3" t="str">
        <f>IFERROR(__xludf.DUMMYFUNCTION("GoogleTranslate(C13, ""en"", ""ar"")"),"رادار الطقس")</f>
        <v>رادار الطقس</v>
      </c>
      <c r="F13" s="3" t="str">
        <f>IFERROR(__xludf.DUMMYFUNCTION("GoogleTranslate(C13, ""en"", ""hy"")"),"Եղանակի ռադար")</f>
        <v>Եղանակի ռադար</v>
      </c>
      <c r="G13" s="3" t="str">
        <f>IFERROR(__xludf.DUMMYFUNCTION("GoogleTranslate(C13, ""en"", ""vi"")"),"Rađa thời tiết")</f>
        <v>Rađa thời tiết</v>
      </c>
      <c r="H13" s="3" t="str">
        <f>IFERROR(__xludf.DUMMYFUNCTION("GoogleTranslate(C13, ""en"", ""az"")"),"Hava Radarı")</f>
        <v>Hava Radarı</v>
      </c>
      <c r="I13" s="3" t="str">
        <f>IFERROR(__xludf.DUMMYFUNCTION("GoogleTranslate(C13, ""en"", ""eu"")"),"Eguraldi Radar")</f>
        <v>Eguraldi Radar</v>
      </c>
      <c r="J13" s="3" t="str">
        <f>IFERROR(__xludf.DUMMYFUNCTION("GoogleTranslate(C13, ""en"", ""be"")"),"Радар надвор'я")</f>
        <v>Радар надвор'я</v>
      </c>
      <c r="K13" s="3" t="str">
        <f>IFERROR(__xludf.DUMMYFUNCTION("GoogleTranslate(C13, ""en"", ""bn"")"),"আবহাওয়া রাডার")</f>
        <v>আবহাওয়া রাডার</v>
      </c>
      <c r="L13" s="3" t="str">
        <f>IFERROR(__xludf.DUMMYFUNCTION("GoogleTranslate(C13, ""en"", ""bg"")"),"Метеорологичен радар")</f>
        <v>Метеорологичен радар</v>
      </c>
      <c r="M13" s="3" t="str">
        <f>IFERROR(__xludf.DUMMYFUNCTION("GoogleTranslate(C13, ""en"", ""my"")"),"မိုးလေဝသ ရေဒါ")</f>
        <v>မိုးလေဝသ ရေဒါ</v>
      </c>
      <c r="N13" s="3" t="str">
        <f>IFERROR(__xludf.DUMMYFUNCTION("GoogleTranslate(C13, ""en"", ""ca"")"),"Radar meteorològic")</f>
        <v>Radar meteorològic</v>
      </c>
      <c r="O13" s="3" t="str">
        <f>IFERROR(__xludf.DUMMYFUNCTION("GoogleTranslate(C13, ""en"", ""zh-cn"")"),"天气雷达")</f>
        <v>天气雷达</v>
      </c>
      <c r="P13" s="3" t="str">
        <f>IFERROR(__xludf.DUMMYFUNCTION("GoogleTranslate(C13, ""en"", ""zh-TW"")"),"天氣雷達")</f>
        <v>天氣雷達</v>
      </c>
      <c r="Q13" s="3" t="str">
        <f>IFERROR(__xludf.DUMMYFUNCTION("GoogleTranslate(C13, ""en"", ""hr"")"),"Vremenski radar")</f>
        <v>Vremenski radar</v>
      </c>
      <c r="R13" s="3" t="str">
        <f>IFERROR(__xludf.DUMMYFUNCTION("GoogleTranslate(C13, ""en"", ""cs"")"),"Povětrnostní radar")</f>
        <v>Povětrnostní radar</v>
      </c>
      <c r="S13" s="3" t="str">
        <f>IFERROR(__xludf.DUMMYFUNCTION("GoogleTranslate(C13, ""en"", ""da"")"),"Vejrradar")</f>
        <v>Vejrradar</v>
      </c>
      <c r="T13" s="3" t="str">
        <f>IFERROR(__xludf.DUMMYFUNCTION("GoogleTranslate(C13, ""en"", ""nl"")"),"Weerradar")</f>
        <v>Weerradar</v>
      </c>
      <c r="U13" s="3" t="str">
        <f>IFERROR(__xludf.DUMMYFUNCTION("GoogleTranslate(C13, ""en"", ""et"")"),"Ilmaradar")</f>
        <v>Ilmaradar</v>
      </c>
      <c r="V13" s="1" t="str">
        <f t="shared" si="3"/>
        <v>Weather Radar</v>
      </c>
      <c r="W13" s="3" t="str">
        <f>IFERROR(__xludf.DUMMYFUNCTION("GoogleTranslate(C13, ""en"", ""fi"")"),"Säätutka")</f>
        <v>Säätutka</v>
      </c>
      <c r="X13" s="3" t="str">
        <f>IFERROR(__xludf.DUMMYFUNCTION("GoogleTranslate(C13, ""en"", ""fr"")"),"Radar météo")</f>
        <v>Radar météo</v>
      </c>
      <c r="Y13" s="3" t="str">
        <f>IFERROR(__xludf.DUMMYFUNCTION("GoogleTranslate(C13, ""en"", ""de"")"),"Wetterradar")</f>
        <v>Wetterradar</v>
      </c>
      <c r="Z13" s="3" t="str">
        <f>IFERROR(__xludf.DUMMYFUNCTION("GoogleTranslate(C13, ""en"", ""el"")"),"Ραντάρ καιρού")</f>
        <v>Ραντάρ καιρού</v>
      </c>
      <c r="AA13" s="3" t="str">
        <f>IFERROR(__xludf.DUMMYFUNCTION("GoogleTranslate(C13, ""en"", ""iw"")"),"רדאר מזג האוויר")</f>
        <v>רדאר מזג האוויר</v>
      </c>
      <c r="AB13" s="3" t="str">
        <f>IFERROR(__xludf.DUMMYFUNCTION("GoogleTranslate(C13, ""en"", ""hi"")"),"मौसम राडार")</f>
        <v>मौसम राडार</v>
      </c>
      <c r="AC13" s="3" t="str">
        <f>IFERROR(__xludf.DUMMYFUNCTION("GoogleTranslate(C13, ""en"", ""hu"")"),"Időjárási radar")</f>
        <v>Időjárási radar</v>
      </c>
      <c r="AD13" s="3" t="str">
        <f>IFERROR(__xludf.DUMMYFUNCTION("GoogleTranslate(C13, ""en"", ""is"")"),"Veðurradar")</f>
        <v>Veðurradar</v>
      </c>
      <c r="AE13" s="3" t="str">
        <f>IFERROR(__xludf.DUMMYFUNCTION("GoogleTranslate(C13, ""en"", ""id"")"),"Radar Cuaca")</f>
        <v>Radar Cuaca</v>
      </c>
      <c r="AF13" s="3" t="str">
        <f>IFERROR(__xludf.DUMMYFUNCTION("GoogleTranslate(C13, ""en"", ""in"")"),"Radar Cuaca")</f>
        <v>Radar Cuaca</v>
      </c>
      <c r="AG13" s="3" t="str">
        <f>IFERROR(__xludf.DUMMYFUNCTION("GoogleTranslate(C13, ""en"", ""it"")"),"Radar meteorologico")</f>
        <v>Radar meteorologico</v>
      </c>
      <c r="AH13" s="3" t="str">
        <f>IFERROR(__xludf.DUMMYFUNCTION("GoogleTranslate(C13, ""en"", ""ja"")"),"気象レーダー")</f>
        <v>気象レーダー</v>
      </c>
      <c r="AI13" s="3" t="str">
        <f>IFERROR(__xludf.DUMMYFUNCTION("GoogleTranslate(C13, ""en"", ""kn"")"),"ಹವಾಮಾನ ರಾಡಾರ್")</f>
        <v>ಹವಾಮಾನ ರಾಡಾರ್</v>
      </c>
      <c r="AJ13" s="3" t="str">
        <f>IFERROR(__xludf.DUMMYFUNCTION("GoogleTranslate(C13, ""en"", ""km"")"),"រ៉ាដាអាកាសធាតុ")</f>
        <v>រ៉ាដាអាកាសធាតុ</v>
      </c>
      <c r="AK13" s="3" t="str">
        <f>IFERROR(__xludf.DUMMYFUNCTION("GoogleTranslate(C13, ""en"", ""ko"")"),"기상 레이더")</f>
        <v>기상 레이더</v>
      </c>
      <c r="AL13" s="3" t="str">
        <f>IFERROR(__xludf.DUMMYFUNCTION("GoogleTranslate(C13, ""en"", ""lo"")"),"ຣາດາສະພາບອາກາດ")</f>
        <v>ຣາດາສະພາບອາກາດ</v>
      </c>
      <c r="AM13" s="3" t="str">
        <f>IFERROR(__xludf.DUMMYFUNCTION("GoogleTranslate(C13, ""en"", ""lv"")"),"Laikapstākļu radars")</f>
        <v>Laikapstākļu radars</v>
      </c>
      <c r="AN13" s="3" t="str">
        <f>IFERROR(__xludf.DUMMYFUNCTION("GoogleTranslate(C13, ""en"", ""lt"")"),"Orų radaras")</f>
        <v>Orų radaras</v>
      </c>
      <c r="AO13" s="3" t="str">
        <f>IFERROR(__xludf.DUMMYFUNCTION("GoogleTranslate(C13, ""en"", ""mk"")"),"Временски радар")</f>
        <v>Временски радар</v>
      </c>
      <c r="AP13" s="3" t="str">
        <f>IFERROR(__xludf.DUMMYFUNCTION("GoogleTranslate(C13, ""en"", ""ms"")"),"Radar Cuaca")</f>
        <v>Radar Cuaca</v>
      </c>
      <c r="AQ13" s="3" t="str">
        <f>IFERROR(__xludf.DUMMYFUNCTION("GoogleTranslate(C13, ""en"", ""ml"")"),"കാലാവസ്ഥ റഡാർ")</f>
        <v>കാലാവസ്ഥ റഡാർ</v>
      </c>
      <c r="AR13" s="3" t="str">
        <f>IFERROR(__xludf.DUMMYFUNCTION("GoogleTranslate(C13, ""en"", ""mr"")"),"हवामान रडार")</f>
        <v>हवामान रडार</v>
      </c>
      <c r="AS13" s="3" t="str">
        <f>IFERROR(__xludf.DUMMYFUNCTION("GoogleTranslate(C13, ""en"", ""mn"")"),"Цаг агаарын радар")</f>
        <v>Цаг агаарын радар</v>
      </c>
      <c r="AT13" s="3" t="str">
        <f>IFERROR(__xludf.DUMMYFUNCTION("GoogleTranslate(C13, ""en"", ""ne"")"),"मौसम रडार")</f>
        <v>मौसम रडार</v>
      </c>
      <c r="AU13" s="3" t="str">
        <f>IFERROR(__xludf.DUMMYFUNCTION("GoogleTranslate(C13, ""en"", ""nb"")"),"Værradar")</f>
        <v>Værradar</v>
      </c>
      <c r="AV13" s="3" t="str">
        <f>IFERROR(__xludf.DUMMYFUNCTION("GoogleTranslate(C13, ""en"", ""fa"")"),"رادار آب و هوا")</f>
        <v>رادار آب و هوا</v>
      </c>
      <c r="AW13" s="3" t="str">
        <f>IFERROR(__xludf.DUMMYFUNCTION("GoogleTranslate(C13, ""en"", ""pl"")"),"Radar pogodowy")</f>
        <v>Radar pogodowy</v>
      </c>
      <c r="AX13" s="3" t="str">
        <f>IFERROR(__xludf.DUMMYFUNCTION("GoogleTranslate(C13, ""en"", ""pt"")"),"Radar meteorológico")</f>
        <v>Radar meteorológico</v>
      </c>
      <c r="AY13" s="3" t="str">
        <f>IFERROR(__xludf.DUMMYFUNCTION("GoogleTranslate(C13, ""en"", ""ro"")"),"Radar meteo")</f>
        <v>Radar meteo</v>
      </c>
      <c r="AZ13" s="3" t="str">
        <f>IFERROR(__xludf.DUMMYFUNCTION("GoogleTranslate(C13, ""en"", ""ru"")"),"Метеорологический радар")</f>
        <v>Метеорологический радар</v>
      </c>
      <c r="BA13" s="3" t="str">
        <f>IFERROR(__xludf.DUMMYFUNCTION("GoogleTranslate(C13, ""en"", ""sr"")"),"Веатхер Радар")</f>
        <v>Веатхер Радар</v>
      </c>
      <c r="BB13" s="3" t="str">
        <f>IFERROR(__xludf.DUMMYFUNCTION("GoogleTranslate(C13, ""en"", ""si"")"),"කාලගුණ රේඩාර්")</f>
        <v>කාලගුණ රේඩාර්</v>
      </c>
      <c r="BC13" s="3" t="str">
        <f>IFERROR(__xludf.DUMMYFUNCTION("GoogleTranslate(C13, ""en"", ""sk"")"),"Poveternostný radar")</f>
        <v>Poveternostný radar</v>
      </c>
      <c r="BD13" s="3" t="str">
        <f>IFERROR(__xludf.DUMMYFUNCTION("GoogleTranslate(C13, ""en"", ""sl"")"),"Vremenski radar")</f>
        <v>Vremenski radar</v>
      </c>
      <c r="BE13" s="3" t="str">
        <f>IFERROR(__xludf.DUMMYFUNCTION("GoogleTranslate(C13, ""en"", ""es"")"),"Radar meteorológico")</f>
        <v>Radar meteorológico</v>
      </c>
      <c r="BF13" s="3" t="str">
        <f>IFERROR(__xludf.DUMMYFUNCTION("GoogleTranslate(C13, ""en"", ""sw"")"),"Rada ya hali ya hewa")</f>
        <v>Rada ya hali ya hewa</v>
      </c>
      <c r="BG13" s="3" t="str">
        <f>IFERROR(__xludf.DUMMYFUNCTION("GoogleTranslate(C13, ""en"", ""sv"")"),"Väderradar")</f>
        <v>Väderradar</v>
      </c>
      <c r="BH13" s="3" t="str">
        <f>IFERROR(__xludf.DUMMYFUNCTION("GoogleTranslate(C13, ""en"", ""te"")"),"వాతావరణ రాడార్")</f>
        <v>వాతావరణ రాడార్</v>
      </c>
      <c r="BI13" s="3" t="str">
        <f>IFERROR(__xludf.DUMMYFUNCTION("GoogleTranslate(C13, ""en"", ""th"")"),"เรดาร์สำรวจอากาศ")</f>
        <v>เรดาร์สำรวจอากาศ</v>
      </c>
      <c r="BJ13" s="3" t="str">
        <f>IFERROR(__xludf.DUMMYFUNCTION("GoogleTranslate(C13, ""en"", ""tr"")"),"Hava Durumu Radarı")</f>
        <v>Hava Durumu Radarı</v>
      </c>
      <c r="BK13" s="3" t="str">
        <f>IFERROR(__xludf.DUMMYFUNCTION("GoogleTranslate(C13, ""en"", ""uk"")"),"Метеорологічний радар")</f>
        <v>Метеорологічний радар</v>
      </c>
      <c r="BL13" s="3" t="str">
        <f>IFERROR(__xludf.DUMMYFUNCTION("GoogleTranslate(C13, ""en"", ""zu"")"),"Isimo sezulu Radar")</f>
        <v>Isimo sezulu Radar</v>
      </c>
    </row>
    <row r="14">
      <c r="A14" s="1" t="str">
        <f t="shared" si="1"/>
        <v>Hide</v>
      </c>
      <c r="B14" s="4" t="s">
        <v>76</v>
      </c>
      <c r="C14" s="1" t="str">
        <f t="shared" si="2"/>
        <v>Hide</v>
      </c>
      <c r="D14" s="3" t="str">
        <f>IFERROR(__xludf.DUMMYFUNCTION("GoogleTranslate(C14, ""en"", ""es"")"),"Esconder")</f>
        <v>Esconder</v>
      </c>
      <c r="E14" s="3" t="str">
        <f>IFERROR(__xludf.DUMMYFUNCTION("GoogleTranslate(C14, ""en"", ""ar"")"),"يخفي")</f>
        <v>يخفي</v>
      </c>
      <c r="F14" s="3" t="str">
        <f>IFERROR(__xludf.DUMMYFUNCTION("GoogleTranslate(C14, ""en"", ""hy"")"),"Թաքցնել")</f>
        <v>Թաքցնել</v>
      </c>
      <c r="G14" s="3" t="str">
        <f>IFERROR(__xludf.DUMMYFUNCTION("GoogleTranslate(C14, ""en"", ""vi"")"),"Trốn")</f>
        <v>Trốn</v>
      </c>
      <c r="H14" s="3" t="str">
        <f>IFERROR(__xludf.DUMMYFUNCTION("GoogleTranslate(C14, ""en"", ""az"")"),"Gizlət")</f>
        <v>Gizlət</v>
      </c>
      <c r="I14" s="3" t="str">
        <f>IFERROR(__xludf.DUMMYFUNCTION("GoogleTranslate(C14, ""en"", ""eu"")"),"Ezkutatu")</f>
        <v>Ezkutatu</v>
      </c>
      <c r="J14" s="3" t="str">
        <f>IFERROR(__xludf.DUMMYFUNCTION("GoogleTranslate(C14, ""en"", ""be"")"),"Схаваць")</f>
        <v>Схаваць</v>
      </c>
      <c r="K14" s="3" t="str">
        <f>IFERROR(__xludf.DUMMYFUNCTION("GoogleTranslate(C14, ""en"", ""bn"")"),"লুকান")</f>
        <v>লুকান</v>
      </c>
      <c r="L14" s="3" t="str">
        <f>IFERROR(__xludf.DUMMYFUNCTION("GoogleTranslate(C14, ""en"", ""bg"")"),"Скрий се")</f>
        <v>Скрий се</v>
      </c>
      <c r="M14" s="3" t="str">
        <f>IFERROR(__xludf.DUMMYFUNCTION("GoogleTranslate(C14, ""en"", ""my"")"),"ဖွက်ပါ။")</f>
        <v>ဖွက်ပါ။</v>
      </c>
      <c r="N14" s="3" t="str">
        <f>IFERROR(__xludf.DUMMYFUNCTION("GoogleTranslate(C14, ""en"", ""ca"")"),"Amaga")</f>
        <v>Amaga</v>
      </c>
      <c r="O14" s="3" t="str">
        <f>IFERROR(__xludf.DUMMYFUNCTION("GoogleTranslate(C14, ""en"", ""zh-cn"")"),"隐藏")</f>
        <v>隐藏</v>
      </c>
      <c r="P14" s="3" t="str">
        <f>IFERROR(__xludf.DUMMYFUNCTION("GoogleTranslate(C14, ""en"", ""zh-TW"")"),"隱藏")</f>
        <v>隱藏</v>
      </c>
      <c r="Q14" s="3" t="str">
        <f>IFERROR(__xludf.DUMMYFUNCTION("GoogleTranslate(C14, ""en"", ""hr"")"),"Sakriti")</f>
        <v>Sakriti</v>
      </c>
      <c r="R14" s="3" t="str">
        <f>IFERROR(__xludf.DUMMYFUNCTION("GoogleTranslate(C14, ""en"", ""cs"")"),"Skrýt")</f>
        <v>Skrýt</v>
      </c>
      <c r="S14" s="3" t="str">
        <f>IFERROR(__xludf.DUMMYFUNCTION("GoogleTranslate(C14, ""en"", ""da"")"),"Skjule")</f>
        <v>Skjule</v>
      </c>
      <c r="T14" s="3" t="str">
        <f>IFERROR(__xludf.DUMMYFUNCTION("GoogleTranslate(C14, ""en"", ""nl"")"),"Verbergen")</f>
        <v>Verbergen</v>
      </c>
      <c r="U14" s="3" t="str">
        <f>IFERROR(__xludf.DUMMYFUNCTION("GoogleTranslate(C14, ""en"", ""et"")"),"Peida")</f>
        <v>Peida</v>
      </c>
      <c r="V14" s="1" t="str">
        <f t="shared" si="3"/>
        <v>Hide</v>
      </c>
      <c r="W14" s="3" t="str">
        <f>IFERROR(__xludf.DUMMYFUNCTION("GoogleTranslate(C14, ""en"", ""fi"")"),"Piilottaa")</f>
        <v>Piilottaa</v>
      </c>
      <c r="X14" s="3" t="str">
        <f>IFERROR(__xludf.DUMMYFUNCTION("GoogleTranslate(C14, ""en"", ""fr"")"),"Cacher")</f>
        <v>Cacher</v>
      </c>
      <c r="Y14" s="3" t="str">
        <f>IFERROR(__xludf.DUMMYFUNCTION("GoogleTranslate(C14, ""en"", ""de"")"),"Verstecken")</f>
        <v>Verstecken</v>
      </c>
      <c r="Z14" s="3" t="str">
        <f>IFERROR(__xludf.DUMMYFUNCTION("GoogleTranslate(C14, ""en"", ""el"")"),"Κρύβω")</f>
        <v>Κρύβω</v>
      </c>
      <c r="AA14" s="3" t="str">
        <f>IFERROR(__xludf.DUMMYFUNCTION("GoogleTranslate(C14, ""en"", ""iw"")"),"לְהַסתִיר")</f>
        <v>לְהַסתִיר</v>
      </c>
      <c r="AB14" s="3" t="str">
        <f>IFERROR(__xludf.DUMMYFUNCTION("GoogleTranslate(C14, ""en"", ""hi"")"),"छिपाना")</f>
        <v>छिपाना</v>
      </c>
      <c r="AC14" s="3" t="str">
        <f>IFERROR(__xludf.DUMMYFUNCTION("GoogleTranslate(C14, ""en"", ""hu"")"),"Elrejt")</f>
        <v>Elrejt</v>
      </c>
      <c r="AD14" s="3" t="str">
        <f>IFERROR(__xludf.DUMMYFUNCTION("GoogleTranslate(C14, ""en"", ""is"")"),"Fela")</f>
        <v>Fela</v>
      </c>
      <c r="AE14" s="3" t="str">
        <f>IFERROR(__xludf.DUMMYFUNCTION("GoogleTranslate(C14, ""en"", ""id"")"),"Bersembunyi")</f>
        <v>Bersembunyi</v>
      </c>
      <c r="AF14" s="3" t="str">
        <f>IFERROR(__xludf.DUMMYFUNCTION("GoogleTranslate(C14, ""en"", ""in"")"),"Bersembunyi")</f>
        <v>Bersembunyi</v>
      </c>
      <c r="AG14" s="3" t="str">
        <f>IFERROR(__xludf.DUMMYFUNCTION("GoogleTranslate(C14, ""en"", ""it"")"),"Nascondere")</f>
        <v>Nascondere</v>
      </c>
      <c r="AH14" s="3" t="str">
        <f>IFERROR(__xludf.DUMMYFUNCTION("GoogleTranslate(C14, ""en"", ""ja"")"),"隠れる")</f>
        <v>隠れる</v>
      </c>
      <c r="AI14" s="3" t="str">
        <f>IFERROR(__xludf.DUMMYFUNCTION("GoogleTranslate(C14, ""en"", ""kn"")"),"ಮರೆಮಾಡಿ")</f>
        <v>ಮರೆಮಾಡಿ</v>
      </c>
      <c r="AJ14" s="3" t="str">
        <f>IFERROR(__xludf.DUMMYFUNCTION("GoogleTranslate(C14, ""en"", ""km"")"),"លាក់")</f>
        <v>លាក់</v>
      </c>
      <c r="AK14" s="3" t="str">
        <f>IFERROR(__xludf.DUMMYFUNCTION("GoogleTranslate(C14, ""en"", ""ko"")"),"숨다")</f>
        <v>숨다</v>
      </c>
      <c r="AL14" s="3" t="str">
        <f>IFERROR(__xludf.DUMMYFUNCTION("GoogleTranslate(C14, ""en"", ""lo"")"),"ເຊື່ອງ")</f>
        <v>ເຊື່ອງ</v>
      </c>
      <c r="AM14" s="3" t="str">
        <f>IFERROR(__xludf.DUMMYFUNCTION("GoogleTranslate(C14, ""en"", ""lv"")"),"Slēpt")</f>
        <v>Slēpt</v>
      </c>
      <c r="AN14" s="3" t="str">
        <f>IFERROR(__xludf.DUMMYFUNCTION("GoogleTranslate(C14, ""en"", ""lt"")"),"Slėpti")</f>
        <v>Slėpti</v>
      </c>
      <c r="AO14" s="3" t="str">
        <f>IFERROR(__xludf.DUMMYFUNCTION("GoogleTranslate(C14, ""en"", ""mk"")"),"Скриј")</f>
        <v>Скриј</v>
      </c>
      <c r="AP14" s="3" t="str">
        <f>IFERROR(__xludf.DUMMYFUNCTION("GoogleTranslate(C14, ""en"", ""ms"")"),"Sembunyi")</f>
        <v>Sembunyi</v>
      </c>
      <c r="AQ14" s="3" t="str">
        <f>IFERROR(__xludf.DUMMYFUNCTION("GoogleTranslate(C14, ""en"", ""ml"")"),"മറയ്ക്കുക")</f>
        <v>മറയ്ക്കുക</v>
      </c>
      <c r="AR14" s="3" t="str">
        <f>IFERROR(__xludf.DUMMYFUNCTION("GoogleTranslate(C14, ""en"", ""mr"")"),"लपवा")</f>
        <v>लपवा</v>
      </c>
      <c r="AS14" s="3" t="str">
        <f>IFERROR(__xludf.DUMMYFUNCTION("GoogleTranslate(C14, ""en"", ""mn"")"),"Нуух")</f>
        <v>Нуух</v>
      </c>
      <c r="AT14" s="3" t="str">
        <f>IFERROR(__xludf.DUMMYFUNCTION("GoogleTranslate(C14, ""en"", ""ne"")"),"लुकाउनुहोस्")</f>
        <v>लुकाउनुहोस्</v>
      </c>
      <c r="AU14" s="3" t="str">
        <f>IFERROR(__xludf.DUMMYFUNCTION("GoogleTranslate(C14, ""en"", ""nb"")"),"Gjemme")</f>
        <v>Gjemme</v>
      </c>
      <c r="AV14" s="3" t="str">
        <f>IFERROR(__xludf.DUMMYFUNCTION("GoogleTranslate(C14, ""en"", ""fa"")"),"پنهان کردن")</f>
        <v>پنهان کردن</v>
      </c>
      <c r="AW14" s="3" t="str">
        <f>IFERROR(__xludf.DUMMYFUNCTION("GoogleTranslate(C14, ""en"", ""pl"")"),"Ukrywać")</f>
        <v>Ukrywać</v>
      </c>
      <c r="AX14" s="3" t="str">
        <f>IFERROR(__xludf.DUMMYFUNCTION("GoogleTranslate(C14, ""en"", ""pt"")"),"Esconder")</f>
        <v>Esconder</v>
      </c>
      <c r="AY14" s="3" t="str">
        <f>IFERROR(__xludf.DUMMYFUNCTION("GoogleTranslate(C14, ""en"", ""ro"")"),"Ascunde")</f>
        <v>Ascunde</v>
      </c>
      <c r="AZ14" s="3" t="str">
        <f>IFERROR(__xludf.DUMMYFUNCTION("GoogleTranslate(C14, ""en"", ""ru"")"),"Скрывать")</f>
        <v>Скрывать</v>
      </c>
      <c r="BA14" s="3" t="str">
        <f>IFERROR(__xludf.DUMMYFUNCTION("GoogleTranslate(C14, ""en"", ""sr"")"),"Сакриј се")</f>
        <v>Сакриј се</v>
      </c>
      <c r="BB14" s="3" t="str">
        <f>IFERROR(__xludf.DUMMYFUNCTION("GoogleTranslate(C14, ""en"", ""si"")"),"සඟවන්න")</f>
        <v>සඟවන්න</v>
      </c>
      <c r="BC14" s="3" t="str">
        <f>IFERROR(__xludf.DUMMYFUNCTION("GoogleTranslate(C14, ""en"", ""sk"")"),"Skryť")</f>
        <v>Skryť</v>
      </c>
      <c r="BD14" s="3" t="str">
        <f>IFERROR(__xludf.DUMMYFUNCTION("GoogleTranslate(C14, ""en"", ""sl"")"),"Skrij se")</f>
        <v>Skrij se</v>
      </c>
      <c r="BE14" s="3" t="str">
        <f>IFERROR(__xludf.DUMMYFUNCTION("GoogleTranslate(C14, ""en"", ""es"")"),"Esconder")</f>
        <v>Esconder</v>
      </c>
      <c r="BF14" s="3" t="str">
        <f>IFERROR(__xludf.DUMMYFUNCTION("GoogleTranslate(C14, ""en"", ""sw"")"),"Ficha")</f>
        <v>Ficha</v>
      </c>
      <c r="BG14" s="3" t="str">
        <f>IFERROR(__xludf.DUMMYFUNCTION("GoogleTranslate(C14, ""en"", ""sv"")"),"Dölja")</f>
        <v>Dölja</v>
      </c>
      <c r="BH14" s="3" t="str">
        <f>IFERROR(__xludf.DUMMYFUNCTION("GoogleTranslate(C14, ""en"", ""te"")"),"దాచు")</f>
        <v>దాచు</v>
      </c>
      <c r="BI14" s="3" t="str">
        <f>IFERROR(__xludf.DUMMYFUNCTION("GoogleTranslate(C14, ""en"", ""th"")"),"ซ่อน")</f>
        <v>ซ่อน</v>
      </c>
      <c r="BJ14" s="3" t="str">
        <f>IFERROR(__xludf.DUMMYFUNCTION("GoogleTranslate(C14, ""en"", ""tr"")"),"Saklamak")</f>
        <v>Saklamak</v>
      </c>
      <c r="BK14" s="3" t="str">
        <f>IFERROR(__xludf.DUMMYFUNCTION("GoogleTranslate(C14, ""en"", ""uk"")"),"Сховати")</f>
        <v>Сховати</v>
      </c>
      <c r="BL14" s="3" t="str">
        <f>IFERROR(__xludf.DUMMYFUNCTION("GoogleTranslate(C14, ""en"", ""zu"")"),"Fihla")</f>
        <v>Fihla</v>
      </c>
    </row>
    <row r="15">
      <c r="A15" s="1" t="str">
        <f t="shared" si="1"/>
        <v>Weather_forecast_on_your_website</v>
      </c>
      <c r="B15" s="4" t="s">
        <v>77</v>
      </c>
      <c r="C15" s="1" t="str">
        <f t="shared" si="2"/>
        <v>Weather forecast on your website</v>
      </c>
      <c r="D15" s="3" t="str">
        <f>IFERROR(__xludf.DUMMYFUNCTION("GoogleTranslate(C15, ""en"", ""es"")"),"Previsión del tiempo en tu web")</f>
        <v>Previsión del tiempo en tu web</v>
      </c>
      <c r="E15" s="3" t="str">
        <f>IFERROR(__xludf.DUMMYFUNCTION("GoogleTranslate(C15, ""en"", ""ar"")"),"توقعات الطقس على موقع الويب الخاص بك")</f>
        <v>توقعات الطقس على موقع الويب الخاص بك</v>
      </c>
      <c r="F15" s="3" t="str">
        <f>IFERROR(__xludf.DUMMYFUNCTION("GoogleTranslate(C15, ""en"", ""hy"")"),"Եղանակի կանխատեսում ձեր կայքում")</f>
        <v>Եղանակի կանխատեսում ձեր կայքում</v>
      </c>
      <c r="G15" s="3" t="str">
        <f>IFERROR(__xludf.DUMMYFUNCTION("GoogleTranslate(C15, ""en"", ""vi"")"),"Dự báo thời tiết trên trang web của bạn")</f>
        <v>Dự báo thời tiết trên trang web của bạn</v>
      </c>
      <c r="H15" s="3" t="str">
        <f>IFERROR(__xludf.DUMMYFUNCTION("GoogleTranslate(C15, ""en"", ""az"")"),"Veb saytınızda hava proqnozu")</f>
        <v>Veb saytınızda hava proqnozu</v>
      </c>
      <c r="I15" s="3" t="str">
        <f>IFERROR(__xludf.DUMMYFUNCTION("GoogleTranslate(C15, ""en"", ""eu"")"),"Eguraldi iragarpena zure webgunean")</f>
        <v>Eguraldi iragarpena zure webgunean</v>
      </c>
      <c r="J15" s="3" t="str">
        <f>IFERROR(__xludf.DUMMYFUNCTION("GoogleTranslate(C15, ""en"", ""be"")"),"Прагноз надвор'я на вашым сайце")</f>
        <v>Прагноз надвор'я на вашым сайце</v>
      </c>
      <c r="K15" s="3" t="str">
        <f>IFERROR(__xludf.DUMMYFUNCTION("GoogleTranslate(C15, ""en"", ""bn"")"),"আপনার ওয়েবসাইটে আবহাওয়ার পূর্বাভাস")</f>
        <v>আপনার ওয়েবসাইটে আবহাওয়ার পূর্বাভাস</v>
      </c>
      <c r="L15" s="3" t="str">
        <f>IFERROR(__xludf.DUMMYFUNCTION("GoogleTranslate(C15, ""en"", ""bg"")"),"Прогноза за времето на вашия уебсайт")</f>
        <v>Прогноза за времето на вашия уебсайт</v>
      </c>
      <c r="M15" s="3" t="str">
        <f>IFERROR(__xludf.DUMMYFUNCTION("GoogleTranslate(C15, ""en"", ""my"")"),"သင့်ဝဘ်ဆိုဒ်တွင် မိုးလေဝသခန့်မှန်းချက်")</f>
        <v>သင့်ဝဘ်ဆိုဒ်တွင် မိုးလေဝသခန့်မှန်းချက်</v>
      </c>
      <c r="N15" s="3" t="str">
        <f>IFERROR(__xludf.DUMMYFUNCTION("GoogleTranslate(C15, ""en"", ""ca"")"),"Previsió del temps al vostre lloc web")</f>
        <v>Previsió del temps al vostre lloc web</v>
      </c>
      <c r="O15" s="3" t="str">
        <f>IFERROR(__xludf.DUMMYFUNCTION("GoogleTranslate(C15, ""en"", ""zh-cn"")"),"您网站上的天气预报")</f>
        <v>您网站上的天气预报</v>
      </c>
      <c r="P15" s="3" t="str">
        <f>IFERROR(__xludf.DUMMYFUNCTION("GoogleTranslate(C15, ""en"", ""zh-TW"")"),"您網站上的天氣預報")</f>
        <v>您網站上的天氣預報</v>
      </c>
      <c r="Q15" s="3" t="str">
        <f>IFERROR(__xludf.DUMMYFUNCTION("GoogleTranslate(C15, ""en"", ""hr"")"),"Vremenska prognoza na vašoj web stranici")</f>
        <v>Vremenska prognoza na vašoj web stranici</v>
      </c>
      <c r="R15" s="3" t="str">
        <f>IFERROR(__xludf.DUMMYFUNCTION("GoogleTranslate(C15, ""en"", ""cs"")"),"Předpověď počasí na vašem webu")</f>
        <v>Předpověď počasí na vašem webu</v>
      </c>
      <c r="S15" s="3" t="str">
        <f>IFERROR(__xludf.DUMMYFUNCTION("GoogleTranslate(C15, ""en"", ""da"")"),"Vejrudsigt på din hjemmeside")</f>
        <v>Vejrudsigt på din hjemmeside</v>
      </c>
      <c r="T15" s="3" t="str">
        <f>IFERROR(__xludf.DUMMYFUNCTION("GoogleTranslate(C15, ""en"", ""nl"")"),"Weersvoorspelling op uw website")</f>
        <v>Weersvoorspelling op uw website</v>
      </c>
      <c r="U15" s="3" t="str">
        <f>IFERROR(__xludf.DUMMYFUNCTION("GoogleTranslate(C15, ""en"", ""et"")"),"Ilmateade teie veebisaidil")</f>
        <v>Ilmateade teie veebisaidil</v>
      </c>
      <c r="V15" s="1" t="str">
        <f t="shared" si="3"/>
        <v>Weather forecast on your website</v>
      </c>
      <c r="W15" s="3" t="str">
        <f>IFERROR(__xludf.DUMMYFUNCTION("GoogleTranslate(C15, ""en"", ""fi"")"),"Sääennuste verkkosivuillasi")</f>
        <v>Sääennuste verkkosivuillasi</v>
      </c>
      <c r="X15" s="3" t="str">
        <f>IFERROR(__xludf.DUMMYFUNCTION("GoogleTranslate(C15, ""en"", ""fr"")"),"Prévisions météo sur votre site Internet")</f>
        <v>Prévisions météo sur votre site Internet</v>
      </c>
      <c r="Y15" s="3" t="str">
        <f>IFERROR(__xludf.DUMMYFUNCTION("GoogleTranslate(C15, ""en"", ""de"")"),"Wettervorhersage auf Ihrer Website")</f>
        <v>Wettervorhersage auf Ihrer Website</v>
      </c>
      <c r="Z15" s="3" t="str">
        <f>IFERROR(__xludf.DUMMYFUNCTION("GoogleTranslate(C15, ""en"", ""el"")"),"Πρόγνωση καιρού στην ιστοσελίδα σας")</f>
        <v>Πρόγνωση καιρού στην ιστοσελίδα σας</v>
      </c>
      <c r="AA15" s="3" t="str">
        <f>IFERROR(__xludf.DUMMYFUNCTION("GoogleTranslate(C15, ""en"", ""iw"")"),"תחזית מזג האוויר באתר שלך")</f>
        <v>תחזית מזג האוויר באתר שלך</v>
      </c>
      <c r="AB15" s="3" t="str">
        <f>IFERROR(__xludf.DUMMYFUNCTION("GoogleTranslate(C15, ""en"", ""hi"")"),"आपकी वेबसाइट पर मौसम का पूर्वानुमान")</f>
        <v>आपकी वेबसाइट पर मौसम का पूर्वानुमान</v>
      </c>
      <c r="AC15" s="3" t="str">
        <f>IFERROR(__xludf.DUMMYFUNCTION("GoogleTranslate(C15, ""en"", ""hu"")"),"Időjárás előrejelzés a webhelyén")</f>
        <v>Időjárás előrejelzés a webhelyén</v>
      </c>
      <c r="AD15" s="3" t="str">
        <f>IFERROR(__xludf.DUMMYFUNCTION("GoogleTranslate(C15, ""en"", ""is"")"),"Veðurspá á vefsíðunni þinni")</f>
        <v>Veðurspá á vefsíðunni þinni</v>
      </c>
      <c r="AE15" s="3" t="str">
        <f>IFERROR(__xludf.DUMMYFUNCTION("GoogleTranslate(C15, ""en"", ""id"")"),"Prakiraan cuaca di situs web Anda")</f>
        <v>Prakiraan cuaca di situs web Anda</v>
      </c>
      <c r="AF15" s="3" t="str">
        <f>IFERROR(__xludf.DUMMYFUNCTION("GoogleTranslate(C15, ""en"", ""in"")"),"Prakiraan cuaca di situs web Anda")</f>
        <v>Prakiraan cuaca di situs web Anda</v>
      </c>
      <c r="AG15" s="3" t="str">
        <f>IFERROR(__xludf.DUMMYFUNCTION("GoogleTranslate(C15, ""en"", ""it"")"),"Previsioni del tempo sul tuo sito web")</f>
        <v>Previsioni del tempo sul tuo sito web</v>
      </c>
      <c r="AH15" s="3" t="str">
        <f>IFERROR(__xludf.DUMMYFUNCTION("GoogleTranslate(C15, ""en"", ""ja"")"),"ウェブサイト上の天気予報")</f>
        <v>ウェブサイト上の天気予報</v>
      </c>
      <c r="AI15" s="3" t="str">
        <f>IFERROR(__xludf.DUMMYFUNCTION("GoogleTranslate(C15, ""en"", ""kn"")"),"ನಿಮ್ಮ ವೆಬ್‌ಸೈಟ್‌ನಲ್ಲಿ ಹವಾಮಾನ ಮುನ್ಸೂಚನೆ")</f>
        <v>ನಿಮ್ಮ ವೆಬ್‌ಸೈಟ್‌ನಲ್ಲಿ ಹವಾಮಾನ ಮುನ್ಸೂಚನೆ</v>
      </c>
      <c r="AJ15" s="3" t="str">
        <f>IFERROR(__xludf.DUMMYFUNCTION("GoogleTranslate(C15, ""en"", ""km"")"),"ការព្យាករណ៍អាកាសធាតុនៅលើគេហទំព័ររបស់អ្នក។")</f>
        <v>ការព្យាករណ៍អាកាសធាតុនៅលើគេហទំព័ររបស់អ្នក។</v>
      </c>
      <c r="AK15" s="3" t="str">
        <f>IFERROR(__xludf.DUMMYFUNCTION("GoogleTranslate(C15, ""en"", ""ko"")"),"웹사이트의 일기 예보")</f>
        <v>웹사이트의 일기 예보</v>
      </c>
      <c r="AL15" s="3" t="str">
        <f>IFERROR(__xludf.DUMMYFUNCTION("GoogleTranslate(C15, ""en"", ""lo"")"),"ການພະຍາກອນອາກາດຢູ່ໃນເວັບໄຊທ໌ຂອງທ່ານ")</f>
        <v>ການພະຍາກອນອາກາດຢູ່ໃນເວັບໄຊທ໌ຂອງທ່ານ</v>
      </c>
      <c r="AM15" s="3" t="str">
        <f>IFERROR(__xludf.DUMMYFUNCTION("GoogleTranslate(C15, ""en"", ""lv"")"),"Laika prognoze jūsu vietnē")</f>
        <v>Laika prognoze jūsu vietnē</v>
      </c>
      <c r="AN15" s="3" t="str">
        <f>IFERROR(__xludf.DUMMYFUNCTION("GoogleTranslate(C15, ""en"", ""lt"")"),"Orų prognozė jūsų svetainėje")</f>
        <v>Orų prognozė jūsų svetainėje</v>
      </c>
      <c r="AO15" s="3" t="str">
        <f>IFERROR(__xludf.DUMMYFUNCTION("GoogleTranslate(C15, ""en"", ""mk"")"),"Временска прогноза на вашата веб-страница")</f>
        <v>Временска прогноза на вашата веб-страница</v>
      </c>
      <c r="AP15" s="3" t="str">
        <f>IFERROR(__xludf.DUMMYFUNCTION("GoogleTranslate(C15, ""en"", ""ms"")"),"Ramalan cuaca di tapak web anda")</f>
        <v>Ramalan cuaca di tapak web anda</v>
      </c>
      <c r="AQ15" s="3" t="str">
        <f>IFERROR(__xludf.DUMMYFUNCTION("GoogleTranslate(C15, ""en"", ""ml"")"),"നിങ്ങളുടെ വെബ്‌സൈറ്റിലെ കാലാവസ്ഥാ പ്രവചനം")</f>
        <v>നിങ്ങളുടെ വെബ്‌സൈറ്റിലെ കാലാവസ്ഥാ പ്രവചനം</v>
      </c>
      <c r="AR15" s="3" t="str">
        <f>IFERROR(__xludf.DUMMYFUNCTION("GoogleTranslate(C15, ""en"", ""mr"")"),"तुमच्या वेबसाइटवर हवामानाचा अंदाज")</f>
        <v>तुमच्या वेबसाइटवर हवामानाचा अंदाज</v>
      </c>
      <c r="AS15" s="3" t="str">
        <f>IFERROR(__xludf.DUMMYFUNCTION("GoogleTranslate(C15, ""en"", ""mn"")"),"Таны вэбсайт дээрх цаг агаарын урьдчилсан мэдээ")</f>
        <v>Таны вэбсайт дээрх цаг агаарын урьдчилсан мэдээ</v>
      </c>
      <c r="AT15" s="3" t="str">
        <f>IFERROR(__xludf.DUMMYFUNCTION("GoogleTranslate(C15, ""en"", ""ne"")"),"तपाईंको वेबसाइटमा मौसम पूर्वानुमान")</f>
        <v>तपाईंको वेबसाइटमा मौसम पूर्वानुमान</v>
      </c>
      <c r="AU15" s="3" t="str">
        <f>IFERROR(__xludf.DUMMYFUNCTION("GoogleTranslate(C15, ""en"", ""nb"")"),"Værmelding på nettstedet ditt")</f>
        <v>Værmelding på nettstedet ditt</v>
      </c>
      <c r="AV15" s="3" t="str">
        <f>IFERROR(__xludf.DUMMYFUNCTION("GoogleTranslate(C15, ""en"", ""fa"")"),"پیش بینی آب و هوا در وب سایت شما")</f>
        <v>پیش بینی آب و هوا در وب سایت شما</v>
      </c>
      <c r="AW15" s="3" t="str">
        <f>IFERROR(__xludf.DUMMYFUNCTION("GoogleTranslate(C15, ""en"", ""pl"")"),"Prognoza pogody na Twojej stronie internetowej")</f>
        <v>Prognoza pogody na Twojej stronie internetowej</v>
      </c>
      <c r="AX15" s="3" t="str">
        <f>IFERROR(__xludf.DUMMYFUNCTION("GoogleTranslate(C15, ""en"", ""pt"")"),"Previsão do tempo em seu site")</f>
        <v>Previsão do tempo em seu site</v>
      </c>
      <c r="AY15" s="3" t="str">
        <f>IFERROR(__xludf.DUMMYFUNCTION("GoogleTranslate(C15, ""en"", ""ro"")"),"Prognoza meteo pe site-ul dvs")</f>
        <v>Prognoza meteo pe site-ul dvs</v>
      </c>
      <c r="AZ15" s="3" t="str">
        <f>IFERROR(__xludf.DUMMYFUNCTION("GoogleTranslate(C15, ""en"", ""ru"")"),"Прогноз погоды на вашем сайте")</f>
        <v>Прогноз погоды на вашем сайте</v>
      </c>
      <c r="BA15" s="3" t="str">
        <f>IFERROR(__xludf.DUMMYFUNCTION("GoogleTranslate(C15, ""en"", ""sr"")"),"Временска прогноза на вашем сајту")</f>
        <v>Временска прогноза на вашем сајту</v>
      </c>
      <c r="BB15" s="3" t="str">
        <f>IFERROR(__xludf.DUMMYFUNCTION("GoogleTranslate(C15, ""en"", ""si"")"),"ඔබේ වෙබ් අඩවියේ කාලගුණ අනාවැකිය")</f>
        <v>ඔබේ වෙබ් අඩවියේ කාලගුණ අනාවැකිය</v>
      </c>
      <c r="BC15" s="3" t="str">
        <f>IFERROR(__xludf.DUMMYFUNCTION("GoogleTranslate(C15, ""en"", ""sk"")"),"Predpoveď počasia na vašom webe")</f>
        <v>Predpoveď počasia na vašom webe</v>
      </c>
      <c r="BD15" s="3" t="str">
        <f>IFERROR(__xludf.DUMMYFUNCTION("GoogleTranslate(C15, ""en"", ""sl"")"),"Vremenska napoved na vaši spletni strani")</f>
        <v>Vremenska napoved na vaši spletni strani</v>
      </c>
      <c r="BE15" s="3" t="str">
        <f>IFERROR(__xludf.DUMMYFUNCTION("GoogleTranslate(C15, ""en"", ""es"")"),"Previsión del tiempo en tu web")</f>
        <v>Previsión del tiempo en tu web</v>
      </c>
      <c r="BF15" s="3" t="str">
        <f>IFERROR(__xludf.DUMMYFUNCTION("GoogleTranslate(C15, ""en"", ""sw"")"),"Utabiri wa hali ya hewa kwenye tovuti yako")</f>
        <v>Utabiri wa hali ya hewa kwenye tovuti yako</v>
      </c>
      <c r="BG15" s="3" t="str">
        <f>IFERROR(__xludf.DUMMYFUNCTION("GoogleTranslate(C15, ""en"", ""sv"")"),"Väderprognos på din hemsida")</f>
        <v>Väderprognos på din hemsida</v>
      </c>
      <c r="BH15" s="3" t="str">
        <f>IFERROR(__xludf.DUMMYFUNCTION("GoogleTranslate(C15, ""en"", ""te"")"),"మీ వెబ్‌సైట్‌లో వాతావరణ సూచన")</f>
        <v>మీ వెబ్‌సైట్‌లో వాతావరణ సూచన</v>
      </c>
      <c r="BI15" s="3" t="str">
        <f>IFERROR(__xludf.DUMMYFUNCTION("GoogleTranslate(C15, ""en"", ""th"")"),"พยากรณ์อากาศบนเว็บไซต์ของคุณ")</f>
        <v>พยากรณ์อากาศบนเว็บไซต์ของคุณ</v>
      </c>
      <c r="BJ15" s="3" t="str">
        <f>IFERROR(__xludf.DUMMYFUNCTION("GoogleTranslate(C15, ""en"", ""tr"")"),"Web sitenizde hava durumu tahmini")</f>
        <v>Web sitenizde hava durumu tahmini</v>
      </c>
      <c r="BK15" s="3" t="str">
        <f>IFERROR(__xludf.DUMMYFUNCTION("GoogleTranslate(C15, ""en"", ""uk"")"),"Прогноз погоди на вашому сайті")</f>
        <v>Прогноз погоди на вашому сайті</v>
      </c>
      <c r="BL15" s="3" t="str">
        <f>IFERROR(__xludf.DUMMYFUNCTION("GoogleTranslate(C15, ""en"", ""zu"")"),"Isibikezelo sezulu kuwebhusayithi yakho")</f>
        <v>Isibikezelo sezulu kuwebhusayithi yakho</v>
      </c>
    </row>
    <row r="16">
      <c r="A16" s="1" t="str">
        <f t="shared" si="1"/>
        <v>Create_a_custom_code_for_your_website_and_copy_the_embed_code_and_add_it_to_the_location_you_want_to_display_on_your_website.</v>
      </c>
      <c r="B16" s="4" t="s">
        <v>78</v>
      </c>
      <c r="C16" s="1" t="str">
        <f t="shared" si="2"/>
        <v>Create a custom code for your website and copy the embed code and add it to the location you want to display on your website.</v>
      </c>
      <c r="D16" s="3" t="str">
        <f>IFERROR(__xludf.DUMMYFUNCTION("GoogleTranslate(C16, ""en"", ""es"")"),"Cree un código personalizado para su sitio web, copie el código de inserción y agréguelo a la ubicación que desea mostrar en su sitio web.")</f>
        <v>Cree un código personalizado para su sitio web, copie el código de inserción y agréguelo a la ubicación que desea mostrar en su sitio web.</v>
      </c>
      <c r="E16" s="3" t="str">
        <f>IFERROR(__xludf.DUMMYFUNCTION("GoogleTranslate(C16, ""en"", ""ar"")"),"أنشئ رمزًا مخصصًا لموقعك على الويب وانسخ رمز التضمين وأضفه إلى الموقع الذي تريد عرضه على موقع الويب الخاص بك.")</f>
        <v>أنشئ رمزًا مخصصًا لموقعك على الويب وانسخ رمز التضمين وأضفه إلى الموقع الذي تريد عرضه على موقع الويب الخاص بك.</v>
      </c>
      <c r="F16" s="3" t="str">
        <f>IFERROR(__xludf.DUMMYFUNCTION("GoogleTranslate(C16, ""en"", ""hy"")"),"Ստեղծեք հատուկ կոդ ձեր կայքի համար և պատճենեք ներկառուցված կոդը և ավելացրեք այն այն վայրում, որը ցանկանում եք ցուցադրել ձեր կայքում:")</f>
        <v>Ստեղծեք հատուկ կոդ ձեր կայքի համար և պատճենեք ներկառուցված կոդը և ավելացրեք այն այն վայրում, որը ցանկանում եք ցուցադրել ձեր կայքում:</v>
      </c>
      <c r="G16" s="3" t="str">
        <f>IFERROR(__xludf.DUMMYFUNCTION("GoogleTranslate(C16, ""en"", ""vi"")"),"Tạo mã tùy chỉnh cho trang web của bạn và sao chép mã nhúng rồi thêm mã đó vào vị trí bạn muốn hiển thị trên trang web của mình.")</f>
        <v>Tạo mã tùy chỉnh cho trang web của bạn và sao chép mã nhúng rồi thêm mã đó vào vị trí bạn muốn hiển thị trên trang web của mình.</v>
      </c>
      <c r="H16" s="3" t="str">
        <f>IFERROR(__xludf.DUMMYFUNCTION("GoogleTranslate(C16, ""en"", ""az"")"),"Veb saytınız üçün xüsusi kod yaradın və daxiletmə kodunu kopyalayın və veb saytınızda göstərmək istədiyiniz yerə əlavə edin.")</f>
        <v>Veb saytınız üçün xüsusi kod yaradın və daxiletmə kodunu kopyalayın və veb saytınızda göstərmək istədiyiniz yerə əlavə edin.</v>
      </c>
      <c r="I16" s="3" t="str">
        <f>IFERROR(__xludf.DUMMYFUNCTION("GoogleTranslate(C16, ""en"", ""eu"")"),"Sortu kode pertsonalizatu bat zure webgunerako eta kopiatu kapsulatu kodea eta gehitu zure webgunean erakutsi nahi duzun kokapenean.")</f>
        <v>Sortu kode pertsonalizatu bat zure webgunerako eta kopiatu kapsulatu kodea eta gehitu zure webgunean erakutsi nahi duzun kokapenean.</v>
      </c>
      <c r="J16" s="3" t="str">
        <f>IFERROR(__xludf.DUMMYFUNCTION("GoogleTranslate(C16, ""en"", ""be"")"),"Стварыце карыстальніцкі код для вашага вэб-сайта, скапіруйце код убудавання і дадайце яго ў месца, якое вы хочаце паказаць на сваім вэб-сайце.")</f>
        <v>Стварыце карыстальніцкі код для вашага вэб-сайта, скапіруйце код убудавання і дадайце яго ў месца, якое вы хочаце паказаць на сваім вэб-сайце.</v>
      </c>
      <c r="K16" s="3" t="str">
        <f>IFERROR(__xludf.DUMMYFUNCTION("GoogleTranslate(C16, ""en"", ""bn"")"),"আপনার ওয়েবসাইটের জন্য একটি কাস্টম কোড তৈরি করুন এবং এম্বেড কোডটি অনুলিপি করুন এবং আপনি আপনার ওয়েবসাইটে প্রদর্শন করতে চান এমন অবস্থানে এটি যোগ করুন।")</f>
        <v>আপনার ওয়েবসাইটের জন্য একটি কাস্টম কোড তৈরি করুন এবং এম্বেড কোডটি অনুলিপি করুন এবং আপনি আপনার ওয়েবসাইটে প্রদর্শন করতে চান এমন অবস্থানে এটি যোগ করুন।</v>
      </c>
      <c r="L16" s="3" t="str">
        <f>IFERROR(__xludf.DUMMYFUNCTION("GoogleTranslate(C16, ""en"", ""bg"")"),"Създайте персонализиран код за вашия уебсайт и копирайте кода за вграждане и го добавете към местоположението, което искате да показвате на вашия уебсайт.")</f>
        <v>Създайте персонализиран код за вашия уебсайт и копирайте кода за вграждане и го добавете към местоположението, което искате да показвате на вашия уебсайт.</v>
      </c>
      <c r="M16" s="3" t="str">
        <f>IFERROR(__xludf.DUMMYFUNCTION("GoogleTranslate(C16, ""en"", ""my"")"),"သင့်ဝဘ်ဆိုက်အတွက် စိတ်ကြိုက်ကုဒ်တစ်ခုကို ဖန်တီးပြီး မြှုပ်သွင်းကုဒ်ကို ကူးယူပြီး သင့်ဝဘ်ဆိုက်တွင် ပြသလိုသည့် တည်နေရာသို့ ထည့်ပါ။")</f>
        <v>သင့်ဝဘ်ဆိုက်အတွက် စိတ်ကြိုက်ကုဒ်တစ်ခုကို ဖန်တီးပြီး မြှုပ်သွင်းကုဒ်ကို ကူးယူပြီး သင့်ဝဘ်ဆိုက်တွင် ပြသလိုသည့် တည်နေရာသို့ ထည့်ပါ။</v>
      </c>
      <c r="N16" s="3" t="str">
        <f>IFERROR(__xludf.DUMMYFUNCTION("GoogleTranslate(C16, ""en"", ""ca"")"),"Creeu un codi personalitzat per al vostre lloc web i copieu el codi d'inserció i afegiu-lo a la ubicació que voleu mostrar al vostre lloc web.")</f>
        <v>Creeu un codi personalitzat per al vostre lloc web i copieu el codi d'inserció i afegiu-lo a la ubicació que voleu mostrar al vostre lloc web.</v>
      </c>
      <c r="O16" s="3" t="str">
        <f>IFERROR(__xludf.DUMMYFUNCTION("GoogleTranslate(C16, ""en"", ""zh-cn"")"),"为您的网站创建自定义代码，然后复制嵌入代码并将其添加到您想要在网站上显示的位置。")</f>
        <v>为您的网站创建自定义代码，然后复制嵌入代码并将其添加到您想要在网站上显示的位置。</v>
      </c>
      <c r="P16" s="3" t="str">
        <f>IFERROR(__xludf.DUMMYFUNCTION("GoogleTranslate(C16, ""en"", ""zh-TW"")"),"為您的網站建立自訂程式碼，然後複製嵌入程式碼並將其新增至您想要在網站上顯示的位置。")</f>
        <v>為您的網站建立自訂程式碼，然後複製嵌入程式碼並將其新增至您想要在網站上顯示的位置。</v>
      </c>
      <c r="Q16" s="3" t="str">
        <f>IFERROR(__xludf.DUMMYFUNCTION("GoogleTranslate(C16, ""en"", ""hr"")"),"Izradite prilagođeni kod za svoju web stranicu i kopirajte ugrađeni kod te ga dodajte na mjesto koje želite prikazati na svojoj web stranici.")</f>
        <v>Izradite prilagođeni kod za svoju web stranicu i kopirajte ugrađeni kod te ga dodajte na mjesto koje želite prikazati na svojoj web stranici.</v>
      </c>
      <c r="R16" s="3" t="str">
        <f>IFERROR(__xludf.DUMMYFUNCTION("GoogleTranslate(C16, ""en"", ""cs"")"),"Vytvořte vlastní kód pro svůj web a zkopírujte kód pro vložení a přidejte jej na místo, které chcete na svém webu zobrazit.")</f>
        <v>Vytvořte vlastní kód pro svůj web a zkopírujte kód pro vložení a přidejte jej na místo, které chcete na svém webu zobrazit.</v>
      </c>
      <c r="S16" s="3" t="str">
        <f>IFERROR(__xludf.DUMMYFUNCTION("GoogleTranslate(C16, ""en"", ""da"")"),"Opret en brugerdefineret kode til dit websted og kopier indlejringskoden og tilføj den til den placering, du vil vise på din hjemmeside.")</f>
        <v>Opret en brugerdefineret kode til dit websted og kopier indlejringskoden og tilføj den til den placering, du vil vise på din hjemmeside.</v>
      </c>
      <c r="T16" s="3" t="str">
        <f>IFERROR(__xludf.DUMMYFUNCTION("GoogleTranslate(C16, ""en"", ""nl"")"),"Maak een aangepaste code voor uw website, kopieer de insluitcode en voeg deze toe aan de locatie die u op uw website wilt weergeven.")</f>
        <v>Maak een aangepaste code voor uw website, kopieer de insluitcode en voeg deze toe aan de locatie die u op uw website wilt weergeven.</v>
      </c>
      <c r="U16" s="3" t="str">
        <f>IFERROR(__xludf.DUMMYFUNCTION("GoogleTranslate(C16, ""en"", ""et"")"),"Looge oma veebisaidi jaoks kohandatud kood ja kopeerige manustamiskood ning lisage see asukohta, mida soovite oma veebisaidil kuvada.")</f>
        <v>Looge oma veebisaidi jaoks kohandatud kood ja kopeerige manustamiskood ning lisage see asukohta, mida soovite oma veebisaidil kuvada.</v>
      </c>
      <c r="V16" s="1" t="str">
        <f t="shared" si="3"/>
        <v>Create a custom code for your website and copy the embed code and add it to the location you want to display on your website.</v>
      </c>
      <c r="W16" s="3" t="str">
        <f>IFERROR(__xludf.DUMMYFUNCTION("GoogleTranslate(C16, ""en"", ""fi"")"),"Luo mukautettu koodi verkkosivustollesi ja kopioi upotuskoodi ja lisää se sijaintiin, jonka haluat näyttää verkkosivustollasi.")</f>
        <v>Luo mukautettu koodi verkkosivustollesi ja kopioi upotuskoodi ja lisää se sijaintiin, jonka haluat näyttää verkkosivustollasi.</v>
      </c>
      <c r="X16" s="3" t="str">
        <f>IFERROR(__xludf.DUMMYFUNCTION("GoogleTranslate(C16, ""en"", ""fr"")"),"Créez un code personnalisé pour votre site Web, copiez le code d'intégration et ajoutez-le à l'emplacement que vous souhaitez afficher sur votre site Web.")</f>
        <v>Créez un code personnalisé pour votre site Web, copiez le code d'intégration et ajoutez-le à l'emplacement que vous souhaitez afficher sur votre site Web.</v>
      </c>
      <c r="Y16" s="3" t="str">
        <f>IFERROR(__xludf.DUMMYFUNCTION("GoogleTranslate(C16, ""en"", ""de"")"),"Erstellen Sie einen benutzerdefinierten Code für Ihre Website, kopieren Sie den Einbettungscode und fügen Sie ihn an der Stelle hinzu, die Sie auf Ihrer Website anzeigen möchten.")</f>
        <v>Erstellen Sie einen benutzerdefinierten Code für Ihre Website, kopieren Sie den Einbettungscode und fügen Sie ihn an der Stelle hinzu, die Sie auf Ihrer Website anzeigen möchten.</v>
      </c>
      <c r="Z16" s="3" t="str">
        <f>IFERROR(__xludf.DUMMYFUNCTION("GoogleTranslate(C16, ""en"", ""el"")"),"Δημιουργήστε έναν προσαρμοσμένο κώδικα για τον ιστότοπό σας και αντιγράψτε τον κώδικα ενσωμάτωσης και προσθέστε τον στην τοποθεσία που θέλετε να εμφανίζεται στον ιστότοπό σας.")</f>
        <v>Δημιουργήστε έναν προσαρμοσμένο κώδικα για τον ιστότοπό σας και αντιγράψτε τον κώδικα ενσωμάτωσης και προσθέστε τον στην τοποθεσία που θέλετε να εμφανίζεται στον ιστότοπό σας.</v>
      </c>
      <c r="AA16" s="3" t="str">
        <f>IFERROR(__xludf.DUMMYFUNCTION("GoogleTranslate(C16, ""en"", ""iw"")"),"צור קוד מותאם אישית עבור האתר שלך והעתק את קוד ההטמעה והוסף אותו למיקום שברצונך להציג באתר שלך.")</f>
        <v>צור קוד מותאם אישית עבור האתר שלך והעתק את קוד ההטמעה והוסף אותו למיקום שברצונך להציג באתר שלך.</v>
      </c>
      <c r="AB16" s="3" t="str">
        <f>IFERROR(__xludf.DUMMYFUNCTION("GoogleTranslate(C16, ""en"", ""hi"")"),"अपनी वेबसाइट के लिए एक कस्टम कोड बनाएं और एम्बेड कोड को कॉपी करें और इसे उस स्थान पर जोड़ें जिसे आप अपनी वेबसाइट पर प्रदर्शित करना चाहते हैं।")</f>
        <v>अपनी वेबसाइट के लिए एक कस्टम कोड बनाएं और एम्बेड कोड को कॉपी करें और इसे उस स्थान पर जोड़ें जिसे आप अपनी वेबसाइट पर प्रदर्शित करना चाहते हैं।</v>
      </c>
      <c r="AC16" s="3" t="str">
        <f>IFERROR(__xludf.DUMMYFUNCTION("GoogleTranslate(C16, ""en"", ""hu"")"),"Hozzon létre egyéni kódot webhelyéhez, másolja ki a beágyazási kódot, és adja hozzá a webhelyen megjeleníteni kívánt helyre.")</f>
        <v>Hozzon létre egyéni kódot webhelyéhez, másolja ki a beágyazási kódot, és adja hozzá a webhelyen megjeleníteni kívánt helyre.</v>
      </c>
      <c r="AD16" s="3" t="str">
        <f>IFERROR(__xludf.DUMMYFUNCTION("GoogleTranslate(C16, ""en"", ""is"")"),"Búðu til sérsniðinn kóða fyrir vefsíðuna þína og afritaðu innfellingarkóðann og bættu honum við staðsetninguna sem þú vilt birta á vefsíðunni þinni.")</f>
        <v>Búðu til sérsniðinn kóða fyrir vefsíðuna þína og afritaðu innfellingarkóðann og bættu honum við staðsetninguna sem þú vilt birta á vefsíðunni þinni.</v>
      </c>
      <c r="AE16" s="3" t="str">
        <f>IFERROR(__xludf.DUMMYFUNCTION("GoogleTranslate(C16, ""en"", ""id"")"),"Buat kode khusus untuk situs web Anda dan salin kode semat dan tambahkan ke lokasi yang ingin Anda tampilkan di situs web Anda.")</f>
        <v>Buat kode khusus untuk situs web Anda dan salin kode semat dan tambahkan ke lokasi yang ingin Anda tampilkan di situs web Anda.</v>
      </c>
      <c r="AF16" s="3" t="str">
        <f>IFERROR(__xludf.DUMMYFUNCTION("GoogleTranslate(C16, ""en"", ""in"")"),"Buat kode khusus untuk situs web Anda dan salin kode semat dan tambahkan ke lokasi yang ingin Anda tampilkan di situs web Anda.")</f>
        <v>Buat kode khusus untuk situs web Anda dan salin kode semat dan tambahkan ke lokasi yang ingin Anda tampilkan di situs web Anda.</v>
      </c>
      <c r="AG16" s="3" t="str">
        <f>IFERROR(__xludf.DUMMYFUNCTION("GoogleTranslate(C16, ""en"", ""it"")"),"Crea un codice personalizzato per il tuo sito web, copia il codice di incorporamento e aggiungilo alla posizione che desideri visualizzare sul tuo sito web.")</f>
        <v>Crea un codice personalizzato per il tuo sito web, copia il codice di incorporamento e aggiungilo alla posizione che desideri visualizzare sul tuo sito web.</v>
      </c>
      <c r="AH16" s="3" t="str">
        <f>IFERROR(__xludf.DUMMYFUNCTION("GoogleTranslate(C16, ""en"", ""ja"")"),"Web サイトのカスタム コードを作成し、埋め込みコードをコピーして、Web サイト上の表示する場所に追加します。")</f>
        <v>Web サイトのカスタム コードを作成し、埋め込みコードをコピーして、Web サイト上の表示する場所に追加します。</v>
      </c>
      <c r="AI16" s="3" t="str">
        <f>IFERROR(__xludf.DUMMYFUNCTION("GoogleTranslate(C16, ""en"", ""kn"")"),"ನಿಮ್ಮ ವೆಬ್‌ಸೈಟ್‌ಗಾಗಿ ಕಸ್ಟಮ್ ಕೋಡ್ ಅನ್ನು ರಚಿಸಿ ಮತ್ತು ಎಂಬೆಡ್ ಕೋಡ್ ಅನ್ನು ನಕಲಿಸಿ ಮತ್ತು ನಿಮ್ಮ ವೆಬ್‌ಸೈಟ್‌ನಲ್ಲಿ ನೀವು ಪ್ರದರ್ಶಿಸಲು ಬಯಸುವ ಸ್ಥಳಕ್ಕೆ ಸೇರಿಸಿ.")</f>
        <v>ನಿಮ್ಮ ವೆಬ್‌ಸೈಟ್‌ಗಾಗಿ ಕಸ್ಟಮ್ ಕೋಡ್ ಅನ್ನು ರಚಿಸಿ ಮತ್ತು ಎಂಬೆಡ್ ಕೋಡ್ ಅನ್ನು ನಕಲಿಸಿ ಮತ್ತು ನಿಮ್ಮ ವೆಬ್‌ಸೈಟ್‌ನಲ್ಲಿ ನೀವು ಪ್ರದರ್ಶಿಸಲು ಬಯಸುವ ಸ್ಥಳಕ್ಕೆ ಸೇರಿಸಿ.</v>
      </c>
      <c r="AJ16" s="3" t="str">
        <f>IFERROR(__xludf.DUMMYFUNCTION("GoogleTranslate(C16, ""en"", ""km"")"),"បង្កើតកូដផ្ទាល់ខ្លួនសម្រាប់គេហទំព័ររបស់អ្នក ហើយចម្លងកូដបង្កប់ ហើយបន្ថែមវាទៅទីតាំងដែលអ្នកចង់បង្ហាញនៅលើគេហទំព័ររបស់អ្នក។")</f>
        <v>បង្កើតកូដផ្ទាល់ខ្លួនសម្រាប់គេហទំព័ររបស់អ្នក ហើយចម្លងកូដបង្កប់ ហើយបន្ថែមវាទៅទីតាំងដែលអ្នកចង់បង្ហាញនៅលើគេហទំព័ររបស់អ្នក។</v>
      </c>
      <c r="AK16" s="3" t="str">
        <f>IFERROR(__xludf.DUMMYFUNCTION("GoogleTranslate(C16, ""en"", ""ko"")"),"웹사이트에 대한 사용자 정의 코드를 생성하고 임베드 코드를 복사하여 웹사이트에 표시하려는 위치에 추가하세요.")</f>
        <v>웹사이트에 대한 사용자 정의 코드를 생성하고 임베드 코드를 복사하여 웹사이트에 표시하려는 위치에 추가하세요.</v>
      </c>
      <c r="AL16" s="3" t="str">
        <f>IFERROR(__xludf.DUMMYFUNCTION("GoogleTranslate(C16, ""en"", ""lo"")"),"ສ້າງລະຫັດທີ່ກໍາຫນົດເອງສໍາລັບເວັບໄຊທ໌ຂອງທ່ານແລະຄັດລອກລະຫັດຝັງແລະເພີ່ມມັນໃສ່ສະຖານທີ່ທີ່ທ່ານຕ້ອງການສະແດງຢູ່ໃນເວັບໄຊທ໌ຂອງທ່ານ.")</f>
        <v>ສ້າງລະຫັດທີ່ກໍາຫນົດເອງສໍາລັບເວັບໄຊທ໌ຂອງທ່ານແລະຄັດລອກລະຫັດຝັງແລະເພີ່ມມັນໃສ່ສະຖານທີ່ທີ່ທ່ານຕ້ອງການສະແດງຢູ່ໃນເວັບໄຊທ໌ຂອງທ່ານ.</v>
      </c>
      <c r="AM16" s="3" t="str">
        <f>IFERROR(__xludf.DUMMYFUNCTION("GoogleTranslate(C16, ""en"", ""lv"")"),"Izveidojiet savai vietnei pielāgotu kodu, nokopējiet iegulšanas kodu un pievienojiet to vietai, kuru vēlaties rādīt savā vietnē.")</f>
        <v>Izveidojiet savai vietnei pielāgotu kodu, nokopējiet iegulšanas kodu un pievienojiet to vietai, kuru vēlaties rādīt savā vietnē.</v>
      </c>
      <c r="AN16" s="3" t="str">
        <f>IFERROR(__xludf.DUMMYFUNCTION("GoogleTranslate(C16, ""en"", ""lt"")"),"Sukurkite tinkintą savo svetainės kodą, nukopijuokite įterpimo kodą ir pridėkite jį prie vietos, kurią norite rodyti savo svetainėje.")</f>
        <v>Sukurkite tinkintą savo svetainės kodą, nukopijuokite įterpimo kodą ir pridėkite jį prie vietos, kurią norite rodyti savo svetainėje.</v>
      </c>
      <c r="AO16" s="3" t="str">
        <f>IFERROR(__xludf.DUMMYFUNCTION("GoogleTranslate(C16, ""en"", ""mk"")"),"Направете сопствен код за вашата веб-локација и копирајте го кодот за вградување и додајте го на локацијата што сакате да ја прикажете на вашата веб-локација.")</f>
        <v>Направете сопствен код за вашата веб-локација и копирајте го кодот за вградување и додајте го на локацијата што сакате да ја прикажете на вашата веб-локација.</v>
      </c>
      <c r="AP16" s="3" t="str">
        <f>IFERROR(__xludf.DUMMYFUNCTION("GoogleTranslate(C16, ""en"", ""ms"")"),"Buat kod tersuai untuk tapak web anda dan salin kod benam dan tambahkannya pada lokasi yang anda mahu paparkan di tapak web anda.")</f>
        <v>Buat kod tersuai untuk tapak web anda dan salin kod benam dan tambahkannya pada lokasi yang anda mahu paparkan di tapak web anda.</v>
      </c>
      <c r="AQ16" s="3" t="str">
        <f>IFERROR(__xludf.DUMMYFUNCTION("GoogleTranslate(C16, ""en"", ""ml"")"),"നിങ്ങളുടെ വെബ്‌സൈറ്റിനായി ഒരു ഇഷ്‌ടാനുസൃത കോഡ് സൃഷ്‌ടിച്ച് എംബെഡ് കോഡ് പകർത്തി നിങ്ങളുടെ വെബ്‌സൈറ്റിൽ പ്രദർശിപ്പിക്കാൻ ആഗ്രഹിക്കുന്ന സ്ഥലത്തേക്ക് ചേർക്കുക.")</f>
        <v>നിങ്ങളുടെ വെബ്‌സൈറ്റിനായി ഒരു ഇഷ്‌ടാനുസൃത കോഡ് സൃഷ്‌ടിച്ച് എംബെഡ് കോഡ് പകർത്തി നിങ്ങളുടെ വെബ്‌സൈറ്റിൽ പ്രദർശിപ്പിക്കാൻ ആഗ്രഹിക്കുന്ന സ്ഥലത്തേക്ക് ചേർക്കുക.</v>
      </c>
      <c r="AR16" s="3" t="str">
        <f>IFERROR(__xludf.DUMMYFUNCTION("GoogleTranslate(C16, ""en"", ""mr"")"),"तुमच्या वेबसाइटसाठी एक सानुकूल कोड तयार करा आणि एम्बेड कोड कॉपी करा आणि तुम्हाला तुमच्या वेबसाइटवर प्रदर्शित करायचे असलेल्या स्थानावर जोडा.")</f>
        <v>तुमच्या वेबसाइटसाठी एक सानुकूल कोड तयार करा आणि एम्बेड कोड कॉपी करा आणि तुम्हाला तुमच्या वेबसाइटवर प्रदर्शित करायचे असलेल्या स्थानावर जोडा.</v>
      </c>
      <c r="AS16" s="3" t="str">
        <f>IFERROR(__xludf.DUMMYFUNCTION("GoogleTranslate(C16, ""en"", ""mn"")"),"Вэбсайтдаа тусгай код үүсгэж, оруулах кодыг хуулж, вэбсайт дээрээ харуулахыг хүссэн байршилдаа нэмнэ үү.")</f>
        <v>Вэбсайтдаа тусгай код үүсгэж, оруулах кодыг хуулж, вэбсайт дээрээ харуулахыг хүссэн байршилдаа нэмнэ үү.</v>
      </c>
      <c r="AT16" s="3" t="str">
        <f>IFERROR(__xludf.DUMMYFUNCTION("GoogleTranslate(C16, ""en"", ""ne"")"),"तपाइँको वेबसाइट को लागी एक अनुकूलन कोड सिर्जना गर्नुहोस् र इम्बेड कोड प्रतिलिपि गर्नुहोस् र तपाइँ तपाइँको वेबसाइट मा प्रदर्शन गर्न चाहानु भएको स्थान मा थप्नुहोस्।")</f>
        <v>तपाइँको वेबसाइट को लागी एक अनुकूलन कोड सिर्जना गर्नुहोस् र इम्बेड कोड प्रतिलिपि गर्नुहोस् र तपाइँ तपाइँको वेबसाइट मा प्रदर्शन गर्न चाहानु भएको स्थान मा थप्नुहोस्।</v>
      </c>
      <c r="AU16" s="3" t="str">
        <f>IFERROR(__xludf.DUMMYFUNCTION("GoogleTranslate(C16, ""en"", ""nb"")"),"Lag en egendefinert kode for nettstedet ditt og kopier innbyggingskoden og legg den til stedet du vil vise på nettstedet ditt.")</f>
        <v>Lag en egendefinert kode for nettstedet ditt og kopier innbyggingskoden og legg den til stedet du vil vise på nettstedet ditt.</v>
      </c>
      <c r="AV16" s="3" t="str">
        <f>IFERROR(__xludf.DUMMYFUNCTION("GoogleTranslate(C16, ""en"", ""fa"")"),"یک کد سفارشی برای وب سایت خود ایجاد کنید و کد تعبیه شده را کپی کنید و آن را به مکانی که می خواهید در وب سایت خود نمایش دهید اضافه کنید.")</f>
        <v>یک کد سفارشی برای وب سایت خود ایجاد کنید و کد تعبیه شده را کپی کنید و آن را به مکانی که می خواهید در وب سایت خود نمایش دهید اضافه کنید.</v>
      </c>
      <c r="AW16" s="3" t="str">
        <f>IFERROR(__xludf.DUMMYFUNCTION("GoogleTranslate(C16, ""en"", ""pl"")"),"Utwórz niestandardowy kod dla swojej witryny, skopiuj kod do osadzenia i dodaj go do lokalizacji, którą chcesz wyświetlić na swojej stronie.")</f>
        <v>Utwórz niestandardowy kod dla swojej witryny, skopiuj kod do osadzenia i dodaj go do lokalizacji, którą chcesz wyświetlić na swojej stronie.</v>
      </c>
      <c r="AX16" s="3" t="str">
        <f>IFERROR(__xludf.DUMMYFUNCTION("GoogleTranslate(C16, ""en"", ""pt"")"),"Crie um código personalizado para o seu site, copie o código incorporado e adicione-o ao local que deseja exibir no seu site.")</f>
        <v>Crie um código personalizado para o seu site, copie o código incorporado e adicione-o ao local que deseja exibir no seu site.</v>
      </c>
      <c r="AY16" s="3" t="str">
        <f>IFERROR(__xludf.DUMMYFUNCTION("GoogleTranslate(C16, ""en"", ""ro"")"),"Creați un cod personalizat pentru site-ul dvs. și copiați codul de încorporare și adăugați-l la locația pe care doriți să o afișați pe site-ul dvs.")</f>
        <v>Creați un cod personalizat pentru site-ul dvs. și copiați codul de încorporare și adăugați-l la locația pe care doriți să o afișați pe site-ul dvs.</v>
      </c>
      <c r="AZ16" s="3" t="str">
        <f>IFERROR(__xludf.DUMMYFUNCTION("GoogleTranslate(C16, ""en"", ""ru"")"),"Создайте собственный код для своего веб-сайта, скопируйте код для внедрения и добавьте его в то место, которое вы хотите отобразить на своем веб-сайте.")</f>
        <v>Создайте собственный код для своего веб-сайта, скопируйте код для внедрения и добавьте его в то место, которое вы хотите отобразить на своем веб-сайте.</v>
      </c>
      <c r="BA16" s="3" t="str">
        <f>IFERROR(__xludf.DUMMYFUNCTION("GoogleTranslate(C16, ""en"", ""sr"")"),"Направите прилагођени код за своју веб локацију и копирајте код за уградњу и додајте га на локацију коју желите да прикажете на својој веб локацији.")</f>
        <v>Направите прилагођени код за своју веб локацију и копирајте код за уградњу и додајте га на локацију коју желите да прикажете на својој веб локацији.</v>
      </c>
      <c r="BB16" s="3" t="str">
        <f>IFERROR(__xludf.DUMMYFUNCTION("GoogleTranslate(C16, ""en"", ""si"")"),"ඔබේ වෙබ් අඩවිය සඳහා අභිරුචි කේතයක් සාදා කාවැද්දූ කේතය පිටපත් කර එය ඔබේ වෙබ් අඩවියේ පෙන්වීමට අවශ්‍ය ස්ථානයට එක් කරන්න.")</f>
        <v>ඔබේ වෙබ් අඩවිය සඳහා අභිරුචි කේතයක් සාදා කාවැද්දූ කේතය පිටපත් කර එය ඔබේ වෙබ් අඩවියේ පෙන්වීමට අවශ්‍ය ස්ථානයට එක් කරන්න.</v>
      </c>
      <c r="BC16" s="3" t="str">
        <f>IFERROR(__xludf.DUMMYFUNCTION("GoogleTranslate(C16, ""en"", ""sk"")"),"Vytvorte si vlastný kód pre svoj web a skopírujte kód na vloženie a pridajte ho na miesto, ktoré chcete zobraziť na svojej webovej lokalite.")</f>
        <v>Vytvorte si vlastný kód pre svoj web a skopírujte kód na vloženie a pridajte ho na miesto, ktoré chcete zobraziť na svojej webovej lokalite.</v>
      </c>
      <c r="BD16" s="3" t="str">
        <f>IFERROR(__xludf.DUMMYFUNCTION("GoogleTranslate(C16, ""en"", ""sl"")"),"Ustvarite kodo po meri za svoje spletno mesto in kopirajte vdelano kodo ter jo dodajte na mesto, ki ga želite prikazati na svojem spletnem mestu.")</f>
        <v>Ustvarite kodo po meri za svoje spletno mesto in kopirajte vdelano kodo ter jo dodajte na mesto, ki ga želite prikazati na svojem spletnem mestu.</v>
      </c>
      <c r="BE16" s="3" t="str">
        <f>IFERROR(__xludf.DUMMYFUNCTION("GoogleTranslate(C16, ""en"", ""es"")"),"Cree un código personalizado para su sitio web, copie el código de inserción y agréguelo a la ubicación que desea mostrar en su sitio web.")</f>
        <v>Cree un código personalizado para su sitio web, copie el código de inserción y agréguelo a la ubicación que desea mostrar en su sitio web.</v>
      </c>
      <c r="BF16" s="3" t="str">
        <f>IFERROR(__xludf.DUMMYFUNCTION("GoogleTranslate(C16, ""en"", ""sw"")"),"Unda msimbo maalum wa tovuti yako na unakili msimbo uliopachikwa na uuongeze kwenye eneo unalotaka kuonyesha kwenye tovuti yako.")</f>
        <v>Unda msimbo maalum wa tovuti yako na unakili msimbo uliopachikwa na uuongeze kwenye eneo unalotaka kuonyesha kwenye tovuti yako.</v>
      </c>
      <c r="BG16" s="3" t="str">
        <f>IFERROR(__xludf.DUMMYFUNCTION("GoogleTranslate(C16, ""en"", ""sv"")"),"Skapa en anpassad kod för din webbplats och kopiera inbäddningskoden och lägg till den på den plats du vill visa på din webbplats.")</f>
        <v>Skapa en anpassad kod för din webbplats och kopiera inbäddningskoden och lägg till den på den plats du vill visa på din webbplats.</v>
      </c>
      <c r="BH16" s="3" t="str">
        <f>IFERROR(__xludf.DUMMYFUNCTION("GoogleTranslate(C16, ""en"", ""te"")"),"మీ వెబ్‌సైట్ కోసం అనుకూల కోడ్‌ను సృష్టించండి మరియు పొందుపరిచిన కోడ్‌ను కాపీ చేసి, మీ వెబ్‌సైట్‌లో మీరు ప్రదర్శించాలనుకుంటున్న స్థానానికి జోడించండి.")</f>
        <v>మీ వెబ్‌సైట్ కోసం అనుకూల కోడ్‌ను సృష్టించండి మరియు పొందుపరిచిన కోడ్‌ను కాపీ చేసి, మీ వెబ్‌సైట్‌లో మీరు ప్రదర్శించాలనుకుంటున్న స్థానానికి జోడించండి.</v>
      </c>
      <c r="BI16" s="3" t="str">
        <f>IFERROR(__xludf.DUMMYFUNCTION("GoogleTranslate(C16, ""en"", ""th"")"),"สร้างโค้ดที่กำหนดเองสำหรับเว็บไซต์ของคุณ และคัดลอกโค้ดที่ฝังไว้และเพิ่มลงในตำแหน่งที่คุณต้องการแสดงบนเว็บไซต์ของคุณ")</f>
        <v>สร้างโค้ดที่กำหนดเองสำหรับเว็บไซต์ของคุณ และคัดลอกโค้ดที่ฝังไว้และเพิ่มลงในตำแหน่งที่คุณต้องการแสดงบนเว็บไซต์ของคุณ</v>
      </c>
      <c r="BJ16" s="3" t="str">
        <f>IFERROR(__xludf.DUMMYFUNCTION("GoogleTranslate(C16, ""en"", ""tr"")"),"Web siteniz için özel bir kod oluşturun ve yerleştirme kodunu kopyalayıp web sitenizde görüntülemek istediğiniz konuma ekleyin.")</f>
        <v>Web siteniz için özel bir kod oluşturun ve yerleştirme kodunu kopyalayıp web sitenizde görüntülemek istediğiniz konuma ekleyin.</v>
      </c>
      <c r="BK16" s="3" t="str">
        <f>IFERROR(__xludf.DUMMYFUNCTION("GoogleTranslate(C16, ""en"", ""uk"")"),"Створіть спеціальний код для свого веб-сайту та скопіюйте код для вбудовування та додайте його до місця, яке ви хочете відображати на своєму веб-сайті.")</f>
        <v>Створіть спеціальний код для свого веб-сайту та скопіюйте код для вбудовування та додайте його до місця, яке ви хочете відображати на своєму веб-сайті.</v>
      </c>
      <c r="BL16" s="3" t="str">
        <f>IFERROR(__xludf.DUMMYFUNCTION("GoogleTranslate(C16, ""en"", ""zu"")"),"Dala ikhodi yangokwezifiso yewebhusayithi yakho bese ukopisha ikhodi yokushumeka bese uyengeza endaweni ofuna ukuyibonisa kuwebhusayithi yakho.")</f>
        <v>Dala ikhodi yangokwezifiso yewebhusayithi yakho bese ukopisha ikhodi yokushumeka bese uyengeza endaweni ofuna ukuyibonisa kuwebhusayithi yakho.</v>
      </c>
    </row>
    <row r="17">
      <c r="A17" s="1" t="str">
        <f t="shared" si="1"/>
        <v>Location</v>
      </c>
      <c r="B17" s="4" t="s">
        <v>79</v>
      </c>
      <c r="C17" s="1" t="str">
        <f t="shared" si="2"/>
        <v>Location</v>
      </c>
      <c r="D17" s="3" t="str">
        <f>IFERROR(__xludf.DUMMYFUNCTION("GoogleTranslate(C17, ""en"", ""es"")"),"Ubicación")</f>
        <v>Ubicación</v>
      </c>
      <c r="E17" s="3" t="str">
        <f>IFERROR(__xludf.DUMMYFUNCTION("GoogleTranslate(C17, ""en"", ""ar"")"),"موقع")</f>
        <v>موقع</v>
      </c>
      <c r="F17" s="3" t="str">
        <f>IFERROR(__xludf.DUMMYFUNCTION("GoogleTranslate(C17, ""en"", ""hy"")"),"Գտնվելու վայրը")</f>
        <v>Գտնվելու վայրը</v>
      </c>
      <c r="G17" s="3" t="str">
        <f>IFERROR(__xludf.DUMMYFUNCTION("GoogleTranslate(C17, ""en"", ""vi"")"),"Vị trí")</f>
        <v>Vị trí</v>
      </c>
      <c r="H17" s="3" t="str">
        <f>IFERROR(__xludf.DUMMYFUNCTION("GoogleTranslate(C17, ""en"", ""az"")"),"Məkan")</f>
        <v>Məkan</v>
      </c>
      <c r="I17" s="3" t="str">
        <f>IFERROR(__xludf.DUMMYFUNCTION("GoogleTranslate(C17, ""en"", ""eu"")"),"Kokapena")</f>
        <v>Kokapena</v>
      </c>
      <c r="J17" s="3" t="str">
        <f>IFERROR(__xludf.DUMMYFUNCTION("GoogleTranslate(C17, ""en"", ""be"")"),"Размяшчэнне")</f>
        <v>Размяшчэнне</v>
      </c>
      <c r="K17" s="3" t="str">
        <f>IFERROR(__xludf.DUMMYFUNCTION("GoogleTranslate(C17, ""en"", ""bn"")"),"অবস্থান")</f>
        <v>অবস্থান</v>
      </c>
      <c r="L17" s="3" t="str">
        <f>IFERROR(__xludf.DUMMYFUNCTION("GoogleTranslate(C17, ""en"", ""bg"")"),"Местоположение")</f>
        <v>Местоположение</v>
      </c>
      <c r="M17" s="3" t="str">
        <f>IFERROR(__xludf.DUMMYFUNCTION("GoogleTranslate(C17, ""en"", ""my"")"),"တည်နေရာ")</f>
        <v>တည်နေရာ</v>
      </c>
      <c r="N17" s="3" t="str">
        <f>IFERROR(__xludf.DUMMYFUNCTION("GoogleTranslate(C17, ""en"", ""ca"")"),"Ubicació")</f>
        <v>Ubicació</v>
      </c>
      <c r="O17" s="3" t="str">
        <f>IFERROR(__xludf.DUMMYFUNCTION("GoogleTranslate(C17, ""en"", ""zh-cn"")"),"地点")</f>
        <v>地点</v>
      </c>
      <c r="P17" s="3" t="str">
        <f>IFERROR(__xludf.DUMMYFUNCTION("GoogleTranslate(C17, ""en"", ""zh-TW"")"),"地點")</f>
        <v>地點</v>
      </c>
      <c r="Q17" s="3" t="str">
        <f>IFERROR(__xludf.DUMMYFUNCTION("GoogleTranslate(C17, ""en"", ""hr"")"),"Mjesto")</f>
        <v>Mjesto</v>
      </c>
      <c r="R17" s="3" t="str">
        <f>IFERROR(__xludf.DUMMYFUNCTION("GoogleTranslate(C17, ""en"", ""cs"")"),"Umístění")</f>
        <v>Umístění</v>
      </c>
      <c r="S17" s="3" t="str">
        <f>IFERROR(__xludf.DUMMYFUNCTION("GoogleTranslate(C17, ""en"", ""da"")"),"Beliggenhed")</f>
        <v>Beliggenhed</v>
      </c>
      <c r="T17" s="3" t="str">
        <f>IFERROR(__xludf.DUMMYFUNCTION("GoogleTranslate(C17, ""en"", ""nl"")"),"Locatie")</f>
        <v>Locatie</v>
      </c>
      <c r="U17" s="3" t="str">
        <f>IFERROR(__xludf.DUMMYFUNCTION("GoogleTranslate(C17, ""en"", ""et"")"),"Asukoht")</f>
        <v>Asukoht</v>
      </c>
      <c r="V17" s="1" t="str">
        <f t="shared" si="3"/>
        <v>Location</v>
      </c>
      <c r="W17" s="3" t="str">
        <f>IFERROR(__xludf.DUMMYFUNCTION("GoogleTranslate(C17, ""en"", ""fi"")"),"Sijainti")</f>
        <v>Sijainti</v>
      </c>
      <c r="X17" s="3" t="str">
        <f>IFERROR(__xludf.DUMMYFUNCTION("GoogleTranslate(C17, ""en"", ""fr"")"),"Emplacement")</f>
        <v>Emplacement</v>
      </c>
      <c r="Y17" s="3" t="str">
        <f>IFERROR(__xludf.DUMMYFUNCTION("GoogleTranslate(C17, ""en"", ""de"")"),"Standort")</f>
        <v>Standort</v>
      </c>
      <c r="Z17" s="3" t="str">
        <f>IFERROR(__xludf.DUMMYFUNCTION("GoogleTranslate(C17, ""en"", ""el"")"),"Τοποθεσία")</f>
        <v>Τοποθεσία</v>
      </c>
      <c r="AA17" s="3" t="str">
        <f>IFERROR(__xludf.DUMMYFUNCTION("GoogleTranslate(C17, ""en"", ""iw"")"),"מִקוּם")</f>
        <v>מִקוּם</v>
      </c>
      <c r="AB17" s="3" t="str">
        <f>IFERROR(__xludf.DUMMYFUNCTION("GoogleTranslate(C17, ""en"", ""hi"")"),"जगह")</f>
        <v>जगह</v>
      </c>
      <c r="AC17" s="3" t="str">
        <f>IFERROR(__xludf.DUMMYFUNCTION("GoogleTranslate(C17, ""en"", ""hu"")"),"Elhelyezkedés")</f>
        <v>Elhelyezkedés</v>
      </c>
      <c r="AD17" s="3" t="str">
        <f>IFERROR(__xludf.DUMMYFUNCTION("GoogleTranslate(C17, ""en"", ""is"")"),"Staðsetning")</f>
        <v>Staðsetning</v>
      </c>
      <c r="AE17" s="3" t="str">
        <f>IFERROR(__xludf.DUMMYFUNCTION("GoogleTranslate(C17, ""en"", ""id"")"),"Lokasi")</f>
        <v>Lokasi</v>
      </c>
      <c r="AF17" s="3" t="str">
        <f>IFERROR(__xludf.DUMMYFUNCTION("GoogleTranslate(C17, ""en"", ""in"")"),"Lokasi")</f>
        <v>Lokasi</v>
      </c>
      <c r="AG17" s="3" t="str">
        <f>IFERROR(__xludf.DUMMYFUNCTION("GoogleTranslate(C17, ""en"", ""it"")"),"Posizione")</f>
        <v>Posizione</v>
      </c>
      <c r="AH17" s="3" t="str">
        <f>IFERROR(__xludf.DUMMYFUNCTION("GoogleTranslate(C17, ""en"", ""ja"")"),"位置")</f>
        <v>位置</v>
      </c>
      <c r="AI17" s="3" t="str">
        <f>IFERROR(__xludf.DUMMYFUNCTION("GoogleTranslate(C17, ""en"", ""kn"")"),"ಸ್ಥಳ")</f>
        <v>ಸ್ಥಳ</v>
      </c>
      <c r="AJ17" s="3" t="str">
        <f>IFERROR(__xludf.DUMMYFUNCTION("GoogleTranslate(C17, ""en"", ""km"")"),"ទីតាំង")</f>
        <v>ទីតាំង</v>
      </c>
      <c r="AK17" s="3" t="str">
        <f>IFERROR(__xludf.DUMMYFUNCTION("GoogleTranslate(C17, ""en"", ""ko"")"),"위치")</f>
        <v>위치</v>
      </c>
      <c r="AL17" s="3" t="str">
        <f>IFERROR(__xludf.DUMMYFUNCTION("GoogleTranslate(C17, ""en"", ""lo"")"),"ສະຖານທີ່")</f>
        <v>ສະຖານທີ່</v>
      </c>
      <c r="AM17" s="3" t="str">
        <f>IFERROR(__xludf.DUMMYFUNCTION("GoogleTranslate(C17, ""en"", ""lv"")"),"Atrašanās vieta")</f>
        <v>Atrašanās vieta</v>
      </c>
      <c r="AN17" s="3" t="str">
        <f>IFERROR(__xludf.DUMMYFUNCTION("GoogleTranslate(C17, ""en"", ""lt"")"),"Vieta")</f>
        <v>Vieta</v>
      </c>
      <c r="AO17" s="3" t="str">
        <f>IFERROR(__xludf.DUMMYFUNCTION("GoogleTranslate(C17, ""en"", ""mk"")"),"Локација")</f>
        <v>Локација</v>
      </c>
      <c r="AP17" s="3" t="str">
        <f>IFERROR(__xludf.DUMMYFUNCTION("GoogleTranslate(C17, ""en"", ""ms"")"),"Lokasi")</f>
        <v>Lokasi</v>
      </c>
      <c r="AQ17" s="3" t="str">
        <f>IFERROR(__xludf.DUMMYFUNCTION("GoogleTranslate(C17, ""en"", ""ml"")"),"സ്ഥാനം")</f>
        <v>സ്ഥാനം</v>
      </c>
      <c r="AR17" s="3" t="str">
        <f>IFERROR(__xludf.DUMMYFUNCTION("GoogleTranslate(C17, ""en"", ""mr"")"),"स्थान")</f>
        <v>स्थान</v>
      </c>
      <c r="AS17" s="3" t="str">
        <f>IFERROR(__xludf.DUMMYFUNCTION("GoogleTranslate(C17, ""en"", ""mn"")"),"Байршил")</f>
        <v>Байршил</v>
      </c>
      <c r="AT17" s="3" t="str">
        <f>IFERROR(__xludf.DUMMYFUNCTION("GoogleTranslate(C17, ""en"", ""ne"")"),"स्थान")</f>
        <v>स्थान</v>
      </c>
      <c r="AU17" s="3" t="str">
        <f>IFERROR(__xludf.DUMMYFUNCTION("GoogleTranslate(C17, ""en"", ""nb"")"),"Sted")</f>
        <v>Sted</v>
      </c>
      <c r="AV17" s="3" t="str">
        <f>IFERROR(__xludf.DUMMYFUNCTION("GoogleTranslate(C17, ""en"", ""fa"")"),"مکان")</f>
        <v>مکان</v>
      </c>
      <c r="AW17" s="3" t="str">
        <f>IFERROR(__xludf.DUMMYFUNCTION("GoogleTranslate(C17, ""en"", ""pl"")"),"Lokalizacja")</f>
        <v>Lokalizacja</v>
      </c>
      <c r="AX17" s="3" t="str">
        <f>IFERROR(__xludf.DUMMYFUNCTION("GoogleTranslate(C17, ""en"", ""pt"")"),"Localização")</f>
        <v>Localização</v>
      </c>
      <c r="AY17" s="3" t="str">
        <f>IFERROR(__xludf.DUMMYFUNCTION("GoogleTranslate(C17, ""en"", ""ro"")"),"Locaţie")</f>
        <v>Locaţie</v>
      </c>
      <c r="AZ17" s="3" t="str">
        <f>IFERROR(__xludf.DUMMYFUNCTION("GoogleTranslate(C17, ""en"", ""ru"")"),"Расположение")</f>
        <v>Расположение</v>
      </c>
      <c r="BA17" s="3" t="str">
        <f>IFERROR(__xludf.DUMMYFUNCTION("GoogleTranslate(C17, ""en"", ""sr"")"),"Локација")</f>
        <v>Локација</v>
      </c>
      <c r="BB17" s="3" t="str">
        <f>IFERROR(__xludf.DUMMYFUNCTION("GoogleTranslate(C17, ""en"", ""si"")"),"ස්ථානය")</f>
        <v>ස්ථානය</v>
      </c>
      <c r="BC17" s="3" t="str">
        <f>IFERROR(__xludf.DUMMYFUNCTION("GoogleTranslate(C17, ""en"", ""sk"")"),"Poloha")</f>
        <v>Poloha</v>
      </c>
      <c r="BD17" s="3" t="str">
        <f>IFERROR(__xludf.DUMMYFUNCTION("GoogleTranslate(C17, ""en"", ""sl"")"),"Lokacija")</f>
        <v>Lokacija</v>
      </c>
      <c r="BE17" s="3" t="str">
        <f>IFERROR(__xludf.DUMMYFUNCTION("GoogleTranslate(C17, ""en"", ""es"")"),"Ubicación")</f>
        <v>Ubicación</v>
      </c>
      <c r="BF17" s="3" t="str">
        <f>IFERROR(__xludf.DUMMYFUNCTION("GoogleTranslate(C17, ""en"", ""sw"")"),"Mahali")</f>
        <v>Mahali</v>
      </c>
      <c r="BG17" s="3" t="str">
        <f>IFERROR(__xludf.DUMMYFUNCTION("GoogleTranslate(C17, ""en"", ""sv"")"),"Plats")</f>
        <v>Plats</v>
      </c>
      <c r="BH17" s="3" t="str">
        <f>IFERROR(__xludf.DUMMYFUNCTION("GoogleTranslate(C17, ""en"", ""te"")"),"స్థానం")</f>
        <v>స్థానం</v>
      </c>
      <c r="BI17" s="3" t="str">
        <f>IFERROR(__xludf.DUMMYFUNCTION("GoogleTranslate(C17, ""en"", ""th"")"),"ที่ตั้ง")</f>
        <v>ที่ตั้ง</v>
      </c>
      <c r="BJ17" s="3" t="str">
        <f>IFERROR(__xludf.DUMMYFUNCTION("GoogleTranslate(C17, ""en"", ""tr"")"),"Konum")</f>
        <v>Konum</v>
      </c>
      <c r="BK17" s="3" t="str">
        <f>IFERROR(__xludf.DUMMYFUNCTION("GoogleTranslate(C17, ""en"", ""uk"")"),"Розташування")</f>
        <v>Розташування</v>
      </c>
      <c r="BL17" s="3" t="str">
        <f>IFERROR(__xludf.DUMMYFUNCTION("GoogleTranslate(C17, ""en"", ""zu"")"),"Indawo")</f>
        <v>Indawo</v>
      </c>
    </row>
    <row r="18">
      <c r="A18" s="1" t="str">
        <f t="shared" si="1"/>
        <v>Width</v>
      </c>
      <c r="B18" s="4" t="s">
        <v>80</v>
      </c>
      <c r="C18" s="1" t="str">
        <f t="shared" si="2"/>
        <v>Width</v>
      </c>
      <c r="D18" s="3" t="str">
        <f>IFERROR(__xludf.DUMMYFUNCTION("GoogleTranslate(C18, ""en"", ""es"")"),"Ancho")</f>
        <v>Ancho</v>
      </c>
      <c r="E18" s="3" t="str">
        <f>IFERROR(__xludf.DUMMYFUNCTION("GoogleTranslate(C18, ""en"", ""ar"")"),"عرض")</f>
        <v>عرض</v>
      </c>
      <c r="F18" s="3" t="str">
        <f>IFERROR(__xludf.DUMMYFUNCTION("GoogleTranslate(C18, ""en"", ""hy"")"),"Լայնություն")</f>
        <v>Լայնություն</v>
      </c>
      <c r="G18" s="3" t="str">
        <f>IFERROR(__xludf.DUMMYFUNCTION("GoogleTranslate(C18, ""en"", ""vi"")"),"Chiều rộng")</f>
        <v>Chiều rộng</v>
      </c>
      <c r="H18" s="3" t="str">
        <f>IFERROR(__xludf.DUMMYFUNCTION("GoogleTranslate(C18, ""en"", ""az"")"),"Genişlik")</f>
        <v>Genişlik</v>
      </c>
      <c r="I18" s="3" t="str">
        <f>IFERROR(__xludf.DUMMYFUNCTION("GoogleTranslate(C18, ""en"", ""eu"")"),"Zabalera")</f>
        <v>Zabalera</v>
      </c>
      <c r="J18" s="3" t="str">
        <f>IFERROR(__xludf.DUMMYFUNCTION("GoogleTranslate(C18, ""en"", ""be"")"),"Шырыня")</f>
        <v>Шырыня</v>
      </c>
      <c r="K18" s="3" t="str">
        <f>IFERROR(__xludf.DUMMYFUNCTION("GoogleTranslate(C18, ""en"", ""bn"")"),"প্রস্থ")</f>
        <v>প্রস্থ</v>
      </c>
      <c r="L18" s="3" t="str">
        <f>IFERROR(__xludf.DUMMYFUNCTION("GoogleTranslate(C18, ""en"", ""bg"")"),"ширина")</f>
        <v>ширина</v>
      </c>
      <c r="M18" s="3" t="str">
        <f>IFERROR(__xludf.DUMMYFUNCTION("GoogleTranslate(C18, ""en"", ""my"")"),"အကျယ်")</f>
        <v>အကျယ်</v>
      </c>
      <c r="N18" s="3" t="str">
        <f>IFERROR(__xludf.DUMMYFUNCTION("GoogleTranslate(C18, ""en"", ""ca"")"),"Amplada")</f>
        <v>Amplada</v>
      </c>
      <c r="O18" s="3" t="str">
        <f>IFERROR(__xludf.DUMMYFUNCTION("GoogleTranslate(C18, ""en"", ""zh-cn"")"),"宽度")</f>
        <v>宽度</v>
      </c>
      <c r="P18" s="3" t="str">
        <f>IFERROR(__xludf.DUMMYFUNCTION("GoogleTranslate(C18, ""en"", ""zh-TW"")"),"寬度")</f>
        <v>寬度</v>
      </c>
      <c r="Q18" s="3" t="str">
        <f>IFERROR(__xludf.DUMMYFUNCTION("GoogleTranslate(C18, ""en"", ""hr"")"),"Širina")</f>
        <v>Širina</v>
      </c>
      <c r="R18" s="3" t="str">
        <f>IFERROR(__xludf.DUMMYFUNCTION("GoogleTranslate(C18, ""en"", ""cs"")"),"Šířka")</f>
        <v>Šířka</v>
      </c>
      <c r="S18" s="3" t="str">
        <f>IFERROR(__xludf.DUMMYFUNCTION("GoogleTranslate(C18, ""en"", ""da"")"),"Bredde")</f>
        <v>Bredde</v>
      </c>
      <c r="T18" s="3" t="str">
        <f>IFERROR(__xludf.DUMMYFUNCTION("GoogleTranslate(C18, ""en"", ""nl"")"),"Breedte")</f>
        <v>Breedte</v>
      </c>
      <c r="U18" s="3" t="str">
        <f>IFERROR(__xludf.DUMMYFUNCTION("GoogleTranslate(C18, ""en"", ""et"")"),"Laius")</f>
        <v>Laius</v>
      </c>
      <c r="V18" s="1" t="str">
        <f t="shared" si="3"/>
        <v>Width</v>
      </c>
      <c r="W18" s="3" t="str">
        <f>IFERROR(__xludf.DUMMYFUNCTION("GoogleTranslate(C18, ""en"", ""fi"")"),"Leveys")</f>
        <v>Leveys</v>
      </c>
      <c r="X18" s="3" t="str">
        <f>IFERROR(__xludf.DUMMYFUNCTION("GoogleTranslate(C18, ""en"", ""fr"")"),"Largeur")</f>
        <v>Largeur</v>
      </c>
      <c r="Y18" s="3" t="str">
        <f>IFERROR(__xludf.DUMMYFUNCTION("GoogleTranslate(C18, ""en"", ""de"")"),"Breite")</f>
        <v>Breite</v>
      </c>
      <c r="Z18" s="3" t="str">
        <f>IFERROR(__xludf.DUMMYFUNCTION("GoogleTranslate(C18, ""en"", ""el"")"),"Πλάτος")</f>
        <v>Πλάτος</v>
      </c>
      <c r="AA18" s="3" t="str">
        <f>IFERROR(__xludf.DUMMYFUNCTION("GoogleTranslate(C18, ""en"", ""iw"")"),"רוֹחַב")</f>
        <v>רוֹחַב</v>
      </c>
      <c r="AB18" s="3" t="str">
        <f>IFERROR(__xludf.DUMMYFUNCTION("GoogleTranslate(C18, ""en"", ""hi"")"),"चौड़ाई")</f>
        <v>चौड़ाई</v>
      </c>
      <c r="AC18" s="3" t="str">
        <f>IFERROR(__xludf.DUMMYFUNCTION("GoogleTranslate(C18, ""en"", ""hu"")"),"Szélesség")</f>
        <v>Szélesség</v>
      </c>
      <c r="AD18" s="3" t="str">
        <f>IFERROR(__xludf.DUMMYFUNCTION("GoogleTranslate(C18, ""en"", ""is"")"),"Breidd")</f>
        <v>Breidd</v>
      </c>
      <c r="AE18" s="3" t="str">
        <f>IFERROR(__xludf.DUMMYFUNCTION("GoogleTranslate(C18, ""en"", ""id"")"),"Lebar")</f>
        <v>Lebar</v>
      </c>
      <c r="AF18" s="3" t="str">
        <f>IFERROR(__xludf.DUMMYFUNCTION("GoogleTranslate(C18, ""en"", ""in"")"),"Lebar")</f>
        <v>Lebar</v>
      </c>
      <c r="AG18" s="3" t="str">
        <f>IFERROR(__xludf.DUMMYFUNCTION("GoogleTranslate(C18, ""en"", ""it"")"),"Larghezza")</f>
        <v>Larghezza</v>
      </c>
      <c r="AH18" s="3" t="str">
        <f>IFERROR(__xludf.DUMMYFUNCTION("GoogleTranslate(C18, ""en"", ""ja"")"),"幅")</f>
        <v>幅</v>
      </c>
      <c r="AI18" s="3" t="str">
        <f>IFERROR(__xludf.DUMMYFUNCTION("GoogleTranslate(C18, ""en"", ""kn"")"),"ಅಗಲ")</f>
        <v>ಅಗಲ</v>
      </c>
      <c r="AJ18" s="3" t="str">
        <f>IFERROR(__xludf.DUMMYFUNCTION("GoogleTranslate(C18, ""en"", ""km"")"),"ទទឹង")</f>
        <v>ទទឹង</v>
      </c>
      <c r="AK18" s="3" t="str">
        <f>IFERROR(__xludf.DUMMYFUNCTION("GoogleTranslate(C18, ""en"", ""ko"")"),"너비")</f>
        <v>너비</v>
      </c>
      <c r="AL18" s="3" t="str">
        <f>IFERROR(__xludf.DUMMYFUNCTION("GoogleTranslate(C18, ""en"", ""lo"")"),"ກວ້າງ")</f>
        <v>ກວ້າງ</v>
      </c>
      <c r="AM18" s="3" t="str">
        <f>IFERROR(__xludf.DUMMYFUNCTION("GoogleTranslate(C18, ""en"", ""lv"")"),"Platums")</f>
        <v>Platums</v>
      </c>
      <c r="AN18" s="3" t="str">
        <f>IFERROR(__xludf.DUMMYFUNCTION("GoogleTranslate(C18, ""en"", ""lt"")"),"Plotis")</f>
        <v>Plotis</v>
      </c>
      <c r="AO18" s="3" t="str">
        <f>IFERROR(__xludf.DUMMYFUNCTION("GoogleTranslate(C18, ""en"", ""mk"")"),"Ширина")</f>
        <v>Ширина</v>
      </c>
      <c r="AP18" s="3" t="str">
        <f>IFERROR(__xludf.DUMMYFUNCTION("GoogleTranslate(C18, ""en"", ""ms"")"),"Lebar")</f>
        <v>Lebar</v>
      </c>
      <c r="AQ18" s="3" t="str">
        <f>IFERROR(__xludf.DUMMYFUNCTION("GoogleTranslate(C18, ""en"", ""ml"")"),"വീതി")</f>
        <v>വീതി</v>
      </c>
      <c r="AR18" s="3" t="str">
        <f>IFERROR(__xludf.DUMMYFUNCTION("GoogleTranslate(C18, ""en"", ""mr"")"),"रुंदी")</f>
        <v>रुंदी</v>
      </c>
      <c r="AS18" s="3" t="str">
        <f>IFERROR(__xludf.DUMMYFUNCTION("GoogleTranslate(C18, ""en"", ""mn"")"),"Өргөн")</f>
        <v>Өргөн</v>
      </c>
      <c r="AT18" s="3" t="str">
        <f>IFERROR(__xludf.DUMMYFUNCTION("GoogleTranslate(C18, ""en"", ""ne"")"),"चौडाइ")</f>
        <v>चौडाइ</v>
      </c>
      <c r="AU18" s="3" t="str">
        <f>IFERROR(__xludf.DUMMYFUNCTION("GoogleTranslate(C18, ""en"", ""nb"")"),"Bredde")</f>
        <v>Bredde</v>
      </c>
      <c r="AV18" s="3" t="str">
        <f>IFERROR(__xludf.DUMMYFUNCTION("GoogleTranslate(C18, ""en"", ""fa"")"),"عرض")</f>
        <v>عرض</v>
      </c>
      <c r="AW18" s="3" t="str">
        <f>IFERROR(__xludf.DUMMYFUNCTION("GoogleTranslate(C18, ""en"", ""pl"")"),"Szerokość")</f>
        <v>Szerokość</v>
      </c>
      <c r="AX18" s="3" t="str">
        <f>IFERROR(__xludf.DUMMYFUNCTION("GoogleTranslate(C18, ""en"", ""pt"")"),"Largura")</f>
        <v>Largura</v>
      </c>
      <c r="AY18" s="3" t="str">
        <f>IFERROR(__xludf.DUMMYFUNCTION("GoogleTranslate(C18, ""en"", ""ro"")"),"Lăţime")</f>
        <v>Lăţime</v>
      </c>
      <c r="AZ18" s="3" t="str">
        <f>IFERROR(__xludf.DUMMYFUNCTION("GoogleTranslate(C18, ""en"", ""ru"")"),"Ширина")</f>
        <v>Ширина</v>
      </c>
      <c r="BA18" s="3" t="str">
        <f>IFERROR(__xludf.DUMMYFUNCTION("GoogleTranslate(C18, ""en"", ""sr"")"),"Ширина")</f>
        <v>Ширина</v>
      </c>
      <c r="BB18" s="3" t="str">
        <f>IFERROR(__xludf.DUMMYFUNCTION("GoogleTranslate(C18, ""en"", ""si"")"),"පළල")</f>
        <v>පළල</v>
      </c>
      <c r="BC18" s="3" t="str">
        <f>IFERROR(__xludf.DUMMYFUNCTION("GoogleTranslate(C18, ""en"", ""sk"")"),"šírka")</f>
        <v>šírka</v>
      </c>
      <c r="BD18" s="3" t="str">
        <f>IFERROR(__xludf.DUMMYFUNCTION("GoogleTranslate(C18, ""en"", ""sl"")"),"širina")</f>
        <v>širina</v>
      </c>
      <c r="BE18" s="3" t="str">
        <f>IFERROR(__xludf.DUMMYFUNCTION("GoogleTranslate(C18, ""en"", ""es"")"),"Ancho")</f>
        <v>Ancho</v>
      </c>
      <c r="BF18" s="3" t="str">
        <f>IFERROR(__xludf.DUMMYFUNCTION("GoogleTranslate(C18, ""en"", ""sw"")"),"Upana")</f>
        <v>Upana</v>
      </c>
      <c r="BG18" s="3" t="str">
        <f>IFERROR(__xludf.DUMMYFUNCTION("GoogleTranslate(C18, ""en"", ""sv"")"),"Bredd")</f>
        <v>Bredd</v>
      </c>
      <c r="BH18" s="3" t="str">
        <f>IFERROR(__xludf.DUMMYFUNCTION("GoogleTranslate(C18, ""en"", ""te"")"),"వెడల్పు")</f>
        <v>వెడల్పు</v>
      </c>
      <c r="BI18" s="3" t="str">
        <f>IFERROR(__xludf.DUMMYFUNCTION("GoogleTranslate(C18, ""en"", ""th"")"),"ความกว้าง")</f>
        <v>ความกว้าง</v>
      </c>
      <c r="BJ18" s="3" t="str">
        <f>IFERROR(__xludf.DUMMYFUNCTION("GoogleTranslate(C18, ""en"", ""tr"")"),"Genişlik")</f>
        <v>Genişlik</v>
      </c>
      <c r="BK18" s="3" t="str">
        <f>IFERROR(__xludf.DUMMYFUNCTION("GoogleTranslate(C18, ""en"", ""uk"")"),"Ширина")</f>
        <v>Ширина</v>
      </c>
      <c r="BL18" s="3" t="str">
        <f>IFERROR(__xludf.DUMMYFUNCTION("GoogleTranslate(C18, ""en"", ""zu"")"),"Ububanzi")</f>
        <v>Ububanzi</v>
      </c>
    </row>
    <row r="19">
      <c r="A19" s="1" t="str">
        <f t="shared" si="1"/>
        <v>Sampling</v>
      </c>
      <c r="B19" s="4" t="s">
        <v>81</v>
      </c>
      <c r="C19" s="1" t="str">
        <f t="shared" si="2"/>
        <v>Sampling</v>
      </c>
      <c r="D19" s="3" t="str">
        <f>IFERROR(__xludf.DUMMYFUNCTION("GoogleTranslate(C19, ""en"", ""es"")"),"Muestreo")</f>
        <v>Muestreo</v>
      </c>
      <c r="E19" s="3" t="str">
        <f>IFERROR(__xludf.DUMMYFUNCTION("GoogleTranslate(C19, ""en"", ""ar"")"),"أخذ العينات")</f>
        <v>أخذ العينات</v>
      </c>
      <c r="F19" s="3" t="str">
        <f>IFERROR(__xludf.DUMMYFUNCTION("GoogleTranslate(C19, ""en"", ""hy"")"),"Նմուշառում")</f>
        <v>Նմուշառում</v>
      </c>
      <c r="G19" s="3" t="str">
        <f>IFERROR(__xludf.DUMMYFUNCTION("GoogleTranslate(C19, ""en"", ""vi"")"),"Lấy mẫu")</f>
        <v>Lấy mẫu</v>
      </c>
      <c r="H19" s="3" t="str">
        <f>IFERROR(__xludf.DUMMYFUNCTION("GoogleTranslate(C19, ""en"", ""az"")"),"Nümunə götürmə")</f>
        <v>Nümunə götürmə</v>
      </c>
      <c r="I19" s="3" t="str">
        <f>IFERROR(__xludf.DUMMYFUNCTION("GoogleTranslate(C19, ""en"", ""eu"")"),"Laginketa")</f>
        <v>Laginketa</v>
      </c>
      <c r="J19" s="3" t="str">
        <f>IFERROR(__xludf.DUMMYFUNCTION("GoogleTranslate(C19, ""en"", ""be"")"),"Адбор проб")</f>
        <v>Адбор проб</v>
      </c>
      <c r="K19" s="3" t="str">
        <f>IFERROR(__xludf.DUMMYFUNCTION("GoogleTranslate(C19, ""en"", ""bn"")"),"স্যাম্পলিং")</f>
        <v>স্যাম্পলিং</v>
      </c>
      <c r="L19" s="3" t="str">
        <f>IFERROR(__xludf.DUMMYFUNCTION("GoogleTranslate(C19, ""en"", ""bg"")"),"Вземане на проби")</f>
        <v>Вземане на проби</v>
      </c>
      <c r="M19" s="3" t="str">
        <f>IFERROR(__xludf.DUMMYFUNCTION("GoogleTranslate(C19, ""en"", ""my"")"),"နမူနာယူပါ။")</f>
        <v>နမူနာယူပါ။</v>
      </c>
      <c r="N19" s="3" t="str">
        <f>IFERROR(__xludf.DUMMYFUNCTION("GoogleTranslate(C19, ""en"", ""ca"")"),"Mostreig")</f>
        <v>Mostreig</v>
      </c>
      <c r="O19" s="3" t="str">
        <f>IFERROR(__xludf.DUMMYFUNCTION("GoogleTranslate(C19, ""en"", ""zh-cn"")"),"采样")</f>
        <v>采样</v>
      </c>
      <c r="P19" s="3" t="str">
        <f>IFERROR(__xludf.DUMMYFUNCTION("GoogleTranslate(C19, ""en"", ""zh-TW"")"),"取樣")</f>
        <v>取樣</v>
      </c>
      <c r="Q19" s="3" t="str">
        <f>IFERROR(__xludf.DUMMYFUNCTION("GoogleTranslate(C19, ""en"", ""hr"")"),"Uzorkovanje")</f>
        <v>Uzorkovanje</v>
      </c>
      <c r="R19" s="3" t="str">
        <f>IFERROR(__xludf.DUMMYFUNCTION("GoogleTranslate(C19, ""en"", ""cs"")"),"Odběr vzorků")</f>
        <v>Odběr vzorků</v>
      </c>
      <c r="S19" s="3" t="str">
        <f>IFERROR(__xludf.DUMMYFUNCTION("GoogleTranslate(C19, ""en"", ""da"")"),"Prøveudtagning")</f>
        <v>Prøveudtagning</v>
      </c>
      <c r="T19" s="3" t="str">
        <f>IFERROR(__xludf.DUMMYFUNCTION("GoogleTranslate(C19, ""en"", ""nl"")"),"Bemonstering")</f>
        <v>Bemonstering</v>
      </c>
      <c r="U19" s="3" t="str">
        <f>IFERROR(__xludf.DUMMYFUNCTION("GoogleTranslate(C19, ""en"", ""et"")"),"Proovide võtmine")</f>
        <v>Proovide võtmine</v>
      </c>
      <c r="V19" s="1" t="str">
        <f t="shared" si="3"/>
        <v>Sampling</v>
      </c>
      <c r="W19" s="3" t="str">
        <f>IFERROR(__xludf.DUMMYFUNCTION("GoogleTranslate(C19, ""en"", ""fi"")"),"Näytteenotto")</f>
        <v>Näytteenotto</v>
      </c>
      <c r="X19" s="3" t="str">
        <f>IFERROR(__xludf.DUMMYFUNCTION("GoogleTranslate(C19, ""en"", ""fr"")"),"Échantillonnage")</f>
        <v>Échantillonnage</v>
      </c>
      <c r="Y19" s="3" t="str">
        <f>IFERROR(__xludf.DUMMYFUNCTION("GoogleTranslate(C19, ""en"", ""de"")"),"Probenahme")</f>
        <v>Probenahme</v>
      </c>
      <c r="Z19" s="3" t="str">
        <f>IFERROR(__xludf.DUMMYFUNCTION("GoogleTranslate(C19, ""en"", ""el"")"),"Δειγματοληψία")</f>
        <v>Δειγματοληψία</v>
      </c>
      <c r="AA19" s="3" t="str">
        <f>IFERROR(__xludf.DUMMYFUNCTION("GoogleTranslate(C19, ""en"", ""iw"")"),"דְגִימָה")</f>
        <v>דְגִימָה</v>
      </c>
      <c r="AB19" s="3" t="str">
        <f>IFERROR(__xludf.DUMMYFUNCTION("GoogleTranslate(C19, ""en"", ""hi"")"),"सैम्पलिंग")</f>
        <v>सैम्पलिंग</v>
      </c>
      <c r="AC19" s="3" t="str">
        <f>IFERROR(__xludf.DUMMYFUNCTION("GoogleTranslate(C19, ""en"", ""hu"")"),"Mintavétel")</f>
        <v>Mintavétel</v>
      </c>
      <c r="AD19" s="3" t="str">
        <f>IFERROR(__xludf.DUMMYFUNCTION("GoogleTranslate(C19, ""en"", ""is"")"),"Sýnataka")</f>
        <v>Sýnataka</v>
      </c>
      <c r="AE19" s="3" t="str">
        <f>IFERROR(__xludf.DUMMYFUNCTION("GoogleTranslate(C19, ""en"", ""id"")"),"Contoh")</f>
        <v>Contoh</v>
      </c>
      <c r="AF19" s="3" t="str">
        <f>IFERROR(__xludf.DUMMYFUNCTION("GoogleTranslate(C19, ""en"", ""in"")"),"Contoh")</f>
        <v>Contoh</v>
      </c>
      <c r="AG19" s="3" t="str">
        <f>IFERROR(__xludf.DUMMYFUNCTION("GoogleTranslate(C19, ""en"", ""it"")"),"Campionamento")</f>
        <v>Campionamento</v>
      </c>
      <c r="AH19" s="3" t="str">
        <f>IFERROR(__xludf.DUMMYFUNCTION("GoogleTranslate(C19, ""en"", ""ja"")"),"サンプリング")</f>
        <v>サンプリング</v>
      </c>
      <c r="AI19" s="3" t="str">
        <f>IFERROR(__xludf.DUMMYFUNCTION("GoogleTranslate(C19, ""en"", ""kn"")"),"ಮಾದರಿ")</f>
        <v>ಮಾದರಿ</v>
      </c>
      <c r="AJ19" s="3" t="str">
        <f>IFERROR(__xludf.DUMMYFUNCTION("GoogleTranslate(C19, ""en"", ""km"")"),"គំរូ")</f>
        <v>គំរូ</v>
      </c>
      <c r="AK19" s="3" t="str">
        <f>IFERROR(__xludf.DUMMYFUNCTION("GoogleTranslate(C19, ""en"", ""ko"")"),"견본 추출")</f>
        <v>견본 추출</v>
      </c>
      <c r="AL19" s="3" t="str">
        <f>IFERROR(__xludf.DUMMYFUNCTION("GoogleTranslate(C19, ""en"", ""lo"")"),"ການເກັບຕົວຢ່າງ")</f>
        <v>ການເກັບຕົວຢ່າງ</v>
      </c>
      <c r="AM19" s="3" t="str">
        <f>IFERROR(__xludf.DUMMYFUNCTION("GoogleTranslate(C19, ""en"", ""lv"")"),"Paraugu ņemšana")</f>
        <v>Paraugu ņemšana</v>
      </c>
      <c r="AN19" s="3" t="str">
        <f>IFERROR(__xludf.DUMMYFUNCTION("GoogleTranslate(C19, ""en"", ""lt"")"),"Mėginių ėmimas")</f>
        <v>Mėginių ėmimas</v>
      </c>
      <c r="AO19" s="3" t="str">
        <f>IFERROR(__xludf.DUMMYFUNCTION("GoogleTranslate(C19, ""en"", ""mk"")"),"Земање примероци")</f>
        <v>Земање примероци</v>
      </c>
      <c r="AP19" s="3" t="str">
        <f>IFERROR(__xludf.DUMMYFUNCTION("GoogleTranslate(C19, ""en"", ""ms"")"),"Pensampelan")</f>
        <v>Pensampelan</v>
      </c>
      <c r="AQ19" s="3" t="str">
        <f>IFERROR(__xludf.DUMMYFUNCTION("GoogleTranslate(C19, ""en"", ""ml"")"),"സാമ്പിളിംഗ്")</f>
        <v>സാമ്പിളിംഗ്</v>
      </c>
      <c r="AR19" s="3" t="str">
        <f>IFERROR(__xludf.DUMMYFUNCTION("GoogleTranslate(C19, ""en"", ""mr"")"),"सॅम्पलिंग")</f>
        <v>सॅम्पलिंग</v>
      </c>
      <c r="AS19" s="3" t="str">
        <f>IFERROR(__xludf.DUMMYFUNCTION("GoogleTranslate(C19, ""en"", ""mn"")"),"Дээж авах")</f>
        <v>Дээж авах</v>
      </c>
      <c r="AT19" s="3" t="str">
        <f>IFERROR(__xludf.DUMMYFUNCTION("GoogleTranslate(C19, ""en"", ""ne"")"),"नमूना")</f>
        <v>नमूना</v>
      </c>
      <c r="AU19" s="3" t="str">
        <f>IFERROR(__xludf.DUMMYFUNCTION("GoogleTranslate(C19, ""en"", ""nb"")"),"Prøvetaking")</f>
        <v>Prøvetaking</v>
      </c>
      <c r="AV19" s="3" t="str">
        <f>IFERROR(__xludf.DUMMYFUNCTION("GoogleTranslate(C19, ""en"", ""fa"")"),"نمونه برداری")</f>
        <v>نمونه برداری</v>
      </c>
      <c r="AW19" s="3" t="str">
        <f>IFERROR(__xludf.DUMMYFUNCTION("GoogleTranslate(C19, ""en"", ""pl"")"),"Próbowanie")</f>
        <v>Próbowanie</v>
      </c>
      <c r="AX19" s="3" t="str">
        <f>IFERROR(__xludf.DUMMYFUNCTION("GoogleTranslate(C19, ""en"", ""pt"")"),"Amostragem")</f>
        <v>Amostragem</v>
      </c>
      <c r="AY19" s="3" t="str">
        <f>IFERROR(__xludf.DUMMYFUNCTION("GoogleTranslate(C19, ""en"", ""ro"")"),"Prelevarea de probe")</f>
        <v>Prelevarea de probe</v>
      </c>
      <c r="AZ19" s="3" t="str">
        <f>IFERROR(__xludf.DUMMYFUNCTION("GoogleTranslate(C19, ""en"", ""ru"")"),"Выборка")</f>
        <v>Выборка</v>
      </c>
      <c r="BA19" s="3" t="str">
        <f>IFERROR(__xludf.DUMMYFUNCTION("GoogleTranslate(C19, ""en"", ""sr"")"),"Узорковање")</f>
        <v>Узорковање</v>
      </c>
      <c r="BB19" s="3" t="str">
        <f>IFERROR(__xludf.DUMMYFUNCTION("GoogleTranslate(C19, ""en"", ""si"")"),"නියැදීම")</f>
        <v>නියැදීම</v>
      </c>
      <c r="BC19" s="3" t="str">
        <f>IFERROR(__xludf.DUMMYFUNCTION("GoogleTranslate(C19, ""en"", ""sk"")"),"Odber vzoriek")</f>
        <v>Odber vzoriek</v>
      </c>
      <c r="BD19" s="3" t="str">
        <f>IFERROR(__xludf.DUMMYFUNCTION("GoogleTranslate(C19, ""en"", ""sl"")"),"Vzorčenje")</f>
        <v>Vzorčenje</v>
      </c>
      <c r="BE19" s="3" t="str">
        <f>IFERROR(__xludf.DUMMYFUNCTION("GoogleTranslate(C19, ""en"", ""es"")"),"Muestreo")</f>
        <v>Muestreo</v>
      </c>
      <c r="BF19" s="3" t="str">
        <f>IFERROR(__xludf.DUMMYFUNCTION("GoogleTranslate(C19, ""en"", ""sw"")"),"Sampuli")</f>
        <v>Sampuli</v>
      </c>
      <c r="BG19" s="3" t="str">
        <f>IFERROR(__xludf.DUMMYFUNCTION("GoogleTranslate(C19, ""en"", ""sv"")"),"Provtagning")</f>
        <v>Provtagning</v>
      </c>
      <c r="BH19" s="3" t="str">
        <f>IFERROR(__xludf.DUMMYFUNCTION("GoogleTranslate(C19, ""en"", ""te"")"),"శాంప్లింగ్")</f>
        <v>శాంప్లింగ్</v>
      </c>
      <c r="BI19" s="3" t="str">
        <f>IFERROR(__xludf.DUMMYFUNCTION("GoogleTranslate(C19, ""en"", ""th"")"),"การสุ่มตัวอย่าง")</f>
        <v>การสุ่มตัวอย่าง</v>
      </c>
      <c r="BJ19" s="3" t="str">
        <f>IFERROR(__xludf.DUMMYFUNCTION("GoogleTranslate(C19, ""en"", ""tr"")"),"Örnekleme")</f>
        <v>Örnekleme</v>
      </c>
      <c r="BK19" s="3" t="str">
        <f>IFERROR(__xludf.DUMMYFUNCTION("GoogleTranslate(C19, ""en"", ""uk"")"),"Відбір проб")</f>
        <v>Відбір проб</v>
      </c>
      <c r="BL19" s="3" t="str">
        <f>IFERROR(__xludf.DUMMYFUNCTION("GoogleTranslate(C19, ""en"", ""zu"")"),"Ukusampula")</f>
        <v>Ukusampula</v>
      </c>
    </row>
    <row r="20">
      <c r="A20" s="1" t="str">
        <f t="shared" si="1"/>
        <v>Sample_{number}</v>
      </c>
      <c r="B20" s="4" t="s">
        <v>82</v>
      </c>
      <c r="C20" s="1" t="str">
        <f t="shared" si="2"/>
        <v>Sample {number}</v>
      </c>
      <c r="D20" s="3" t="str">
        <f>IFERROR(__xludf.DUMMYFUNCTION("GoogleTranslate(C20, ""en"", ""es"")"),"Muestra {número}")</f>
        <v>Muestra {número}</v>
      </c>
      <c r="E20" s="3" t="str">
        <f>IFERROR(__xludf.DUMMYFUNCTION("GoogleTranslate(C20, ""en"", ""ar"")"),"عينة {رقم}")</f>
        <v>عينة {رقم}</v>
      </c>
      <c r="F20" s="3" t="str">
        <f>IFERROR(__xludf.DUMMYFUNCTION("GoogleTranslate(C20, ""en"", ""hy"")"),"Նմուշ {number}")</f>
        <v>Նմուշ {number}</v>
      </c>
      <c r="G20" s="3" t="str">
        <f>IFERROR(__xludf.DUMMYFUNCTION("GoogleTranslate(C20, ""en"", ""vi"")"),"mẫu {số}")</f>
        <v>mẫu {số}</v>
      </c>
      <c r="H20" s="3" t="str">
        <f>IFERROR(__xludf.DUMMYFUNCTION("GoogleTranslate(C20, ""en"", ""az"")"),"Nümunə {sayı}")</f>
        <v>Nümunə {sayı}</v>
      </c>
      <c r="I20" s="3" t="str">
        <f>IFERROR(__xludf.DUMMYFUNCTION("GoogleTranslate(C20, ""en"", ""eu"")"),"{zenbakia} lagina")</f>
        <v>{zenbakia} lagina</v>
      </c>
      <c r="J20" s="3" t="str">
        <f>IFERROR(__xludf.DUMMYFUNCTION("GoogleTranslate(C20, ""en"", ""be"")"),"Узор {number}")</f>
        <v>Узор {number}</v>
      </c>
      <c r="K20" s="3" t="str">
        <f>IFERROR(__xludf.DUMMYFUNCTION("GoogleTranslate(C20, ""en"", ""bn"")"),"নমুনা {সংখ্যা}")</f>
        <v>নমুনা {সংখ্যা}</v>
      </c>
      <c r="L20" s="3" t="str">
        <f>IFERROR(__xludf.DUMMYFUNCTION("GoogleTranslate(C20, ""en"", ""bg"")"),"Проба {номер}")</f>
        <v>Проба {номер}</v>
      </c>
      <c r="M20" s="3" t="str">
        <f>IFERROR(__xludf.DUMMYFUNCTION("GoogleTranslate(C20, ""en"", ""my"")"),"နမူနာ {number}")</f>
        <v>နမူနာ {number}</v>
      </c>
      <c r="N20" s="3" t="str">
        <f>IFERROR(__xludf.DUMMYFUNCTION("GoogleTranslate(C20, ""en"", ""ca"")"),"Mostra {nombre}")</f>
        <v>Mostra {nombre}</v>
      </c>
      <c r="O20" s="3" t="str">
        <f>IFERROR(__xludf.DUMMYFUNCTION("GoogleTranslate(C20, ""en"", ""zh-cn"")"),"样本{数量}")</f>
        <v>样本{数量}</v>
      </c>
      <c r="P20" s="3" t="str">
        <f>IFERROR(__xludf.DUMMYFUNCTION("GoogleTranslate(C20, ""en"", ""zh-TW"")"),"樣本{數量}")</f>
        <v>樣本{數量}</v>
      </c>
      <c r="Q20" s="3" t="str">
        <f>IFERROR(__xludf.DUMMYFUNCTION("GoogleTranslate(C20, ""en"", ""hr"")"),"Uzorak {number}")</f>
        <v>Uzorak {number}</v>
      </c>
      <c r="R20" s="3" t="str">
        <f>IFERROR(__xludf.DUMMYFUNCTION("GoogleTranslate(C20, ""en"", ""cs"")"),"Ukázka {číslo}")</f>
        <v>Ukázka {číslo}</v>
      </c>
      <c r="S20" s="3" t="str">
        <f>IFERROR(__xludf.DUMMYFUNCTION("GoogleTranslate(C20, ""en"", ""da"")"),"Eksempel {nummer}")</f>
        <v>Eksempel {nummer}</v>
      </c>
      <c r="T20" s="3" t="str">
        <f>IFERROR(__xludf.DUMMYFUNCTION("GoogleTranslate(C20, ""en"", ""nl"")"),"Monster {nummer}")</f>
        <v>Monster {nummer}</v>
      </c>
      <c r="U20" s="3" t="str">
        <f>IFERROR(__xludf.DUMMYFUNCTION("GoogleTranslate(C20, ""en"", ""et"")"),"Näidis {number}")</f>
        <v>Näidis {number}</v>
      </c>
      <c r="V20" s="1" t="str">
        <f t="shared" si="3"/>
        <v>Sample {number}</v>
      </c>
      <c r="W20" s="3" t="str">
        <f>IFERROR(__xludf.DUMMYFUNCTION("GoogleTranslate(C20, ""en"", ""fi"")"),"Näyte {number}")</f>
        <v>Näyte {number}</v>
      </c>
      <c r="X20" s="3" t="str">
        <f>IFERROR(__xludf.DUMMYFUNCTION("GoogleTranslate(C20, ""en"", ""fr"")"),"Échantillon {numéro}")</f>
        <v>Échantillon {numéro}</v>
      </c>
      <c r="Y20" s="3" t="str">
        <f>IFERROR(__xludf.DUMMYFUNCTION("GoogleTranslate(C20, ""en"", ""de"")"),"Probe {Nummer}")</f>
        <v>Probe {Nummer}</v>
      </c>
      <c r="Z20" s="3" t="str">
        <f>IFERROR(__xludf.DUMMYFUNCTION("GoogleTranslate(C20, ""en"", ""el"")"),"Δείγμα {number}")</f>
        <v>Δείγμα {number}</v>
      </c>
      <c r="AA20" s="3" t="str">
        <f>IFERROR(__xludf.DUMMYFUNCTION("GoogleTranslate(C20, ""en"", ""iw"")"),"דוגמה {number}")</f>
        <v>דוגמה {number}</v>
      </c>
      <c r="AB20" s="3" t="str">
        <f>IFERROR(__xludf.DUMMYFUNCTION("GoogleTranslate(C20, ""en"", ""hi"")"),"नमूने की संख्या}")</f>
        <v>नमूने की संख्या}</v>
      </c>
      <c r="AC20" s="3" t="str">
        <f>IFERROR(__xludf.DUMMYFUNCTION("GoogleTranslate(C20, ""en"", ""hu"")"),"Minta {number}")</f>
        <v>Minta {number}</v>
      </c>
      <c r="AD20" s="3" t="str">
        <f>IFERROR(__xludf.DUMMYFUNCTION("GoogleTranslate(C20, ""en"", ""is"")"),"Sýnishorn {númer}")</f>
        <v>Sýnishorn {númer}</v>
      </c>
      <c r="AE20" s="3" t="str">
        <f>IFERROR(__xludf.DUMMYFUNCTION("GoogleTranslate(C20, ""en"", ""id"")"),"Contoh {angka}")</f>
        <v>Contoh {angka}</v>
      </c>
      <c r="AF20" s="3" t="str">
        <f>IFERROR(__xludf.DUMMYFUNCTION("GoogleTranslate(C20, ""en"", ""in"")"),"Contoh {angka}")</f>
        <v>Contoh {angka}</v>
      </c>
      <c r="AG20" s="3" t="str">
        <f>IFERROR(__xludf.DUMMYFUNCTION("GoogleTranslate(C20, ""en"", ""it"")"),"Campione {numero}")</f>
        <v>Campione {numero}</v>
      </c>
      <c r="AH20" s="3" t="str">
        <f>IFERROR(__xludf.DUMMYFUNCTION("GoogleTranslate(C20, ""en"", ""ja"")"),"サンプル {番号}")</f>
        <v>サンプル {番号}</v>
      </c>
      <c r="AI20" s="3" t="str">
        <f>IFERROR(__xludf.DUMMYFUNCTION("GoogleTranslate(C20, ""en"", ""kn"")"),"ಮಾದರಿ {ಸಂಖ್ಯೆ}")</f>
        <v>ಮಾದರಿ {ಸಂಖ್ಯೆ}</v>
      </c>
      <c r="AJ20" s="3" t="str">
        <f>IFERROR(__xludf.DUMMYFUNCTION("GoogleTranslate(C20, ""en"", ""km"")"),"គំរូ {number}")</f>
        <v>គំរូ {number}</v>
      </c>
      <c r="AK20" s="3" t="str">
        <f>IFERROR(__xludf.DUMMYFUNCTION("GoogleTranslate(C20, ""en"", ""ko"")"),"샘플 {번호}")</f>
        <v>샘플 {번호}</v>
      </c>
      <c r="AL20" s="3" t="str">
        <f>IFERROR(__xludf.DUMMYFUNCTION("GoogleTranslate(C20, ""en"", ""lo"")"),"ຕົວຢ່າງ {number}")</f>
        <v>ຕົວຢ່າງ {number}</v>
      </c>
      <c r="AM20" s="3" t="str">
        <f>IFERROR(__xludf.DUMMYFUNCTION("GoogleTranslate(C20, ""en"", ""lv"")"),"{number} paraugs")</f>
        <v>{number} paraugs</v>
      </c>
      <c r="AN20" s="3" t="str">
        <f>IFERROR(__xludf.DUMMYFUNCTION("GoogleTranslate(C20, ""en"", ""lt"")"),"{number} pavyzdys")</f>
        <v>{number} pavyzdys</v>
      </c>
      <c r="AO20" s="3" t="str">
        <f>IFERROR(__xludf.DUMMYFUNCTION("GoogleTranslate(C20, ""en"", ""mk"")"),"Примерок {број}")</f>
        <v>Примерок {број}</v>
      </c>
      <c r="AP20" s="3" t="str">
        <f>IFERROR(__xludf.DUMMYFUNCTION("GoogleTranslate(C20, ""en"", ""ms"")"),"Sampel {nombor}")</f>
        <v>Sampel {nombor}</v>
      </c>
      <c r="AQ20" s="3" t="str">
        <f>IFERROR(__xludf.DUMMYFUNCTION("GoogleTranslate(C20, ""en"", ""ml"")"),"സാമ്പിൾ {നമ്പർ}")</f>
        <v>സാമ്പിൾ {നമ്പർ}</v>
      </c>
      <c r="AR20" s="3" t="str">
        <f>IFERROR(__xludf.DUMMYFUNCTION("GoogleTranslate(C20, ""en"", ""mr"")"),"नमुना {संख्या}")</f>
        <v>नमुना {संख्या}</v>
      </c>
      <c r="AS20" s="3" t="str">
        <f>IFERROR(__xludf.DUMMYFUNCTION("GoogleTranslate(C20, ""en"", ""mn"")"),"Жишээ {тоо}")</f>
        <v>Жишээ {тоо}</v>
      </c>
      <c r="AT20" s="3" t="str">
        <f>IFERROR(__xludf.DUMMYFUNCTION("GoogleTranslate(C20, ""en"", ""ne"")"),"नमूना {नम्बर}")</f>
        <v>नमूना {नम्बर}</v>
      </c>
      <c r="AU20" s="3" t="str">
        <f>IFERROR(__xludf.DUMMYFUNCTION("GoogleTranslate(C20, ""en"", ""nb"")"),"Eksempel {nummer}")</f>
        <v>Eksempel {nummer}</v>
      </c>
      <c r="AV20" s="3" t="str">
        <f>IFERROR(__xludf.DUMMYFUNCTION("GoogleTranslate(C20, ""en"", ""fa"")"),"نمونه {number}")</f>
        <v>نمونه {number}</v>
      </c>
      <c r="AW20" s="3" t="str">
        <f>IFERROR(__xludf.DUMMYFUNCTION("GoogleTranslate(C20, ""en"", ""pl"")"),"Próbka {numer}")</f>
        <v>Próbka {numer}</v>
      </c>
      <c r="AX20" s="3" t="str">
        <f>IFERROR(__xludf.DUMMYFUNCTION("GoogleTranslate(C20, ""en"", ""pt"")"),"Amostra {número}")</f>
        <v>Amostra {número}</v>
      </c>
      <c r="AY20" s="3" t="str">
        <f>IFERROR(__xludf.DUMMYFUNCTION("GoogleTranslate(C20, ""en"", ""ro"")"),"Probă {număr}")</f>
        <v>Probă {număr}</v>
      </c>
      <c r="AZ20" s="3" t="str">
        <f>IFERROR(__xludf.DUMMYFUNCTION("GoogleTranslate(C20, ""en"", ""ru"")"),"Образец {номер}")</f>
        <v>Образец {номер}</v>
      </c>
      <c r="BA20" s="3" t="str">
        <f>IFERROR(__xludf.DUMMYFUNCTION("GoogleTranslate(C20, ""en"", ""sr"")"),"Узорак {нумбер}")</f>
        <v>Узорак {нумбер}</v>
      </c>
      <c r="BB20" s="3" t="str">
        <f>IFERROR(__xludf.DUMMYFUNCTION("GoogleTranslate(C20, ""en"", ""si"")"),"නියැදිය {අංක}")</f>
        <v>නියැදිය {අංක}</v>
      </c>
      <c r="BC20" s="3" t="str">
        <f>IFERROR(__xludf.DUMMYFUNCTION("GoogleTranslate(C20, ""en"", ""sk"")"),"Ukážka {číslo}")</f>
        <v>Ukážka {číslo}</v>
      </c>
      <c r="BD20" s="3" t="str">
        <f>IFERROR(__xludf.DUMMYFUNCTION("GoogleTranslate(C20, ""en"", ""sl"")"),"Vzorec {število}")</f>
        <v>Vzorec {število}</v>
      </c>
      <c r="BE20" s="3" t="str">
        <f>IFERROR(__xludf.DUMMYFUNCTION("GoogleTranslate(C20, ""en"", ""es"")"),"Muestra {número}")</f>
        <v>Muestra {número}</v>
      </c>
      <c r="BF20" s="3" t="str">
        <f>IFERROR(__xludf.DUMMYFUNCTION("GoogleTranslate(C20, ""en"", ""sw"")"),"Sampuli {number}")</f>
        <v>Sampuli {number}</v>
      </c>
      <c r="BG20" s="3" t="str">
        <f>IFERROR(__xludf.DUMMYFUNCTION("GoogleTranslate(C20, ""en"", ""sv"")"),"Exempel {nummer}")</f>
        <v>Exempel {nummer}</v>
      </c>
      <c r="BH20" s="3" t="str">
        <f>IFERROR(__xludf.DUMMYFUNCTION("GoogleTranslate(C20, ""en"", ""te"")"),"నమూనా {number}")</f>
        <v>నమూనా {number}</v>
      </c>
      <c r="BI20" s="3" t="str">
        <f>IFERROR(__xludf.DUMMYFUNCTION("GoogleTranslate(C20, ""en"", ""th"")"),"ตัวอย่าง {หมายเลข}")</f>
        <v>ตัวอย่าง {หมายเลข}</v>
      </c>
      <c r="BJ20" s="3" t="str">
        <f>IFERROR(__xludf.DUMMYFUNCTION("GoogleTranslate(C20, ""en"", ""tr"")"),"Örnek {sayı}")</f>
        <v>Örnek {sayı}</v>
      </c>
      <c r="BK20" s="3" t="str">
        <f>IFERROR(__xludf.DUMMYFUNCTION("GoogleTranslate(C20, ""en"", ""uk"")"),"Зразок {число}")</f>
        <v>Зразок {число}</v>
      </c>
      <c r="BL20" s="3" t="str">
        <f>IFERROR(__xludf.DUMMYFUNCTION("GoogleTranslate(C20, ""en"", ""zu"")"),"Isampuli {number}")</f>
        <v>Isampuli {number}</v>
      </c>
    </row>
    <row r="21">
      <c r="A21" s="1" t="str">
        <f t="shared" si="1"/>
        <v>Number_of_days</v>
      </c>
      <c r="B21" s="4" t="s">
        <v>83</v>
      </c>
      <c r="C21" s="1" t="str">
        <f t="shared" si="2"/>
        <v>Number of days</v>
      </c>
      <c r="D21" s="3" t="str">
        <f>IFERROR(__xludf.DUMMYFUNCTION("GoogleTranslate(C21, ""en"", ""es"")"),"Número de días")</f>
        <v>Número de días</v>
      </c>
      <c r="E21" s="3" t="str">
        <f>IFERROR(__xludf.DUMMYFUNCTION("GoogleTranslate(C21, ""en"", ""ar"")"),"عدد الأيام")</f>
        <v>عدد الأيام</v>
      </c>
      <c r="F21" s="3" t="str">
        <f>IFERROR(__xludf.DUMMYFUNCTION("GoogleTranslate(C21, ""en"", ""hy"")"),"Օրերի քանակը")</f>
        <v>Օրերի քանակը</v>
      </c>
      <c r="G21" s="3" t="str">
        <f>IFERROR(__xludf.DUMMYFUNCTION("GoogleTranslate(C21, ""en"", ""vi"")"),"Số ngày")</f>
        <v>Số ngày</v>
      </c>
      <c r="H21" s="3" t="str">
        <f>IFERROR(__xludf.DUMMYFUNCTION("GoogleTranslate(C21, ""en"", ""az"")"),"Günlərin sayı")</f>
        <v>Günlərin sayı</v>
      </c>
      <c r="I21" s="3" t="str">
        <f>IFERROR(__xludf.DUMMYFUNCTION("GoogleTranslate(C21, ""en"", ""eu"")"),"Egun kopurua")</f>
        <v>Egun kopurua</v>
      </c>
      <c r="J21" s="3" t="str">
        <f>IFERROR(__xludf.DUMMYFUNCTION("GoogleTranslate(C21, ""en"", ""be"")"),"Колькасць дзён")</f>
        <v>Колькасць дзён</v>
      </c>
      <c r="K21" s="3" t="str">
        <f>IFERROR(__xludf.DUMMYFUNCTION("GoogleTranslate(C21, ""en"", ""bn"")"),"দিনের সংখ্যা")</f>
        <v>দিনের সংখ্যা</v>
      </c>
      <c r="L21" s="3" t="str">
        <f>IFERROR(__xludf.DUMMYFUNCTION("GoogleTranslate(C21, ""en"", ""bg"")"),"Брой дни")</f>
        <v>Брой дни</v>
      </c>
      <c r="M21" s="3" t="str">
        <f>IFERROR(__xludf.DUMMYFUNCTION("GoogleTranslate(C21, ""en"", ""my"")"),"ရက်အရေအတွက်")</f>
        <v>ရက်အရေအတွက်</v>
      </c>
      <c r="N21" s="3" t="str">
        <f>IFERROR(__xludf.DUMMYFUNCTION("GoogleTranslate(C21, ""en"", ""ca"")"),"Nombre de dies")</f>
        <v>Nombre de dies</v>
      </c>
      <c r="O21" s="3" t="str">
        <f>IFERROR(__xludf.DUMMYFUNCTION("GoogleTranslate(C21, ""en"", ""zh-cn"")"),"天数")</f>
        <v>天数</v>
      </c>
      <c r="P21" s="3" t="str">
        <f>IFERROR(__xludf.DUMMYFUNCTION("GoogleTranslate(C21, ""en"", ""zh-TW"")"),"天數")</f>
        <v>天數</v>
      </c>
      <c r="Q21" s="3" t="str">
        <f>IFERROR(__xludf.DUMMYFUNCTION("GoogleTranslate(C21, ""en"", ""hr"")"),"Broj dana")</f>
        <v>Broj dana</v>
      </c>
      <c r="R21" s="3" t="str">
        <f>IFERROR(__xludf.DUMMYFUNCTION("GoogleTranslate(C21, ""en"", ""cs"")"),"Počet dní")</f>
        <v>Počet dní</v>
      </c>
      <c r="S21" s="3" t="str">
        <f>IFERROR(__xludf.DUMMYFUNCTION("GoogleTranslate(C21, ""en"", ""da"")"),"Antal dage")</f>
        <v>Antal dage</v>
      </c>
      <c r="T21" s="3" t="str">
        <f>IFERROR(__xludf.DUMMYFUNCTION("GoogleTranslate(C21, ""en"", ""nl"")"),"Aantal dagen")</f>
        <v>Aantal dagen</v>
      </c>
      <c r="U21" s="3" t="str">
        <f>IFERROR(__xludf.DUMMYFUNCTION("GoogleTranslate(C21, ""en"", ""et"")"),"Päevade arv")</f>
        <v>Päevade arv</v>
      </c>
      <c r="V21" s="1" t="str">
        <f t="shared" si="3"/>
        <v>Number of days</v>
      </c>
      <c r="W21" s="3" t="str">
        <f>IFERROR(__xludf.DUMMYFUNCTION("GoogleTranslate(C21, ""en"", ""fi"")"),"Päivien lukumäärä")</f>
        <v>Päivien lukumäärä</v>
      </c>
      <c r="X21" s="3" t="str">
        <f>IFERROR(__xludf.DUMMYFUNCTION("GoogleTranslate(C21, ""en"", ""fr"")"),"Nombre de jours")</f>
        <v>Nombre de jours</v>
      </c>
      <c r="Y21" s="3" t="str">
        <f>IFERROR(__xludf.DUMMYFUNCTION("GoogleTranslate(C21, ""en"", ""de"")"),"Anzahl der Tage")</f>
        <v>Anzahl der Tage</v>
      </c>
      <c r="Z21" s="3" t="str">
        <f>IFERROR(__xludf.DUMMYFUNCTION("GoogleTranslate(C21, ""en"", ""el"")"),"Αριθμός ημερών")</f>
        <v>Αριθμός ημερών</v>
      </c>
      <c r="AA21" s="3" t="str">
        <f>IFERROR(__xludf.DUMMYFUNCTION("GoogleTranslate(C21, ""en"", ""iw"")"),"מספר ימים")</f>
        <v>מספר ימים</v>
      </c>
      <c r="AB21" s="3" t="str">
        <f>IFERROR(__xludf.DUMMYFUNCTION("GoogleTranslate(C21, ""en"", ""hi"")"),"दिनों की संख्या")</f>
        <v>दिनों की संख्या</v>
      </c>
      <c r="AC21" s="3" t="str">
        <f>IFERROR(__xludf.DUMMYFUNCTION("GoogleTranslate(C21, ""en"", ""hu"")"),"Napok száma")</f>
        <v>Napok száma</v>
      </c>
      <c r="AD21" s="3" t="str">
        <f>IFERROR(__xludf.DUMMYFUNCTION("GoogleTranslate(C21, ""en"", ""is"")"),"Fjöldi daga")</f>
        <v>Fjöldi daga</v>
      </c>
      <c r="AE21" s="3" t="str">
        <f>IFERROR(__xludf.DUMMYFUNCTION("GoogleTranslate(C21, ""en"", ""id"")"),"Jumlah hari")</f>
        <v>Jumlah hari</v>
      </c>
      <c r="AF21" s="3" t="str">
        <f>IFERROR(__xludf.DUMMYFUNCTION("GoogleTranslate(C21, ""en"", ""in"")"),"Jumlah hari")</f>
        <v>Jumlah hari</v>
      </c>
      <c r="AG21" s="3" t="str">
        <f>IFERROR(__xludf.DUMMYFUNCTION("GoogleTranslate(C21, ""en"", ""it"")"),"Numero di giorni")</f>
        <v>Numero di giorni</v>
      </c>
      <c r="AH21" s="3" t="str">
        <f>IFERROR(__xludf.DUMMYFUNCTION("GoogleTranslate(C21, ""en"", ""ja"")"),"日数")</f>
        <v>日数</v>
      </c>
      <c r="AI21" s="3" t="str">
        <f>IFERROR(__xludf.DUMMYFUNCTION("GoogleTranslate(C21, ""en"", ""kn"")"),"ದಿನಗಳ ಸಂಖ್ಯೆ")</f>
        <v>ದಿನಗಳ ಸಂಖ್ಯೆ</v>
      </c>
      <c r="AJ21" s="3" t="str">
        <f>IFERROR(__xludf.DUMMYFUNCTION("GoogleTranslate(C21, ""en"", ""km"")"),"ចំនួនថ្ងៃ")</f>
        <v>ចំនួនថ្ងៃ</v>
      </c>
      <c r="AK21" s="3" t="str">
        <f>IFERROR(__xludf.DUMMYFUNCTION("GoogleTranslate(C21, ""en"", ""ko"")"),"일수")</f>
        <v>일수</v>
      </c>
      <c r="AL21" s="3" t="str">
        <f>IFERROR(__xludf.DUMMYFUNCTION("GoogleTranslate(C21, ""en"", ""lo"")"),"ຈໍານວນມື້")</f>
        <v>ຈໍານວນມື້</v>
      </c>
      <c r="AM21" s="3" t="str">
        <f>IFERROR(__xludf.DUMMYFUNCTION("GoogleTranslate(C21, ""en"", ""lv"")"),"Dienu skaits")</f>
        <v>Dienu skaits</v>
      </c>
      <c r="AN21" s="3" t="str">
        <f>IFERROR(__xludf.DUMMYFUNCTION("GoogleTranslate(C21, ""en"", ""lt"")"),"Dienų skaičius")</f>
        <v>Dienų skaičius</v>
      </c>
      <c r="AO21" s="3" t="str">
        <f>IFERROR(__xludf.DUMMYFUNCTION("GoogleTranslate(C21, ""en"", ""mk"")"),"Број на денови")</f>
        <v>Број на денови</v>
      </c>
      <c r="AP21" s="3" t="str">
        <f>IFERROR(__xludf.DUMMYFUNCTION("GoogleTranslate(C21, ""en"", ""ms"")"),"Bilangan hari")</f>
        <v>Bilangan hari</v>
      </c>
      <c r="AQ21" s="3" t="str">
        <f>IFERROR(__xludf.DUMMYFUNCTION("GoogleTranslate(C21, ""en"", ""ml"")"),"ദിവസങ്ങളുടെ എണ്ണം")</f>
        <v>ദിവസങ്ങളുടെ എണ്ണം</v>
      </c>
      <c r="AR21" s="3" t="str">
        <f>IFERROR(__xludf.DUMMYFUNCTION("GoogleTranslate(C21, ""en"", ""mr"")"),"दिवसांची संख्या")</f>
        <v>दिवसांची संख्या</v>
      </c>
      <c r="AS21" s="3" t="str">
        <f>IFERROR(__xludf.DUMMYFUNCTION("GoogleTranslate(C21, ""en"", ""mn"")"),"Өдрийн тоо")</f>
        <v>Өдрийн тоо</v>
      </c>
      <c r="AT21" s="3" t="str">
        <f>IFERROR(__xludf.DUMMYFUNCTION("GoogleTranslate(C21, ""en"", ""ne"")"),"दिनको संख्या")</f>
        <v>दिनको संख्या</v>
      </c>
      <c r="AU21" s="3" t="str">
        <f>IFERROR(__xludf.DUMMYFUNCTION("GoogleTranslate(C21, ""en"", ""nb"")"),"Antall dager")</f>
        <v>Antall dager</v>
      </c>
      <c r="AV21" s="3" t="str">
        <f>IFERROR(__xludf.DUMMYFUNCTION("GoogleTranslate(C21, ""en"", ""fa"")"),"تعداد روزها")</f>
        <v>تعداد روزها</v>
      </c>
      <c r="AW21" s="3" t="str">
        <f>IFERROR(__xludf.DUMMYFUNCTION("GoogleTranslate(C21, ""en"", ""pl"")"),"Liczba dni")</f>
        <v>Liczba dni</v>
      </c>
      <c r="AX21" s="3" t="str">
        <f>IFERROR(__xludf.DUMMYFUNCTION("GoogleTranslate(C21, ""en"", ""pt"")"),"Número de dias")</f>
        <v>Número de dias</v>
      </c>
      <c r="AY21" s="3" t="str">
        <f>IFERROR(__xludf.DUMMYFUNCTION("GoogleTranslate(C21, ""en"", ""ro"")"),"Numărul de zile")</f>
        <v>Numărul de zile</v>
      </c>
      <c r="AZ21" s="3" t="str">
        <f>IFERROR(__xludf.DUMMYFUNCTION("GoogleTranslate(C21, ""en"", ""ru"")"),"Количество дней")</f>
        <v>Количество дней</v>
      </c>
      <c r="BA21" s="3" t="str">
        <f>IFERROR(__xludf.DUMMYFUNCTION("GoogleTranslate(C21, ""en"", ""sr"")"),"Број дана")</f>
        <v>Број дана</v>
      </c>
      <c r="BB21" s="3" t="str">
        <f>IFERROR(__xludf.DUMMYFUNCTION("GoogleTranslate(C21, ""en"", ""si"")"),"දින ගණන")</f>
        <v>දින ගණන</v>
      </c>
      <c r="BC21" s="3" t="str">
        <f>IFERROR(__xludf.DUMMYFUNCTION("GoogleTranslate(C21, ""en"", ""sk"")"),"Počet dní")</f>
        <v>Počet dní</v>
      </c>
      <c r="BD21" s="3" t="str">
        <f>IFERROR(__xludf.DUMMYFUNCTION("GoogleTranslate(C21, ""en"", ""sl"")"),"Število dni")</f>
        <v>Število dni</v>
      </c>
      <c r="BE21" s="3" t="str">
        <f>IFERROR(__xludf.DUMMYFUNCTION("GoogleTranslate(C21, ""en"", ""es"")"),"Número de días")</f>
        <v>Número de días</v>
      </c>
      <c r="BF21" s="3" t="str">
        <f>IFERROR(__xludf.DUMMYFUNCTION("GoogleTranslate(C21, ""en"", ""sw"")"),"Idadi ya siku")</f>
        <v>Idadi ya siku</v>
      </c>
      <c r="BG21" s="3" t="str">
        <f>IFERROR(__xludf.DUMMYFUNCTION("GoogleTranslate(C21, ""en"", ""sv"")"),"Antal dagar")</f>
        <v>Antal dagar</v>
      </c>
      <c r="BH21" s="3" t="str">
        <f>IFERROR(__xludf.DUMMYFUNCTION("GoogleTranslate(C21, ""en"", ""te"")"),"రోజుల సంఖ్య")</f>
        <v>రోజుల సంఖ్య</v>
      </c>
      <c r="BI21" s="3" t="str">
        <f>IFERROR(__xludf.DUMMYFUNCTION("GoogleTranslate(C21, ""en"", ""th"")"),"จำนวนวัน")</f>
        <v>จำนวนวัน</v>
      </c>
      <c r="BJ21" s="3" t="str">
        <f>IFERROR(__xludf.DUMMYFUNCTION("GoogleTranslate(C21, ""en"", ""tr"")"),"Gün sayısı")</f>
        <v>Gün sayısı</v>
      </c>
      <c r="BK21" s="3" t="str">
        <f>IFERROR(__xludf.DUMMYFUNCTION("GoogleTranslate(C21, ""en"", ""uk"")"),"Кількість днів")</f>
        <v>Кількість днів</v>
      </c>
      <c r="BL21" s="3" t="str">
        <f>IFERROR(__xludf.DUMMYFUNCTION("GoogleTranslate(C21, ""en"", ""zu"")"),"Inombolo yezinsuku")</f>
        <v>Inombolo yezinsuku</v>
      </c>
    </row>
    <row r="22">
      <c r="A22" s="1" t="str">
        <f t="shared" si="1"/>
        <v>{number}_days</v>
      </c>
      <c r="B22" s="4" t="s">
        <v>84</v>
      </c>
      <c r="C22" s="1" t="str">
        <f t="shared" si="2"/>
        <v>{number} days</v>
      </c>
      <c r="D22" s="3" t="str">
        <f>IFERROR(__xludf.DUMMYFUNCTION("GoogleTranslate(C22, ""en"", ""es"")"),"{número} días")</f>
        <v>{número} días</v>
      </c>
      <c r="E22" s="3" t="str">
        <f>IFERROR(__xludf.DUMMYFUNCTION("GoogleTranslate(C22, ""en"", ""ar"")"),"{عدد} يوم")</f>
        <v>{عدد} يوم</v>
      </c>
      <c r="F22" s="3" t="str">
        <f>IFERROR(__xludf.DUMMYFUNCTION("GoogleTranslate(C22, ""en"", ""hy"")"),"{number} օր")</f>
        <v>{number} օր</v>
      </c>
      <c r="G22" s="3" t="str">
        <f>IFERROR(__xludf.DUMMYFUNCTION("GoogleTranslate(C22, ""en"", ""vi"")"),"{số} ngày")</f>
        <v>{số} ngày</v>
      </c>
      <c r="H22" s="3" t="str">
        <f>IFERROR(__xludf.DUMMYFUNCTION("GoogleTranslate(C22, ""en"", ""az"")"),"{sayı} gün")</f>
        <v>{sayı} gün</v>
      </c>
      <c r="I22" s="3" t="str">
        <f>IFERROR(__xludf.DUMMYFUNCTION("GoogleTranslate(C22, ""en"", ""eu"")"),"{zenbaki} egun")</f>
        <v>{zenbaki} egun</v>
      </c>
      <c r="J22" s="3" t="str">
        <f>IFERROR(__xludf.DUMMYFUNCTION("GoogleTranslate(C22, ""en"", ""be"")"),"{number} дзён")</f>
        <v>{number} дзён</v>
      </c>
      <c r="K22" s="3" t="str">
        <f>IFERROR(__xludf.DUMMYFUNCTION("GoogleTranslate(C22, ""en"", ""bn"")"),"{number} দিন")</f>
        <v>{number} দিন</v>
      </c>
      <c r="L22" s="3" t="str">
        <f>IFERROR(__xludf.DUMMYFUNCTION("GoogleTranslate(C22, ""en"", ""bg"")"),"{number} дни")</f>
        <v>{number} дни</v>
      </c>
      <c r="M22" s="3" t="str">
        <f>IFERROR(__xludf.DUMMYFUNCTION("GoogleTranslate(C22, ""en"", ""my"")"),"{number} ရက်")</f>
        <v>{number} ရက်</v>
      </c>
      <c r="N22" s="3" t="str">
        <f>IFERROR(__xludf.DUMMYFUNCTION("GoogleTranslate(C22, ""en"", ""ca"")"),"{nombre} dies")</f>
        <v>{nombre} dies</v>
      </c>
      <c r="O22" s="3" t="str">
        <f>IFERROR(__xludf.DUMMYFUNCTION("GoogleTranslate(C22, ""en"", ""zh-cn"")"),"{number} 天")</f>
        <v>{number} 天</v>
      </c>
      <c r="P22" s="3" t="str">
        <f>IFERROR(__xludf.DUMMYFUNCTION("GoogleTranslate(C22, ""en"", ""zh-TW"")"),"{number} 天")</f>
        <v>{number} 天</v>
      </c>
      <c r="Q22" s="3" t="str">
        <f>IFERROR(__xludf.DUMMYFUNCTION("GoogleTranslate(C22, ""en"", ""hr"")"),"{number} dana")</f>
        <v>{number} dana</v>
      </c>
      <c r="R22" s="3" t="str">
        <f>IFERROR(__xludf.DUMMYFUNCTION("GoogleTranslate(C22, ""en"", ""cs"")"),"{number} dní")</f>
        <v>{number} dní</v>
      </c>
      <c r="S22" s="3" t="str">
        <f>IFERROR(__xludf.DUMMYFUNCTION("GoogleTranslate(C22, ""en"", ""da"")"),"{number} dage")</f>
        <v>{number} dage</v>
      </c>
      <c r="T22" s="3" t="str">
        <f>IFERROR(__xludf.DUMMYFUNCTION("GoogleTranslate(C22, ""en"", ""nl"")"),"{aantal} dagen")</f>
        <v>{aantal} dagen</v>
      </c>
      <c r="U22" s="3" t="str">
        <f>IFERROR(__xludf.DUMMYFUNCTION("GoogleTranslate(C22, ""en"", ""et"")"),"{number} päeva")</f>
        <v>{number} päeva</v>
      </c>
      <c r="V22" s="1" t="str">
        <f t="shared" si="3"/>
        <v>{number} days</v>
      </c>
      <c r="W22" s="3" t="str">
        <f>IFERROR(__xludf.DUMMYFUNCTION("GoogleTranslate(C22, ""en"", ""fi"")"),"{number} päivää")</f>
        <v>{number} päivää</v>
      </c>
      <c r="X22" s="3" t="str">
        <f>IFERROR(__xludf.DUMMYFUNCTION("GoogleTranslate(C22, ""en"", ""fr"")"),"{nombre} jours")</f>
        <v>{nombre} jours</v>
      </c>
      <c r="Y22" s="3" t="str">
        <f>IFERROR(__xludf.DUMMYFUNCTION("GoogleTranslate(C22, ""en"", ""de"")"),"{Anzahl} Tage")</f>
        <v>{Anzahl} Tage</v>
      </c>
      <c r="Z22" s="3" t="str">
        <f>IFERROR(__xludf.DUMMYFUNCTION("GoogleTranslate(C22, ""en"", ""el"")"),"{number} ημέρες")</f>
        <v>{number} ημέρες</v>
      </c>
      <c r="AA22" s="3" t="str">
        <f>IFERROR(__xludf.DUMMYFUNCTION("GoogleTranslate(C22, ""en"", ""iw"")"),"{number} ימים")</f>
        <v>{number} ימים</v>
      </c>
      <c r="AB22" s="3" t="str">
        <f>IFERROR(__xludf.DUMMYFUNCTION("GoogleTranslate(C22, ""en"", ""hi"")"),"{संख्या} दिन")</f>
        <v>{संख्या} दिन</v>
      </c>
      <c r="AC22" s="3" t="str">
        <f>IFERROR(__xludf.DUMMYFUNCTION("GoogleTranslate(C22, ""en"", ""hu"")"),"{number} nap")</f>
        <v>{number} nap</v>
      </c>
      <c r="AD22" s="3" t="str">
        <f>IFERROR(__xludf.DUMMYFUNCTION("GoogleTranslate(C22, ""en"", ""is"")"),"{number} dagar")</f>
        <v>{number} dagar</v>
      </c>
      <c r="AE22" s="3" t="str">
        <f>IFERROR(__xludf.DUMMYFUNCTION("GoogleTranslate(C22, ""en"", ""id"")"),"{angka} hari")</f>
        <v>{angka} hari</v>
      </c>
      <c r="AF22" s="3" t="str">
        <f>IFERROR(__xludf.DUMMYFUNCTION("GoogleTranslate(C22, ""en"", ""in"")"),"{angka} hari")</f>
        <v>{angka} hari</v>
      </c>
      <c r="AG22" s="3" t="str">
        <f>IFERROR(__xludf.DUMMYFUNCTION("GoogleTranslate(C22, ""en"", ""it"")"),"{numero} giorni")</f>
        <v>{numero} giorni</v>
      </c>
      <c r="AH22" s="3" t="str">
        <f>IFERROR(__xludf.DUMMYFUNCTION("GoogleTranslate(C22, ""en"", ""ja"")"),"{数字} 日")</f>
        <v>{数字} 日</v>
      </c>
      <c r="AI22" s="3" t="str">
        <f>IFERROR(__xludf.DUMMYFUNCTION("GoogleTranslate(C22, ""en"", ""kn"")"),"{number} ದಿನಗಳು")</f>
        <v>{number} ದಿನಗಳು</v>
      </c>
      <c r="AJ22" s="3" t="str">
        <f>IFERROR(__xludf.DUMMYFUNCTION("GoogleTranslate(C22, ""en"", ""km"")"),"{number} ថ្ងៃ។")</f>
        <v>{number} ថ្ងៃ។</v>
      </c>
      <c r="AK22" s="3" t="str">
        <f>IFERROR(__xludf.DUMMYFUNCTION("GoogleTranslate(C22, ""en"", ""ko"")"),"{number}일")</f>
        <v>{number}일</v>
      </c>
      <c r="AL22" s="3" t="str">
        <f>IFERROR(__xludf.DUMMYFUNCTION("GoogleTranslate(C22, ""en"", ""lo"")"),"{number} ມື້")</f>
        <v>{number} ມື້</v>
      </c>
      <c r="AM22" s="3" t="str">
        <f>IFERROR(__xludf.DUMMYFUNCTION("GoogleTranslate(C22, ""en"", ""lv"")"),"{number} dienas")</f>
        <v>{number} dienas</v>
      </c>
      <c r="AN22" s="3" t="str">
        <f>IFERROR(__xludf.DUMMYFUNCTION("GoogleTranslate(C22, ""en"", ""lt"")"),"{number} dienų")</f>
        <v>{number} dienų</v>
      </c>
      <c r="AO22" s="3" t="str">
        <f>IFERROR(__xludf.DUMMYFUNCTION("GoogleTranslate(C22, ""en"", ""mk"")"),"{number} дена")</f>
        <v>{number} дена</v>
      </c>
      <c r="AP22" s="3" t="str">
        <f>IFERROR(__xludf.DUMMYFUNCTION("GoogleTranslate(C22, ""en"", ""ms"")"),"{number} hari")</f>
        <v>{number} hari</v>
      </c>
      <c r="AQ22" s="3" t="str">
        <f>IFERROR(__xludf.DUMMYFUNCTION("GoogleTranslate(C22, ""en"", ""ml"")"),"{number} ദിവസം")</f>
        <v>{number} ദിവസം</v>
      </c>
      <c r="AR22" s="3" t="str">
        <f>IFERROR(__xludf.DUMMYFUNCTION("GoogleTranslate(C22, ""en"", ""mr"")"),"{number} दिवस")</f>
        <v>{number} दिवस</v>
      </c>
      <c r="AS22" s="3" t="str">
        <f>IFERROR(__xludf.DUMMYFUNCTION("GoogleTranslate(C22, ""en"", ""mn"")"),"{number} өдөр")</f>
        <v>{number} өдөр</v>
      </c>
      <c r="AT22" s="3" t="str">
        <f>IFERROR(__xludf.DUMMYFUNCTION("GoogleTranslate(C22, ""en"", ""ne"")"),"{number} दिन")</f>
        <v>{number} दिन</v>
      </c>
      <c r="AU22" s="3" t="str">
        <f>IFERROR(__xludf.DUMMYFUNCTION("GoogleTranslate(C22, ""en"", ""nb"")"),"{number} dager")</f>
        <v>{number} dager</v>
      </c>
      <c r="AV22" s="3" t="str">
        <f>IFERROR(__xludf.DUMMYFUNCTION("GoogleTranslate(C22, ""en"", ""fa"")"),"{number} روز")</f>
        <v>{number} روز</v>
      </c>
      <c r="AW22" s="3" t="str">
        <f>IFERROR(__xludf.DUMMYFUNCTION("GoogleTranslate(C22, ""en"", ""pl"")"),"{liczba} dni")</f>
        <v>{liczba} dni</v>
      </c>
      <c r="AX22" s="3" t="str">
        <f>IFERROR(__xludf.DUMMYFUNCTION("GoogleTranslate(C22, ""en"", ""pt"")"),"{número} dias")</f>
        <v>{número} dias</v>
      </c>
      <c r="AY22" s="3" t="str">
        <f>IFERROR(__xludf.DUMMYFUNCTION("GoogleTranslate(C22, ""en"", ""ro"")"),"{number} zile")</f>
        <v>{number} zile</v>
      </c>
      <c r="AZ22" s="3" t="str">
        <f>IFERROR(__xludf.DUMMYFUNCTION("GoogleTranslate(C22, ""en"", ""ru"")"),"{number} дней")</f>
        <v>{number} дней</v>
      </c>
      <c r="BA22" s="3" t="str">
        <f>IFERROR(__xludf.DUMMYFUNCTION("GoogleTranslate(C22, ""en"", ""sr"")"),"{нумбер} дана")</f>
        <v>{нумбер} дана</v>
      </c>
      <c r="BB22" s="3" t="str">
        <f>IFERROR(__xludf.DUMMYFUNCTION("GoogleTranslate(C22, ""en"", ""si"")"),"දින {number}")</f>
        <v>දින {number}</v>
      </c>
      <c r="BC22" s="3" t="str">
        <f>IFERROR(__xludf.DUMMYFUNCTION("GoogleTranslate(C22, ""en"", ""sk"")"),"{number} dní")</f>
        <v>{number} dní</v>
      </c>
      <c r="BD22" s="3" t="str">
        <f>IFERROR(__xludf.DUMMYFUNCTION("GoogleTranslate(C22, ""en"", ""sl"")"),"{number} dni")</f>
        <v>{number} dni</v>
      </c>
      <c r="BE22" s="3" t="str">
        <f>IFERROR(__xludf.DUMMYFUNCTION("GoogleTranslate(C22, ""en"", ""es"")"),"{número} días")</f>
        <v>{número} días</v>
      </c>
      <c r="BF22" s="3" t="str">
        <f>IFERROR(__xludf.DUMMYFUNCTION("GoogleTranslate(C22, ""en"", ""sw"")"),"siku {number}")</f>
        <v>siku {number}</v>
      </c>
      <c r="BG22" s="3" t="str">
        <f>IFERROR(__xludf.DUMMYFUNCTION("GoogleTranslate(C22, ""en"", ""sv"")"),"{number} dagar")</f>
        <v>{number} dagar</v>
      </c>
      <c r="BH22" s="3" t="str">
        <f>IFERROR(__xludf.DUMMYFUNCTION("GoogleTranslate(C22, ""en"", ""te"")"),"{number} రోజులు")</f>
        <v>{number} రోజులు</v>
      </c>
      <c r="BI22" s="3" t="str">
        <f>IFERROR(__xludf.DUMMYFUNCTION("GoogleTranslate(C22, ""en"", ""th"")"),"{จำนวน} วัน")</f>
        <v>{จำนวน} วัน</v>
      </c>
      <c r="BJ22" s="3" t="str">
        <f>IFERROR(__xludf.DUMMYFUNCTION("GoogleTranslate(C22, ""en"", ""tr"")"),"{number} gün")</f>
        <v>{number} gün</v>
      </c>
      <c r="BK22" s="3" t="str">
        <f>IFERROR(__xludf.DUMMYFUNCTION("GoogleTranslate(C22, ""en"", ""uk"")"),"{number} днів")</f>
        <v>{number} днів</v>
      </c>
      <c r="BL22" s="3" t="str">
        <f>IFERROR(__xludf.DUMMYFUNCTION("GoogleTranslate(C22, ""en"", ""zu"")"),"{number} izinsuku")</f>
        <v>{number} izinsuku</v>
      </c>
    </row>
    <row r="23">
      <c r="A23" s="1" t="str">
        <f t="shared" si="1"/>
        <v>Color_change_panel</v>
      </c>
      <c r="B23" s="4" t="s">
        <v>85</v>
      </c>
      <c r="C23" s="1" t="str">
        <f t="shared" si="2"/>
        <v>Color change panel</v>
      </c>
      <c r="D23" s="3" t="str">
        <f>IFERROR(__xludf.DUMMYFUNCTION("GoogleTranslate(C23, ""en"", ""es"")"),"Panel de cambio de color")</f>
        <v>Panel de cambio de color</v>
      </c>
      <c r="E23" s="3" t="str">
        <f>IFERROR(__xludf.DUMMYFUNCTION("GoogleTranslate(C23, ""en"", ""ar"")"),"لوحة تغيير اللون")</f>
        <v>لوحة تغيير اللون</v>
      </c>
      <c r="F23" s="3" t="str">
        <f>IFERROR(__xludf.DUMMYFUNCTION("GoogleTranslate(C23, ""en"", ""hy"")"),"Գույնի փոփոխման վահանակ")</f>
        <v>Գույնի փոփոխման վահանակ</v>
      </c>
      <c r="G23" s="3" t="str">
        <f>IFERROR(__xludf.DUMMYFUNCTION("GoogleTranslate(C23, ""en"", ""vi"")"),"Bảng đổi màu")</f>
        <v>Bảng đổi màu</v>
      </c>
      <c r="H23" s="3" t="str">
        <f>IFERROR(__xludf.DUMMYFUNCTION("GoogleTranslate(C23, ""en"", ""az"")"),"Rəng dəyişdirmə paneli")</f>
        <v>Rəng dəyişdirmə paneli</v>
      </c>
      <c r="I23" s="3" t="str">
        <f>IFERROR(__xludf.DUMMYFUNCTION("GoogleTranslate(C23, ""en"", ""eu"")"),"Kolore aldaketa panela")</f>
        <v>Kolore aldaketa panela</v>
      </c>
      <c r="J23" s="3" t="str">
        <f>IFERROR(__xludf.DUMMYFUNCTION("GoogleTranslate(C23, ""en"", ""be"")"),"Панэль змены колеру")</f>
        <v>Панэль змены колеру</v>
      </c>
      <c r="K23" s="3" t="str">
        <f>IFERROR(__xludf.DUMMYFUNCTION("GoogleTranslate(C23, ""en"", ""bn"")"),"রঙ পরিবর্তন প্যানেল")</f>
        <v>রঙ পরিবর্তন প্যানেল</v>
      </c>
      <c r="L23" s="3" t="str">
        <f>IFERROR(__xludf.DUMMYFUNCTION("GoogleTranslate(C23, ""en"", ""bg"")"),"Панел за промяна на цвета")</f>
        <v>Панел за промяна на цвета</v>
      </c>
      <c r="M23" s="3" t="str">
        <f>IFERROR(__xludf.DUMMYFUNCTION("GoogleTranslate(C23, ""en"", ""my"")"),"အရောင်ပြောင်းလဲမှုအကန့်")</f>
        <v>အရောင်ပြောင်းလဲမှုအကန့်</v>
      </c>
      <c r="N23" s="3" t="str">
        <f>IFERROR(__xludf.DUMMYFUNCTION("GoogleTranslate(C23, ""en"", ""ca"")"),"Panell de canvi de color")</f>
        <v>Panell de canvi de color</v>
      </c>
      <c r="O23" s="3" t="str">
        <f>IFERROR(__xludf.DUMMYFUNCTION("GoogleTranslate(C23, ""en"", ""zh-cn"")"),"换色面板")</f>
        <v>换色面板</v>
      </c>
      <c r="P23" s="3" t="str">
        <f>IFERROR(__xludf.DUMMYFUNCTION("GoogleTranslate(C23, ""en"", ""zh-TW"")"),"換色面板")</f>
        <v>換色面板</v>
      </c>
      <c r="Q23" s="3" t="str">
        <f>IFERROR(__xludf.DUMMYFUNCTION("GoogleTranslate(C23, ""en"", ""hr"")"),"Ploča za promjenu boje")</f>
        <v>Ploča za promjenu boje</v>
      </c>
      <c r="R23" s="3" t="str">
        <f>IFERROR(__xludf.DUMMYFUNCTION("GoogleTranslate(C23, ""en"", ""cs"")"),"Panel pro změnu barvy")</f>
        <v>Panel pro změnu barvy</v>
      </c>
      <c r="S23" s="3" t="str">
        <f>IFERROR(__xludf.DUMMYFUNCTION("GoogleTranslate(C23, ""en"", ""da"")"),"Panel for farveskift")</f>
        <v>Panel for farveskift</v>
      </c>
      <c r="T23" s="3" t="str">
        <f>IFERROR(__xludf.DUMMYFUNCTION("GoogleTranslate(C23, ""en"", ""nl"")"),"Kleurwisselpaneel")</f>
        <v>Kleurwisselpaneel</v>
      </c>
      <c r="U23" s="3" t="str">
        <f>IFERROR(__xludf.DUMMYFUNCTION("GoogleTranslate(C23, ""en"", ""et"")"),"Värvi muutmise paneel")</f>
        <v>Värvi muutmise paneel</v>
      </c>
      <c r="V23" s="1" t="str">
        <f t="shared" si="3"/>
        <v>Color change panel</v>
      </c>
      <c r="W23" s="3" t="str">
        <f>IFERROR(__xludf.DUMMYFUNCTION("GoogleTranslate(C23, ""en"", ""fi"")"),"Värinvaihtopaneeli")</f>
        <v>Värinvaihtopaneeli</v>
      </c>
      <c r="X23" s="3" t="str">
        <f>IFERROR(__xludf.DUMMYFUNCTION("GoogleTranslate(C23, ""en"", ""fr"")"),"Panneau de changement de couleur")</f>
        <v>Panneau de changement de couleur</v>
      </c>
      <c r="Y23" s="3" t="str">
        <f>IFERROR(__xludf.DUMMYFUNCTION("GoogleTranslate(C23, ""en"", ""de"")"),"Farbwechselfeld")</f>
        <v>Farbwechselfeld</v>
      </c>
      <c r="Z23" s="3" t="str">
        <f>IFERROR(__xludf.DUMMYFUNCTION("GoogleTranslate(C23, ""en"", ""el"")"),"Πίνακας αλλαγής χρώματος")</f>
        <v>Πίνακας αλλαγής χρώματος</v>
      </c>
      <c r="AA23" s="3" t="str">
        <f>IFERROR(__xludf.DUMMYFUNCTION("GoogleTranslate(C23, ""en"", ""iw"")"),"לוח שינוי צבע")</f>
        <v>לוח שינוי צבע</v>
      </c>
      <c r="AB23" s="3" t="str">
        <f>IFERROR(__xludf.DUMMYFUNCTION("GoogleTranslate(C23, ""en"", ""hi"")"),"रंग परिवर्तन पैनल")</f>
        <v>रंग परिवर्तन पैनल</v>
      </c>
      <c r="AC23" s="3" t="str">
        <f>IFERROR(__xludf.DUMMYFUNCTION("GoogleTranslate(C23, ""en"", ""hu"")"),"Színváltó panel")</f>
        <v>Színváltó panel</v>
      </c>
      <c r="AD23" s="3" t="str">
        <f>IFERROR(__xludf.DUMMYFUNCTION("GoogleTranslate(C23, ""en"", ""is"")"),"Litaskiptaborð")</f>
        <v>Litaskiptaborð</v>
      </c>
      <c r="AE23" s="3" t="str">
        <f>IFERROR(__xludf.DUMMYFUNCTION("GoogleTranslate(C23, ""en"", ""id"")"),"Panel perubahan warna")</f>
        <v>Panel perubahan warna</v>
      </c>
      <c r="AF23" s="3" t="str">
        <f>IFERROR(__xludf.DUMMYFUNCTION("GoogleTranslate(C23, ""en"", ""in"")"),"Panel perubahan warna")</f>
        <v>Panel perubahan warna</v>
      </c>
      <c r="AG23" s="3" t="str">
        <f>IFERROR(__xludf.DUMMYFUNCTION("GoogleTranslate(C23, ""en"", ""it"")"),"Pannello di cambio colore")</f>
        <v>Pannello di cambio colore</v>
      </c>
      <c r="AH23" s="3" t="str">
        <f>IFERROR(__xludf.DUMMYFUNCTION("GoogleTranslate(C23, ""en"", ""ja"")"),"色変更パネル")</f>
        <v>色変更パネル</v>
      </c>
      <c r="AI23" s="3" t="str">
        <f>IFERROR(__xludf.DUMMYFUNCTION("GoogleTranslate(C23, ""en"", ""kn"")"),"ಬಣ್ಣ ಬದಲಾವಣೆ ಫಲಕ")</f>
        <v>ಬಣ್ಣ ಬದಲಾವಣೆ ಫಲಕ</v>
      </c>
      <c r="AJ23" s="3" t="str">
        <f>IFERROR(__xludf.DUMMYFUNCTION("GoogleTranslate(C23, ""en"", ""km"")"),"ផ្ទាំងផ្លាស់ប្តូរពណ៌")</f>
        <v>ផ្ទាំងផ្លាស់ប្តូរពណ៌</v>
      </c>
      <c r="AK23" s="3" t="str">
        <f>IFERROR(__xludf.DUMMYFUNCTION("GoogleTranslate(C23, ""en"", ""ko"")"),"색상 변경 패널")</f>
        <v>색상 변경 패널</v>
      </c>
      <c r="AL23" s="3" t="str">
        <f>IFERROR(__xludf.DUMMYFUNCTION("GoogleTranslate(C23, ""en"", ""lo"")"),"ແຜງປ່ຽນສີ")</f>
        <v>ແຜງປ່ຽນສີ</v>
      </c>
      <c r="AM23" s="3" t="str">
        <f>IFERROR(__xludf.DUMMYFUNCTION("GoogleTranslate(C23, ""en"", ""lv"")"),"Krāsu maiņas panelis")</f>
        <v>Krāsu maiņas panelis</v>
      </c>
      <c r="AN23" s="3" t="str">
        <f>IFERROR(__xludf.DUMMYFUNCTION("GoogleTranslate(C23, ""en"", ""lt"")"),"Spalvos keitimo skydelis")</f>
        <v>Spalvos keitimo skydelis</v>
      </c>
      <c r="AO23" s="3" t="str">
        <f>IFERROR(__xludf.DUMMYFUNCTION("GoogleTranslate(C23, ""en"", ""mk"")"),"Панел за промена на боја")</f>
        <v>Панел за промена на боја</v>
      </c>
      <c r="AP23" s="3" t="str">
        <f>IFERROR(__xludf.DUMMYFUNCTION("GoogleTranslate(C23, ""en"", ""ms"")"),"Panel perubahan warna")</f>
        <v>Panel perubahan warna</v>
      </c>
      <c r="AQ23" s="3" t="str">
        <f>IFERROR(__xludf.DUMMYFUNCTION("GoogleTranslate(C23, ""en"", ""ml"")"),"നിറം മാറ്റുന്നതിനുള്ള പാനൽ")</f>
        <v>നിറം മാറ്റുന്നതിനുള്ള പാനൽ</v>
      </c>
      <c r="AR23" s="3" t="str">
        <f>IFERROR(__xludf.DUMMYFUNCTION("GoogleTranslate(C23, ""en"", ""mr"")"),"रंग बदलण्याचे पॅनेल")</f>
        <v>रंग बदलण्याचे पॅनेल</v>
      </c>
      <c r="AS23" s="3" t="str">
        <f>IFERROR(__xludf.DUMMYFUNCTION("GoogleTranslate(C23, ""en"", ""mn"")"),"Өнгө өөрчлөх самбар")</f>
        <v>Өнгө өөрчлөх самбар</v>
      </c>
      <c r="AT23" s="3" t="str">
        <f>IFERROR(__xludf.DUMMYFUNCTION("GoogleTranslate(C23, ""en"", ""ne"")"),"रङ परिवर्तन प्यानल")</f>
        <v>रङ परिवर्तन प्यानल</v>
      </c>
      <c r="AU23" s="3" t="str">
        <f>IFERROR(__xludf.DUMMYFUNCTION("GoogleTranslate(C23, ""en"", ""nb"")"),"Fargeskiftepanel")</f>
        <v>Fargeskiftepanel</v>
      </c>
      <c r="AV23" s="3" t="str">
        <f>IFERROR(__xludf.DUMMYFUNCTION("GoogleTranslate(C23, ""en"", ""fa"")"),"پنل تغییر رنگ")</f>
        <v>پنل تغییر رنگ</v>
      </c>
      <c r="AW23" s="3" t="str">
        <f>IFERROR(__xludf.DUMMYFUNCTION("GoogleTranslate(C23, ""en"", ""pl"")"),"Panel zmiany koloru")</f>
        <v>Panel zmiany koloru</v>
      </c>
      <c r="AX23" s="3" t="str">
        <f>IFERROR(__xludf.DUMMYFUNCTION("GoogleTranslate(C23, ""en"", ""pt"")"),"Painel de mudança de cor")</f>
        <v>Painel de mudança de cor</v>
      </c>
      <c r="AY23" s="3" t="str">
        <f>IFERROR(__xludf.DUMMYFUNCTION("GoogleTranslate(C23, ""en"", ""ro"")"),"Panou de schimbare a culorii")</f>
        <v>Panou de schimbare a culorii</v>
      </c>
      <c r="AZ23" s="3" t="str">
        <f>IFERROR(__xludf.DUMMYFUNCTION("GoogleTranslate(C23, ""en"", ""ru"")"),"Панель изменения цвета")</f>
        <v>Панель изменения цвета</v>
      </c>
      <c r="BA23" s="3" t="str">
        <f>IFERROR(__xludf.DUMMYFUNCTION("GoogleTranslate(C23, ""en"", ""sr"")"),"Панел за промену боје")</f>
        <v>Панел за промену боје</v>
      </c>
      <c r="BB23" s="3" t="str">
        <f>IFERROR(__xludf.DUMMYFUNCTION("GoogleTranslate(C23, ""en"", ""si"")"),"වර්ණ වෙනස් කිරීමේ පැනලය")</f>
        <v>වර්ණ වෙනස් කිරීමේ පැනලය</v>
      </c>
      <c r="BC23" s="3" t="str">
        <f>IFERROR(__xludf.DUMMYFUNCTION("GoogleTranslate(C23, ""en"", ""sk"")"),"Panel na zmenu farby")</f>
        <v>Panel na zmenu farby</v>
      </c>
      <c r="BD23" s="3" t="str">
        <f>IFERROR(__xludf.DUMMYFUNCTION("GoogleTranslate(C23, ""en"", ""sl"")"),"Plošča za spreminjanje barve")</f>
        <v>Plošča za spreminjanje barve</v>
      </c>
      <c r="BE23" s="3" t="str">
        <f>IFERROR(__xludf.DUMMYFUNCTION("GoogleTranslate(C23, ""en"", ""es"")"),"Panel de cambio de color")</f>
        <v>Panel de cambio de color</v>
      </c>
      <c r="BF23" s="3" t="str">
        <f>IFERROR(__xludf.DUMMYFUNCTION("GoogleTranslate(C23, ""en"", ""sw"")"),"Paneli ya kubadilisha rangi")</f>
        <v>Paneli ya kubadilisha rangi</v>
      </c>
      <c r="BG23" s="3" t="str">
        <f>IFERROR(__xludf.DUMMYFUNCTION("GoogleTranslate(C23, ""en"", ""sv"")"),"Panel för färgbyte")</f>
        <v>Panel för färgbyte</v>
      </c>
      <c r="BH23" s="3" t="str">
        <f>IFERROR(__xludf.DUMMYFUNCTION("GoogleTranslate(C23, ""en"", ""te"")"),"రంగు మార్పు ప్యానెల్")</f>
        <v>రంగు మార్పు ప్యానెల్</v>
      </c>
      <c r="BI23" s="3" t="str">
        <f>IFERROR(__xludf.DUMMYFUNCTION("GoogleTranslate(C23, ""en"", ""th"")"),"แผงเปลี่ยนสี")</f>
        <v>แผงเปลี่ยนสี</v>
      </c>
      <c r="BJ23" s="3" t="str">
        <f>IFERROR(__xludf.DUMMYFUNCTION("GoogleTranslate(C23, ""en"", ""tr"")"),"Renk değiştirme paneli")</f>
        <v>Renk değiştirme paneli</v>
      </c>
      <c r="BK23" s="3" t="str">
        <f>IFERROR(__xludf.DUMMYFUNCTION("GoogleTranslate(C23, ""en"", ""uk"")"),"Панель зміни кольору")</f>
        <v>Панель зміни кольору</v>
      </c>
      <c r="BL23" s="3" t="str">
        <f>IFERROR(__xludf.DUMMYFUNCTION("GoogleTranslate(C23, ""en"", ""zu"")"),"Iphaneli yokushintsha umbala")</f>
        <v>Iphaneli yokushintsha umbala</v>
      </c>
    </row>
    <row r="24">
      <c r="A24" s="1" t="str">
        <f t="shared" si="1"/>
        <v>Background_color</v>
      </c>
      <c r="B24" s="4" t="s">
        <v>86</v>
      </c>
      <c r="C24" s="1" t="str">
        <f t="shared" si="2"/>
        <v>Background color</v>
      </c>
      <c r="D24" s="3" t="str">
        <f>IFERROR(__xludf.DUMMYFUNCTION("GoogleTranslate(C24, ""en"", ""es"")"),"Color de fondo")</f>
        <v>Color de fondo</v>
      </c>
      <c r="E24" s="3" t="str">
        <f>IFERROR(__xludf.DUMMYFUNCTION("GoogleTranslate(C24, ""en"", ""ar"")"),"لون الخلفية")</f>
        <v>لون الخلفية</v>
      </c>
      <c r="F24" s="3" t="str">
        <f>IFERROR(__xludf.DUMMYFUNCTION("GoogleTranslate(C24, ""en"", ""hy"")"),"Ֆոնի գույնը")</f>
        <v>Ֆոնի գույնը</v>
      </c>
      <c r="G24" s="3" t="str">
        <f>IFERROR(__xludf.DUMMYFUNCTION("GoogleTranslate(C24, ""en"", ""vi"")"),"Màu nền")</f>
        <v>Màu nền</v>
      </c>
      <c r="H24" s="3" t="str">
        <f>IFERROR(__xludf.DUMMYFUNCTION("GoogleTranslate(C24, ""en"", ""az"")"),"Fon rəngi")</f>
        <v>Fon rəngi</v>
      </c>
      <c r="I24" s="3" t="str">
        <f>IFERROR(__xludf.DUMMYFUNCTION("GoogleTranslate(C24, ""en"", ""eu"")"),"Atzeko planoaren kolorea")</f>
        <v>Atzeko planoaren kolorea</v>
      </c>
      <c r="J24" s="3" t="str">
        <f>IFERROR(__xludf.DUMMYFUNCTION("GoogleTranslate(C24, ""en"", ""be"")"),"Колер фону")</f>
        <v>Колер фону</v>
      </c>
      <c r="K24" s="3" t="str">
        <f>IFERROR(__xludf.DUMMYFUNCTION("GoogleTranslate(C24, ""en"", ""bn"")"),"পটভূমির রঙ")</f>
        <v>পটভূমির রঙ</v>
      </c>
      <c r="L24" s="3" t="str">
        <f>IFERROR(__xludf.DUMMYFUNCTION("GoogleTranslate(C24, ""en"", ""bg"")"),"Цвят на фона")</f>
        <v>Цвят на фона</v>
      </c>
      <c r="M24" s="3" t="str">
        <f>IFERROR(__xludf.DUMMYFUNCTION("GoogleTranslate(C24, ""en"", ""my"")"),"နောက်ခံအရောင်")</f>
        <v>နောက်ခံအရောင်</v>
      </c>
      <c r="N24" s="3" t="str">
        <f>IFERROR(__xludf.DUMMYFUNCTION("GoogleTranslate(C24, ""en"", ""ca"")"),"Color de fons")</f>
        <v>Color de fons</v>
      </c>
      <c r="O24" s="3" t="str">
        <f>IFERROR(__xludf.DUMMYFUNCTION("GoogleTranslate(C24, ""en"", ""zh-cn"")"),"背景颜色")</f>
        <v>背景颜色</v>
      </c>
      <c r="P24" s="3" t="str">
        <f>IFERROR(__xludf.DUMMYFUNCTION("GoogleTranslate(C24, ""en"", ""zh-TW"")"),"背景顏色")</f>
        <v>背景顏色</v>
      </c>
      <c r="Q24" s="3" t="str">
        <f>IFERROR(__xludf.DUMMYFUNCTION("GoogleTranslate(C24, ""en"", ""hr"")"),"Boja pozadine")</f>
        <v>Boja pozadine</v>
      </c>
      <c r="R24" s="3" t="str">
        <f>IFERROR(__xludf.DUMMYFUNCTION("GoogleTranslate(C24, ""en"", ""cs"")"),"Barva pozadí")</f>
        <v>Barva pozadí</v>
      </c>
      <c r="S24" s="3" t="str">
        <f>IFERROR(__xludf.DUMMYFUNCTION("GoogleTranslate(C24, ""en"", ""da"")"),"Baggrundsfarve")</f>
        <v>Baggrundsfarve</v>
      </c>
      <c r="T24" s="3" t="str">
        <f>IFERROR(__xludf.DUMMYFUNCTION("GoogleTranslate(C24, ""en"", ""nl"")"),"Achtergrondkleur")</f>
        <v>Achtergrondkleur</v>
      </c>
      <c r="U24" s="3" t="str">
        <f>IFERROR(__xludf.DUMMYFUNCTION("GoogleTranslate(C24, ""en"", ""et"")"),"Tausta värv")</f>
        <v>Tausta värv</v>
      </c>
      <c r="V24" s="1" t="str">
        <f t="shared" si="3"/>
        <v>Background color</v>
      </c>
      <c r="W24" s="3" t="str">
        <f>IFERROR(__xludf.DUMMYFUNCTION("GoogleTranslate(C24, ""en"", ""fi"")"),"Taustaväri")</f>
        <v>Taustaväri</v>
      </c>
      <c r="X24" s="3" t="str">
        <f>IFERROR(__xludf.DUMMYFUNCTION("GoogleTranslate(C24, ""en"", ""fr"")"),"Couleur de fond")</f>
        <v>Couleur de fond</v>
      </c>
      <c r="Y24" s="3" t="str">
        <f>IFERROR(__xludf.DUMMYFUNCTION("GoogleTranslate(C24, ""en"", ""de"")"),"Hintergrundfarbe")</f>
        <v>Hintergrundfarbe</v>
      </c>
      <c r="Z24" s="3" t="str">
        <f>IFERROR(__xludf.DUMMYFUNCTION("GoogleTranslate(C24, ""en"", ""el"")"),"Χρώμα φόντου")</f>
        <v>Χρώμα φόντου</v>
      </c>
      <c r="AA24" s="3" t="str">
        <f>IFERROR(__xludf.DUMMYFUNCTION("GoogleTranslate(C24, ""en"", ""iw"")"),"צבע רקע")</f>
        <v>צבע רקע</v>
      </c>
      <c r="AB24" s="3" t="str">
        <f>IFERROR(__xludf.DUMMYFUNCTION("GoogleTranslate(C24, ""en"", ""hi"")"),"पृष्ठभूमि का रंग")</f>
        <v>पृष्ठभूमि का रंग</v>
      </c>
      <c r="AC24" s="3" t="str">
        <f>IFERROR(__xludf.DUMMYFUNCTION("GoogleTranslate(C24, ""en"", ""hu"")"),"Háttérszín")</f>
        <v>Háttérszín</v>
      </c>
      <c r="AD24" s="3" t="str">
        <f>IFERROR(__xludf.DUMMYFUNCTION("GoogleTranslate(C24, ""en"", ""is"")"),"Bakgrunnslitur")</f>
        <v>Bakgrunnslitur</v>
      </c>
      <c r="AE24" s="3" t="str">
        <f>IFERROR(__xludf.DUMMYFUNCTION("GoogleTranslate(C24, ""en"", ""id"")"),"Warna latar belakang")</f>
        <v>Warna latar belakang</v>
      </c>
      <c r="AF24" s="3" t="str">
        <f>IFERROR(__xludf.DUMMYFUNCTION("GoogleTranslate(C24, ""en"", ""in"")"),"Warna latar belakang")</f>
        <v>Warna latar belakang</v>
      </c>
      <c r="AG24" s="3" t="str">
        <f>IFERROR(__xludf.DUMMYFUNCTION("GoogleTranslate(C24, ""en"", ""it"")"),"Colore di sfondo")</f>
        <v>Colore di sfondo</v>
      </c>
      <c r="AH24" s="3" t="str">
        <f>IFERROR(__xludf.DUMMYFUNCTION("GoogleTranslate(C24, ""en"", ""ja"")"),"背景色")</f>
        <v>背景色</v>
      </c>
      <c r="AI24" s="3" t="str">
        <f>IFERROR(__xludf.DUMMYFUNCTION("GoogleTranslate(C24, ""en"", ""kn"")"),"ಹಿನ್ನೆಲೆ ಬಣ್ಣ")</f>
        <v>ಹಿನ್ನೆಲೆ ಬಣ್ಣ</v>
      </c>
      <c r="AJ24" s="3" t="str">
        <f>IFERROR(__xludf.DUMMYFUNCTION("GoogleTranslate(C24, ""en"", ""km"")"),"ពណ៌ផ្ទៃខាងក្រោយ")</f>
        <v>ពណ៌ផ្ទៃខាងក្រោយ</v>
      </c>
      <c r="AK24" s="3" t="str">
        <f>IFERROR(__xludf.DUMMYFUNCTION("GoogleTranslate(C24, ""en"", ""ko"")"),"배경색")</f>
        <v>배경색</v>
      </c>
      <c r="AL24" s="3" t="str">
        <f>IFERROR(__xludf.DUMMYFUNCTION("GoogleTranslate(C24, ""en"", ""lo"")"),"ສີພື້ນຫຼັງ")</f>
        <v>ສີພື້ນຫຼັງ</v>
      </c>
      <c r="AM24" s="3" t="str">
        <f>IFERROR(__xludf.DUMMYFUNCTION("GoogleTranslate(C24, ""en"", ""lv"")"),"Fona krāsa")</f>
        <v>Fona krāsa</v>
      </c>
      <c r="AN24" s="3" t="str">
        <f>IFERROR(__xludf.DUMMYFUNCTION("GoogleTranslate(C24, ""en"", ""lt"")"),"Fono spalva")</f>
        <v>Fono spalva</v>
      </c>
      <c r="AO24" s="3" t="str">
        <f>IFERROR(__xludf.DUMMYFUNCTION("GoogleTranslate(C24, ""en"", ""mk"")"),"Боја на позадина")</f>
        <v>Боја на позадина</v>
      </c>
      <c r="AP24" s="3" t="str">
        <f>IFERROR(__xludf.DUMMYFUNCTION("GoogleTranslate(C24, ""en"", ""ms"")"),"Warna latar belakang")</f>
        <v>Warna latar belakang</v>
      </c>
      <c r="AQ24" s="3" t="str">
        <f>IFERROR(__xludf.DUMMYFUNCTION("GoogleTranslate(C24, ""en"", ""ml"")"),"പശ്ചാത്തല നിറം")</f>
        <v>പശ്ചാത്തല നിറം</v>
      </c>
      <c r="AR24" s="3" t="str">
        <f>IFERROR(__xludf.DUMMYFUNCTION("GoogleTranslate(C24, ""en"", ""mr"")"),"पार्श्वभूमी रंग")</f>
        <v>पार्श्वभूमी रंग</v>
      </c>
      <c r="AS24" s="3" t="str">
        <f>IFERROR(__xludf.DUMMYFUNCTION("GoogleTranslate(C24, ""en"", ""mn"")"),"Арын дэвсгэр өнгө")</f>
        <v>Арын дэвсгэр өнгө</v>
      </c>
      <c r="AT24" s="3" t="str">
        <f>IFERROR(__xludf.DUMMYFUNCTION("GoogleTranslate(C24, ""en"", ""ne"")"),"पृष्ठभूमि रंग")</f>
        <v>पृष्ठभूमि रंग</v>
      </c>
      <c r="AU24" s="3" t="str">
        <f>IFERROR(__xludf.DUMMYFUNCTION("GoogleTranslate(C24, ""en"", ""nb"")"),"Bakgrunnsfarge")</f>
        <v>Bakgrunnsfarge</v>
      </c>
      <c r="AV24" s="3" t="str">
        <f>IFERROR(__xludf.DUMMYFUNCTION("GoogleTranslate(C24, ""en"", ""fa"")"),"رنگ پس زمینه")</f>
        <v>رنگ پس زمینه</v>
      </c>
      <c r="AW24" s="3" t="str">
        <f>IFERROR(__xludf.DUMMYFUNCTION("GoogleTranslate(C24, ""en"", ""pl"")"),"Kolor tła")</f>
        <v>Kolor tła</v>
      </c>
      <c r="AX24" s="3" t="str">
        <f>IFERROR(__xludf.DUMMYFUNCTION("GoogleTranslate(C24, ""en"", ""pt"")"),"Cor de fundo")</f>
        <v>Cor de fundo</v>
      </c>
      <c r="AY24" s="3" t="str">
        <f>IFERROR(__xludf.DUMMYFUNCTION("GoogleTranslate(C24, ""en"", ""ro"")"),"Culoare de fundal")</f>
        <v>Culoare de fundal</v>
      </c>
      <c r="AZ24" s="3" t="str">
        <f>IFERROR(__xludf.DUMMYFUNCTION("GoogleTranslate(C24, ""en"", ""ru"")"),"Цвет фона")</f>
        <v>Цвет фона</v>
      </c>
      <c r="BA24" s="3" t="str">
        <f>IFERROR(__xludf.DUMMYFUNCTION("GoogleTranslate(C24, ""en"", ""sr"")"),"Боја позадине")</f>
        <v>Боја позадине</v>
      </c>
      <c r="BB24" s="3" t="str">
        <f>IFERROR(__xludf.DUMMYFUNCTION("GoogleTranslate(C24, ""en"", ""si"")"),"පසුබිම් වර්ණය")</f>
        <v>පසුබිම් වර්ණය</v>
      </c>
      <c r="BC24" s="3" t="str">
        <f>IFERROR(__xludf.DUMMYFUNCTION("GoogleTranslate(C24, ""en"", ""sk"")"),"Farba pozadia")</f>
        <v>Farba pozadia</v>
      </c>
      <c r="BD24" s="3" t="str">
        <f>IFERROR(__xludf.DUMMYFUNCTION("GoogleTranslate(C24, ""en"", ""sl"")"),"Barva ozadja")</f>
        <v>Barva ozadja</v>
      </c>
      <c r="BE24" s="3" t="str">
        <f>IFERROR(__xludf.DUMMYFUNCTION("GoogleTranslate(C24, ""en"", ""es"")"),"Color de fondo")</f>
        <v>Color de fondo</v>
      </c>
      <c r="BF24" s="3" t="str">
        <f>IFERROR(__xludf.DUMMYFUNCTION("GoogleTranslate(C24, ""en"", ""sw"")"),"Rangi ya usuli")</f>
        <v>Rangi ya usuli</v>
      </c>
      <c r="BG24" s="3" t="str">
        <f>IFERROR(__xludf.DUMMYFUNCTION("GoogleTranslate(C24, ""en"", ""sv"")"),"Bakgrundsfärg")</f>
        <v>Bakgrundsfärg</v>
      </c>
      <c r="BH24" s="3" t="str">
        <f>IFERROR(__xludf.DUMMYFUNCTION("GoogleTranslate(C24, ""en"", ""te"")"),"నేపథ్య రంగు")</f>
        <v>నేపథ్య రంగు</v>
      </c>
      <c r="BI24" s="3" t="str">
        <f>IFERROR(__xludf.DUMMYFUNCTION("GoogleTranslate(C24, ""en"", ""th"")"),"สีพื้นหลัง")</f>
        <v>สีพื้นหลัง</v>
      </c>
      <c r="BJ24" s="3" t="str">
        <f>IFERROR(__xludf.DUMMYFUNCTION("GoogleTranslate(C24, ""en"", ""tr"")"),"Arka plan rengi")</f>
        <v>Arka plan rengi</v>
      </c>
      <c r="BK24" s="3" t="str">
        <f>IFERROR(__xludf.DUMMYFUNCTION("GoogleTranslate(C24, ""en"", ""uk"")"),"Колір фону")</f>
        <v>Колір фону</v>
      </c>
      <c r="BL24" s="3" t="str">
        <f>IFERROR(__xludf.DUMMYFUNCTION("GoogleTranslate(C24, ""en"", ""zu"")"),"Umbala wangemuva")</f>
        <v>Umbala wangemuva</v>
      </c>
    </row>
    <row r="25">
      <c r="A25" s="1" t="str">
        <f t="shared" si="1"/>
        <v>Color_description</v>
      </c>
      <c r="B25" s="4" t="s">
        <v>87</v>
      </c>
      <c r="C25" s="1" t="str">
        <f t="shared" si="2"/>
        <v>Color description</v>
      </c>
      <c r="D25" s="3" t="str">
        <f>IFERROR(__xludf.DUMMYFUNCTION("GoogleTranslate(C25, ""en"", ""es"")"),"Descripción del color")</f>
        <v>Descripción del color</v>
      </c>
      <c r="E25" s="3" t="str">
        <f>IFERROR(__xludf.DUMMYFUNCTION("GoogleTranslate(C25, ""en"", ""ar"")"),"وصف اللون")</f>
        <v>وصف اللون</v>
      </c>
      <c r="F25" s="3" t="str">
        <f>IFERROR(__xludf.DUMMYFUNCTION("GoogleTranslate(C25, ""en"", ""hy"")"),"Գույնի նկարագրություն")</f>
        <v>Գույնի նկարագրություն</v>
      </c>
      <c r="G25" s="3" t="str">
        <f>IFERROR(__xludf.DUMMYFUNCTION("GoogleTranslate(C25, ""en"", ""vi"")"),"Mô tả màu sắc")</f>
        <v>Mô tả màu sắc</v>
      </c>
      <c r="H25" s="3" t="str">
        <f>IFERROR(__xludf.DUMMYFUNCTION("GoogleTranslate(C25, ""en"", ""az"")"),"Rəng təsviri")</f>
        <v>Rəng təsviri</v>
      </c>
      <c r="I25" s="3" t="str">
        <f>IFERROR(__xludf.DUMMYFUNCTION("GoogleTranslate(C25, ""en"", ""eu"")"),"Kolorearen deskribapena")</f>
        <v>Kolorearen deskribapena</v>
      </c>
      <c r="J25" s="3" t="str">
        <f>IFERROR(__xludf.DUMMYFUNCTION("GoogleTranslate(C25, ""en"", ""be"")"),"Апісанне колеру")</f>
        <v>Апісанне колеру</v>
      </c>
      <c r="K25" s="3" t="str">
        <f>IFERROR(__xludf.DUMMYFUNCTION("GoogleTranslate(C25, ""en"", ""bn"")"),"রঙের বর্ণনা")</f>
        <v>রঙের বর্ণনা</v>
      </c>
      <c r="L25" s="3" t="str">
        <f>IFERROR(__xludf.DUMMYFUNCTION("GoogleTranslate(C25, ""en"", ""bg"")"),"Описание на цвета")</f>
        <v>Описание на цвета</v>
      </c>
      <c r="M25" s="3" t="str">
        <f>IFERROR(__xludf.DUMMYFUNCTION("GoogleTranslate(C25, ""en"", ""my"")"),"အရောင်ဖော်ပြချက်")</f>
        <v>အရောင်ဖော်ပြချက်</v>
      </c>
      <c r="N25" s="3" t="str">
        <f>IFERROR(__xludf.DUMMYFUNCTION("GoogleTranslate(C25, ""en"", ""ca"")"),"Descripció del color")</f>
        <v>Descripció del color</v>
      </c>
      <c r="O25" s="3" t="str">
        <f>IFERROR(__xludf.DUMMYFUNCTION("GoogleTranslate(C25, ""en"", ""zh-cn"")"),"颜色说明")</f>
        <v>颜色说明</v>
      </c>
      <c r="P25" s="3" t="str">
        <f>IFERROR(__xludf.DUMMYFUNCTION("GoogleTranslate(C25, ""en"", ""zh-TW"")"),"顏色說明")</f>
        <v>顏色說明</v>
      </c>
      <c r="Q25" s="3" t="str">
        <f>IFERROR(__xludf.DUMMYFUNCTION("GoogleTranslate(C25, ""en"", ""hr"")"),"Opis boja")</f>
        <v>Opis boja</v>
      </c>
      <c r="R25" s="3" t="str">
        <f>IFERROR(__xludf.DUMMYFUNCTION("GoogleTranslate(C25, ""en"", ""cs"")"),"Popis barvy")</f>
        <v>Popis barvy</v>
      </c>
      <c r="S25" s="3" t="str">
        <f>IFERROR(__xludf.DUMMYFUNCTION("GoogleTranslate(C25, ""en"", ""da"")"),"Farvebeskrivelse")</f>
        <v>Farvebeskrivelse</v>
      </c>
      <c r="T25" s="3" t="str">
        <f>IFERROR(__xludf.DUMMYFUNCTION("GoogleTranslate(C25, ""en"", ""nl"")"),"Kleurbeschrijving")</f>
        <v>Kleurbeschrijving</v>
      </c>
      <c r="U25" s="3" t="str">
        <f>IFERROR(__xludf.DUMMYFUNCTION("GoogleTranslate(C25, ""en"", ""et"")"),"Värvi kirjeldus")</f>
        <v>Värvi kirjeldus</v>
      </c>
      <c r="V25" s="1" t="str">
        <f t="shared" si="3"/>
        <v>Color description</v>
      </c>
      <c r="W25" s="3" t="str">
        <f>IFERROR(__xludf.DUMMYFUNCTION("GoogleTranslate(C25, ""en"", ""fi"")"),"Värin kuvaus")</f>
        <v>Värin kuvaus</v>
      </c>
      <c r="X25" s="3" t="str">
        <f>IFERROR(__xludf.DUMMYFUNCTION("GoogleTranslate(C25, ""en"", ""fr"")"),"Description de la couleur")</f>
        <v>Description de la couleur</v>
      </c>
      <c r="Y25" s="3" t="str">
        <f>IFERROR(__xludf.DUMMYFUNCTION("GoogleTranslate(C25, ""en"", ""de"")"),"Farbbeschreibung")</f>
        <v>Farbbeschreibung</v>
      </c>
      <c r="Z25" s="3" t="str">
        <f>IFERROR(__xludf.DUMMYFUNCTION("GoogleTranslate(C25, ""en"", ""el"")"),"Περιγραφή χρώματος")</f>
        <v>Περιγραφή χρώματος</v>
      </c>
      <c r="AA25" s="3" t="str">
        <f>IFERROR(__xludf.DUMMYFUNCTION("GoogleTranslate(C25, ""en"", ""iw"")"),"תיאור צבע")</f>
        <v>תיאור צבע</v>
      </c>
      <c r="AB25" s="3" t="str">
        <f>IFERROR(__xludf.DUMMYFUNCTION("GoogleTranslate(C25, ""en"", ""hi"")"),"रंग विवरण")</f>
        <v>रंग विवरण</v>
      </c>
      <c r="AC25" s="3" t="str">
        <f>IFERROR(__xludf.DUMMYFUNCTION("GoogleTranslate(C25, ""en"", ""hu"")"),"Szín leírása")</f>
        <v>Szín leírása</v>
      </c>
      <c r="AD25" s="3" t="str">
        <f>IFERROR(__xludf.DUMMYFUNCTION("GoogleTranslate(C25, ""en"", ""is"")"),"Litalýsing")</f>
        <v>Litalýsing</v>
      </c>
      <c r="AE25" s="3" t="str">
        <f>IFERROR(__xludf.DUMMYFUNCTION("GoogleTranslate(C25, ""en"", ""id"")"),"Deskripsi warna")</f>
        <v>Deskripsi warna</v>
      </c>
      <c r="AF25" s="3" t="str">
        <f>IFERROR(__xludf.DUMMYFUNCTION("GoogleTranslate(C25, ""en"", ""in"")"),"Deskripsi warna")</f>
        <v>Deskripsi warna</v>
      </c>
      <c r="AG25" s="3" t="str">
        <f>IFERROR(__xludf.DUMMYFUNCTION("GoogleTranslate(C25, ""en"", ""it"")"),"Descrizione del colore")</f>
        <v>Descrizione del colore</v>
      </c>
      <c r="AH25" s="3" t="str">
        <f>IFERROR(__xludf.DUMMYFUNCTION("GoogleTranslate(C25, ""en"", ""ja"")"),"色の説明")</f>
        <v>色の説明</v>
      </c>
      <c r="AI25" s="3" t="str">
        <f>IFERROR(__xludf.DUMMYFUNCTION("GoogleTranslate(C25, ""en"", ""kn"")"),"ಬಣ್ಣದ ವಿವರಣೆ")</f>
        <v>ಬಣ್ಣದ ವಿವರಣೆ</v>
      </c>
      <c r="AJ25" s="3" t="str">
        <f>IFERROR(__xludf.DUMMYFUNCTION("GoogleTranslate(C25, ""en"", ""km"")"),"ការពិពណ៌នាពណ៌")</f>
        <v>ការពិពណ៌នាពណ៌</v>
      </c>
      <c r="AK25" s="3" t="str">
        <f>IFERROR(__xludf.DUMMYFUNCTION("GoogleTranslate(C25, ""en"", ""ko"")"),"색상 설명")</f>
        <v>색상 설명</v>
      </c>
      <c r="AL25" s="3" t="str">
        <f>IFERROR(__xludf.DUMMYFUNCTION("GoogleTranslate(C25, ""en"", ""lo"")"),"ຄຳອະທິບາຍສີ")</f>
        <v>ຄຳອະທິບາຍສີ</v>
      </c>
      <c r="AM25" s="3" t="str">
        <f>IFERROR(__xludf.DUMMYFUNCTION("GoogleTranslate(C25, ""en"", ""lv"")"),"Krāsu apraksts")</f>
        <v>Krāsu apraksts</v>
      </c>
      <c r="AN25" s="3" t="str">
        <f>IFERROR(__xludf.DUMMYFUNCTION("GoogleTranslate(C25, ""en"", ""lt"")"),"Spalvos aprašymas")</f>
        <v>Spalvos aprašymas</v>
      </c>
      <c r="AO25" s="3" t="str">
        <f>IFERROR(__xludf.DUMMYFUNCTION("GoogleTranslate(C25, ""en"", ""mk"")"),"Опис на бојата")</f>
        <v>Опис на бојата</v>
      </c>
      <c r="AP25" s="3" t="str">
        <f>IFERROR(__xludf.DUMMYFUNCTION("GoogleTranslate(C25, ""en"", ""ms"")"),"Penerangan warna")</f>
        <v>Penerangan warna</v>
      </c>
      <c r="AQ25" s="3" t="str">
        <f>IFERROR(__xludf.DUMMYFUNCTION("GoogleTranslate(C25, ""en"", ""ml"")"),"വർണ്ണ വിവരണം")</f>
        <v>വർണ്ണ വിവരണം</v>
      </c>
      <c r="AR25" s="3" t="str">
        <f>IFERROR(__xludf.DUMMYFUNCTION("GoogleTranslate(C25, ""en"", ""mr"")"),"रंग वर्णन")</f>
        <v>रंग वर्णन</v>
      </c>
      <c r="AS25" s="3" t="str">
        <f>IFERROR(__xludf.DUMMYFUNCTION("GoogleTranslate(C25, ""en"", ""mn"")"),"Өнгөний тодорхойлолт")</f>
        <v>Өнгөний тодорхойлолт</v>
      </c>
      <c r="AT25" s="3" t="str">
        <f>IFERROR(__xludf.DUMMYFUNCTION("GoogleTranslate(C25, ""en"", ""ne"")"),"रंग विवरण")</f>
        <v>रंग विवरण</v>
      </c>
      <c r="AU25" s="3" t="str">
        <f>IFERROR(__xludf.DUMMYFUNCTION("GoogleTranslate(C25, ""en"", ""nb"")"),"Fargebeskrivelse")</f>
        <v>Fargebeskrivelse</v>
      </c>
      <c r="AV25" s="3" t="str">
        <f>IFERROR(__xludf.DUMMYFUNCTION("GoogleTranslate(C25, ""en"", ""fa"")"),"توضیحات رنگ")</f>
        <v>توضیحات رنگ</v>
      </c>
      <c r="AW25" s="3" t="str">
        <f>IFERROR(__xludf.DUMMYFUNCTION("GoogleTranslate(C25, ""en"", ""pl"")"),"Opis koloru")</f>
        <v>Opis koloru</v>
      </c>
      <c r="AX25" s="3" t="str">
        <f>IFERROR(__xludf.DUMMYFUNCTION("GoogleTranslate(C25, ""en"", ""pt"")"),"Descrição da cor")</f>
        <v>Descrição da cor</v>
      </c>
      <c r="AY25" s="3" t="str">
        <f>IFERROR(__xludf.DUMMYFUNCTION("GoogleTranslate(C25, ""en"", ""ro"")"),"Descrierea culorii")</f>
        <v>Descrierea culorii</v>
      </c>
      <c r="AZ25" s="3" t="str">
        <f>IFERROR(__xludf.DUMMYFUNCTION("GoogleTranslate(C25, ""en"", ""ru"")"),"Описание цвета")</f>
        <v>Описание цвета</v>
      </c>
      <c r="BA25" s="3" t="str">
        <f>IFERROR(__xludf.DUMMYFUNCTION("GoogleTranslate(C25, ""en"", ""sr"")"),"Опис боје")</f>
        <v>Опис боје</v>
      </c>
      <c r="BB25" s="3" t="str">
        <f>IFERROR(__xludf.DUMMYFUNCTION("GoogleTranslate(C25, ""en"", ""si"")"),"වර්ණ විස්තරය")</f>
        <v>වර්ණ විස්තරය</v>
      </c>
      <c r="BC25" s="3" t="str">
        <f>IFERROR(__xludf.DUMMYFUNCTION("GoogleTranslate(C25, ""en"", ""sk"")"),"Popis farby")</f>
        <v>Popis farby</v>
      </c>
      <c r="BD25" s="3" t="str">
        <f>IFERROR(__xludf.DUMMYFUNCTION("GoogleTranslate(C25, ""en"", ""sl"")"),"Barvni opis")</f>
        <v>Barvni opis</v>
      </c>
      <c r="BE25" s="3" t="str">
        <f>IFERROR(__xludf.DUMMYFUNCTION("GoogleTranslate(C25, ""en"", ""es"")"),"Descripción del color")</f>
        <v>Descripción del color</v>
      </c>
      <c r="BF25" s="3" t="str">
        <f>IFERROR(__xludf.DUMMYFUNCTION("GoogleTranslate(C25, ""en"", ""sw"")"),"Maelezo ya rangi")</f>
        <v>Maelezo ya rangi</v>
      </c>
      <c r="BG25" s="3" t="str">
        <f>IFERROR(__xludf.DUMMYFUNCTION("GoogleTranslate(C25, ""en"", ""sv"")"),"Färgbeskrivning")</f>
        <v>Färgbeskrivning</v>
      </c>
      <c r="BH25" s="3" t="str">
        <f>IFERROR(__xludf.DUMMYFUNCTION("GoogleTranslate(C25, ""en"", ""te"")"),"రంగు వివరణ")</f>
        <v>రంగు వివరణ</v>
      </c>
      <c r="BI25" s="3" t="str">
        <f>IFERROR(__xludf.DUMMYFUNCTION("GoogleTranslate(C25, ""en"", ""th"")"),"คำอธิบายสี")</f>
        <v>คำอธิบายสี</v>
      </c>
      <c r="BJ25" s="3" t="str">
        <f>IFERROR(__xludf.DUMMYFUNCTION("GoogleTranslate(C25, ""en"", ""tr"")"),"Renk açıklaması")</f>
        <v>Renk açıklaması</v>
      </c>
      <c r="BK25" s="3" t="str">
        <f>IFERROR(__xludf.DUMMYFUNCTION("GoogleTranslate(C25, ""en"", ""uk"")"),"Опис кольору")</f>
        <v>Опис кольору</v>
      </c>
      <c r="BL25" s="3" t="str">
        <f>IFERROR(__xludf.DUMMYFUNCTION("GoogleTranslate(C25, ""en"", ""zu"")"),"Incazelo yombala")</f>
        <v>Incazelo yombala</v>
      </c>
    </row>
    <row r="26">
      <c r="A26" s="1" t="str">
        <f t="shared" si="1"/>
        <v>Title_color</v>
      </c>
      <c r="B26" s="4" t="s">
        <v>88</v>
      </c>
      <c r="C26" s="1" t="str">
        <f t="shared" si="2"/>
        <v>Title color</v>
      </c>
      <c r="D26" s="3" t="str">
        <f>IFERROR(__xludf.DUMMYFUNCTION("GoogleTranslate(C26, ""en"", ""es"")"),"Color del título")</f>
        <v>Color del título</v>
      </c>
      <c r="E26" s="3" t="str">
        <f>IFERROR(__xludf.DUMMYFUNCTION("GoogleTranslate(C26, ""en"", ""ar"")"),"لون العنوان")</f>
        <v>لون العنوان</v>
      </c>
      <c r="F26" s="3" t="str">
        <f>IFERROR(__xludf.DUMMYFUNCTION("GoogleTranslate(C26, ""en"", ""hy"")"),"Վերնագրի գույնը")</f>
        <v>Վերնագրի գույնը</v>
      </c>
      <c r="G26" s="3" t="str">
        <f>IFERROR(__xludf.DUMMYFUNCTION("GoogleTranslate(C26, ""en"", ""vi"")"),"Màu tiêu đề")</f>
        <v>Màu tiêu đề</v>
      </c>
      <c r="H26" s="3" t="str">
        <f>IFERROR(__xludf.DUMMYFUNCTION("GoogleTranslate(C26, ""en"", ""az"")"),"Başlıq rəngi")</f>
        <v>Başlıq rəngi</v>
      </c>
      <c r="I26" s="3" t="str">
        <f>IFERROR(__xludf.DUMMYFUNCTION("GoogleTranslate(C26, ""en"", ""eu"")"),"Izenburuaren kolorea")</f>
        <v>Izenburuaren kolorea</v>
      </c>
      <c r="J26" s="3" t="str">
        <f>IFERROR(__xludf.DUMMYFUNCTION("GoogleTranslate(C26, ""en"", ""be"")"),"Колер загалоўка")</f>
        <v>Колер загалоўка</v>
      </c>
      <c r="K26" s="3" t="str">
        <f>IFERROR(__xludf.DUMMYFUNCTION("GoogleTranslate(C26, ""en"", ""bn"")"),"শিরোনামের রঙ")</f>
        <v>শিরোনামের রঙ</v>
      </c>
      <c r="L26" s="3" t="str">
        <f>IFERROR(__xludf.DUMMYFUNCTION("GoogleTranslate(C26, ""en"", ""bg"")"),"Цвят на заглавието")</f>
        <v>Цвят на заглавието</v>
      </c>
      <c r="M26" s="3" t="str">
        <f>IFERROR(__xludf.DUMMYFUNCTION("GoogleTranslate(C26, ""en"", ""my"")"),"ခေါင်းစဉ်အရောင်")</f>
        <v>ခေါင်းစဉ်အရောင်</v>
      </c>
      <c r="N26" s="3" t="str">
        <f>IFERROR(__xludf.DUMMYFUNCTION("GoogleTranslate(C26, ""en"", ""ca"")"),"Color del títol")</f>
        <v>Color del títol</v>
      </c>
      <c r="O26" s="3" t="str">
        <f>IFERROR(__xludf.DUMMYFUNCTION("GoogleTranslate(C26, ""en"", ""zh-cn"")"),"标题颜色")</f>
        <v>标题颜色</v>
      </c>
      <c r="P26" s="3" t="str">
        <f>IFERROR(__xludf.DUMMYFUNCTION("GoogleTranslate(C26, ""en"", ""zh-TW"")"),"標題顏色")</f>
        <v>標題顏色</v>
      </c>
      <c r="Q26" s="3" t="str">
        <f>IFERROR(__xludf.DUMMYFUNCTION("GoogleTranslate(C26, ""en"", ""hr"")"),"Boja naslova")</f>
        <v>Boja naslova</v>
      </c>
      <c r="R26" s="3" t="str">
        <f>IFERROR(__xludf.DUMMYFUNCTION("GoogleTranslate(C26, ""en"", ""cs"")"),"Barva názvu")</f>
        <v>Barva názvu</v>
      </c>
      <c r="S26" s="3" t="str">
        <f>IFERROR(__xludf.DUMMYFUNCTION("GoogleTranslate(C26, ""en"", ""da"")"),"Titelfarve")</f>
        <v>Titelfarve</v>
      </c>
      <c r="T26" s="3" t="str">
        <f>IFERROR(__xludf.DUMMYFUNCTION("GoogleTranslate(C26, ""en"", ""nl"")"),"Titel kleur")</f>
        <v>Titel kleur</v>
      </c>
      <c r="U26" s="3" t="str">
        <f>IFERROR(__xludf.DUMMYFUNCTION("GoogleTranslate(C26, ""en"", ""et"")"),"Pealkirja värv")</f>
        <v>Pealkirja värv</v>
      </c>
      <c r="V26" s="1" t="str">
        <f t="shared" si="3"/>
        <v>Title color</v>
      </c>
      <c r="W26" s="3" t="str">
        <f>IFERROR(__xludf.DUMMYFUNCTION("GoogleTranslate(C26, ""en"", ""fi"")"),"Otsikon väri")</f>
        <v>Otsikon väri</v>
      </c>
      <c r="X26" s="3" t="str">
        <f>IFERROR(__xludf.DUMMYFUNCTION("GoogleTranslate(C26, ""en"", ""fr"")"),"Couleur du titre")</f>
        <v>Couleur du titre</v>
      </c>
      <c r="Y26" s="3" t="str">
        <f>IFERROR(__xludf.DUMMYFUNCTION("GoogleTranslate(C26, ""en"", ""de"")"),"Titelfarbe")</f>
        <v>Titelfarbe</v>
      </c>
      <c r="Z26" s="3" t="str">
        <f>IFERROR(__xludf.DUMMYFUNCTION("GoogleTranslate(C26, ""en"", ""el"")"),"Χρώμα τίτλου")</f>
        <v>Χρώμα τίτλου</v>
      </c>
      <c r="AA26" s="3" t="str">
        <f>IFERROR(__xludf.DUMMYFUNCTION("GoogleTranslate(C26, ""en"", ""iw"")"),"צבע הכותרת")</f>
        <v>צבע הכותרת</v>
      </c>
      <c r="AB26" s="3" t="str">
        <f>IFERROR(__xludf.DUMMYFUNCTION("GoogleTranslate(C26, ""en"", ""hi"")"),"शीर्षक का रंग")</f>
        <v>शीर्षक का रंग</v>
      </c>
      <c r="AC26" s="3" t="str">
        <f>IFERROR(__xludf.DUMMYFUNCTION("GoogleTranslate(C26, ""en"", ""hu"")"),"Cím színe")</f>
        <v>Cím színe</v>
      </c>
      <c r="AD26" s="3" t="str">
        <f>IFERROR(__xludf.DUMMYFUNCTION("GoogleTranslate(C26, ""en"", ""is"")"),"Litur titils")</f>
        <v>Litur titils</v>
      </c>
      <c r="AE26" s="3" t="str">
        <f>IFERROR(__xludf.DUMMYFUNCTION("GoogleTranslate(C26, ""en"", ""id"")"),"Warna judul")</f>
        <v>Warna judul</v>
      </c>
      <c r="AF26" s="3" t="str">
        <f>IFERROR(__xludf.DUMMYFUNCTION("GoogleTranslate(C26, ""en"", ""in"")"),"Warna judul")</f>
        <v>Warna judul</v>
      </c>
      <c r="AG26" s="3" t="str">
        <f>IFERROR(__xludf.DUMMYFUNCTION("GoogleTranslate(C26, ""en"", ""it"")"),"Colore del titolo")</f>
        <v>Colore del titolo</v>
      </c>
      <c r="AH26" s="3" t="str">
        <f>IFERROR(__xludf.DUMMYFUNCTION("GoogleTranslate(C26, ""en"", ""ja"")"),"タイトルの色")</f>
        <v>タイトルの色</v>
      </c>
      <c r="AI26" s="3" t="str">
        <f>IFERROR(__xludf.DUMMYFUNCTION("GoogleTranslate(C26, ""en"", ""kn"")"),"ಶೀರ್ಷಿಕೆ ಬಣ್ಣ")</f>
        <v>ಶೀರ್ಷಿಕೆ ಬಣ್ಣ</v>
      </c>
      <c r="AJ26" s="3" t="str">
        <f>IFERROR(__xludf.DUMMYFUNCTION("GoogleTranslate(C26, ""en"", ""km"")"),"ពណ៌ចំណងជើង")</f>
        <v>ពណ៌ចំណងជើង</v>
      </c>
      <c r="AK26" s="3" t="str">
        <f>IFERROR(__xludf.DUMMYFUNCTION("GoogleTranslate(C26, ""en"", ""ko"")"),"제목 색상")</f>
        <v>제목 색상</v>
      </c>
      <c r="AL26" s="3" t="str">
        <f>IFERROR(__xludf.DUMMYFUNCTION("GoogleTranslate(C26, ""en"", ""lo"")"),"ສີຫົວຂໍ້")</f>
        <v>ສີຫົວຂໍ້</v>
      </c>
      <c r="AM26" s="3" t="str">
        <f>IFERROR(__xludf.DUMMYFUNCTION("GoogleTranslate(C26, ""en"", ""lv"")"),"Virsraksta krāsa")</f>
        <v>Virsraksta krāsa</v>
      </c>
      <c r="AN26" s="3" t="str">
        <f>IFERROR(__xludf.DUMMYFUNCTION("GoogleTranslate(C26, ""en"", ""lt"")"),"Pavadinimo spalva")</f>
        <v>Pavadinimo spalva</v>
      </c>
      <c r="AO26" s="3" t="str">
        <f>IFERROR(__xludf.DUMMYFUNCTION("GoogleTranslate(C26, ""en"", ""mk"")"),"Боја на насловот")</f>
        <v>Боја на насловот</v>
      </c>
      <c r="AP26" s="3" t="str">
        <f>IFERROR(__xludf.DUMMYFUNCTION("GoogleTranslate(C26, ""en"", ""ms"")"),"Warna tajuk")</f>
        <v>Warna tajuk</v>
      </c>
      <c r="AQ26" s="3" t="str">
        <f>IFERROR(__xludf.DUMMYFUNCTION("GoogleTranslate(C26, ""en"", ""ml"")"),"ശീർഷക നിറം")</f>
        <v>ശീർഷക നിറം</v>
      </c>
      <c r="AR26" s="3" t="str">
        <f>IFERROR(__xludf.DUMMYFUNCTION("GoogleTranslate(C26, ""en"", ""mr"")"),"शीर्षक रंग")</f>
        <v>शीर्षक रंग</v>
      </c>
      <c r="AS26" s="3" t="str">
        <f>IFERROR(__xludf.DUMMYFUNCTION("GoogleTranslate(C26, ""en"", ""mn"")"),"Гарчгийн өнгө")</f>
        <v>Гарчгийн өнгө</v>
      </c>
      <c r="AT26" s="3" t="str">
        <f>IFERROR(__xludf.DUMMYFUNCTION("GoogleTranslate(C26, ""en"", ""ne"")"),"शीर्षक रंग")</f>
        <v>शीर्षक रंग</v>
      </c>
      <c r="AU26" s="3" t="str">
        <f>IFERROR(__xludf.DUMMYFUNCTION("GoogleTranslate(C26, ""en"", ""nb"")"),"Tittelfarge")</f>
        <v>Tittelfarge</v>
      </c>
      <c r="AV26" s="3" t="str">
        <f>IFERROR(__xludf.DUMMYFUNCTION("GoogleTranslate(C26, ""en"", ""fa"")"),"رنگ عنوان")</f>
        <v>رنگ عنوان</v>
      </c>
      <c r="AW26" s="3" t="str">
        <f>IFERROR(__xludf.DUMMYFUNCTION("GoogleTranslate(C26, ""en"", ""pl"")"),"Kolor tytułu")</f>
        <v>Kolor tytułu</v>
      </c>
      <c r="AX26" s="3" t="str">
        <f>IFERROR(__xludf.DUMMYFUNCTION("GoogleTranslate(C26, ""en"", ""pt"")"),"Cor do título")</f>
        <v>Cor do título</v>
      </c>
      <c r="AY26" s="3" t="str">
        <f>IFERROR(__xludf.DUMMYFUNCTION("GoogleTranslate(C26, ""en"", ""ro"")"),"Culoarea titlului")</f>
        <v>Culoarea titlului</v>
      </c>
      <c r="AZ26" s="3" t="str">
        <f>IFERROR(__xludf.DUMMYFUNCTION("GoogleTranslate(C26, ""en"", ""ru"")"),"Цвет заголовка")</f>
        <v>Цвет заголовка</v>
      </c>
      <c r="BA26" s="3" t="str">
        <f>IFERROR(__xludf.DUMMYFUNCTION("GoogleTranslate(C26, ""en"", ""sr"")"),"Боја наслова")</f>
        <v>Боја наслова</v>
      </c>
      <c r="BB26" s="3" t="str">
        <f>IFERROR(__xludf.DUMMYFUNCTION("GoogleTranslate(C26, ""en"", ""si"")"),"මාතෘකා වර්ණය")</f>
        <v>මාතෘකා වර්ණය</v>
      </c>
      <c r="BC26" s="3" t="str">
        <f>IFERROR(__xludf.DUMMYFUNCTION("GoogleTranslate(C26, ""en"", ""sk"")"),"Farba nadpisu")</f>
        <v>Farba nadpisu</v>
      </c>
      <c r="BD26" s="3" t="str">
        <f>IFERROR(__xludf.DUMMYFUNCTION("GoogleTranslate(C26, ""en"", ""sl"")"),"Barva naslova")</f>
        <v>Barva naslova</v>
      </c>
      <c r="BE26" s="3" t="str">
        <f>IFERROR(__xludf.DUMMYFUNCTION("GoogleTranslate(C26, ""en"", ""es"")"),"Color del título")</f>
        <v>Color del título</v>
      </c>
      <c r="BF26" s="3" t="str">
        <f>IFERROR(__xludf.DUMMYFUNCTION("GoogleTranslate(C26, ""en"", ""sw"")"),"Rangi ya kichwa")</f>
        <v>Rangi ya kichwa</v>
      </c>
      <c r="BG26" s="3" t="str">
        <f>IFERROR(__xludf.DUMMYFUNCTION("GoogleTranslate(C26, ""en"", ""sv"")"),"Titelfärg")</f>
        <v>Titelfärg</v>
      </c>
      <c r="BH26" s="3" t="str">
        <f>IFERROR(__xludf.DUMMYFUNCTION("GoogleTranslate(C26, ""en"", ""te"")"),"శీర్షిక రంగు")</f>
        <v>శీర్షిక రంగు</v>
      </c>
      <c r="BI26" s="3" t="str">
        <f>IFERROR(__xludf.DUMMYFUNCTION("GoogleTranslate(C26, ""en"", ""th"")"),"สีของชื่อเรื่อง")</f>
        <v>สีของชื่อเรื่อง</v>
      </c>
      <c r="BJ26" s="3" t="str">
        <f>IFERROR(__xludf.DUMMYFUNCTION("GoogleTranslate(C26, ""en"", ""tr"")"),"Başlık rengi")</f>
        <v>Başlık rengi</v>
      </c>
      <c r="BK26" s="3" t="str">
        <f>IFERROR(__xludf.DUMMYFUNCTION("GoogleTranslate(C26, ""en"", ""uk"")"),"Колір заголовка")</f>
        <v>Колір заголовка</v>
      </c>
      <c r="BL26" s="3" t="str">
        <f>IFERROR(__xludf.DUMMYFUNCTION("GoogleTranslate(C26, ""en"", ""zu"")"),"Umbala wesihloko")</f>
        <v>Umbala wesihloko</v>
      </c>
    </row>
    <row r="27">
      <c r="A27" s="1" t="str">
        <f t="shared" si="1"/>
        <v>Text_color</v>
      </c>
      <c r="B27" s="4" t="s">
        <v>89</v>
      </c>
      <c r="C27" s="1" t="str">
        <f t="shared" si="2"/>
        <v>Text color</v>
      </c>
      <c r="D27" s="3" t="str">
        <f>IFERROR(__xludf.DUMMYFUNCTION("GoogleTranslate(C27, ""en"", ""es"")"),"Color del texto")</f>
        <v>Color del texto</v>
      </c>
      <c r="E27" s="3" t="str">
        <f>IFERROR(__xludf.DUMMYFUNCTION("GoogleTranslate(C27, ""en"", ""ar"")"),"لون النص")</f>
        <v>لون النص</v>
      </c>
      <c r="F27" s="3" t="str">
        <f>IFERROR(__xludf.DUMMYFUNCTION("GoogleTranslate(C27, ""en"", ""hy"")"),"Տեքստի գույնը")</f>
        <v>Տեքստի գույնը</v>
      </c>
      <c r="G27" s="3" t="str">
        <f>IFERROR(__xludf.DUMMYFUNCTION("GoogleTranslate(C27, ""en"", ""vi"")"),"Màu văn bản")</f>
        <v>Màu văn bản</v>
      </c>
      <c r="H27" s="3" t="str">
        <f>IFERROR(__xludf.DUMMYFUNCTION("GoogleTranslate(C27, ""en"", ""az"")"),"Mətnin rəngi")</f>
        <v>Mətnin rəngi</v>
      </c>
      <c r="I27" s="3" t="str">
        <f>IFERROR(__xludf.DUMMYFUNCTION("GoogleTranslate(C27, ""en"", ""eu"")"),"Testuaren kolorea")</f>
        <v>Testuaren kolorea</v>
      </c>
      <c r="J27" s="3" t="str">
        <f>IFERROR(__xludf.DUMMYFUNCTION("GoogleTranslate(C27, ""en"", ""be"")"),"Колер тэксту")</f>
        <v>Колер тэксту</v>
      </c>
      <c r="K27" s="3" t="str">
        <f>IFERROR(__xludf.DUMMYFUNCTION("GoogleTranslate(C27, ""en"", ""bn"")"),"পাঠ্যের রঙ")</f>
        <v>পাঠ্যের রঙ</v>
      </c>
      <c r="L27" s="3" t="str">
        <f>IFERROR(__xludf.DUMMYFUNCTION("GoogleTranslate(C27, ""en"", ""bg"")"),"Цвят на текста")</f>
        <v>Цвят на текста</v>
      </c>
      <c r="M27" s="3" t="str">
        <f>IFERROR(__xludf.DUMMYFUNCTION("GoogleTranslate(C27, ""en"", ""my"")"),"စာသားအရောင်")</f>
        <v>စာသားအရောင်</v>
      </c>
      <c r="N27" s="3" t="str">
        <f>IFERROR(__xludf.DUMMYFUNCTION("GoogleTranslate(C27, ""en"", ""ca"")"),"Color del text")</f>
        <v>Color del text</v>
      </c>
      <c r="O27" s="3" t="str">
        <f>IFERROR(__xludf.DUMMYFUNCTION("GoogleTranslate(C27, ""en"", ""zh-cn"")"),"文字颜色")</f>
        <v>文字颜色</v>
      </c>
      <c r="P27" s="3" t="str">
        <f>IFERROR(__xludf.DUMMYFUNCTION("GoogleTranslate(C27, ""en"", ""zh-TW"")"),"文字顏色")</f>
        <v>文字顏色</v>
      </c>
      <c r="Q27" s="3" t="str">
        <f>IFERROR(__xludf.DUMMYFUNCTION("GoogleTranslate(C27, ""en"", ""hr"")"),"Boja teksta")</f>
        <v>Boja teksta</v>
      </c>
      <c r="R27" s="3" t="str">
        <f>IFERROR(__xludf.DUMMYFUNCTION("GoogleTranslate(C27, ""en"", ""cs"")"),"Barva textu")</f>
        <v>Barva textu</v>
      </c>
      <c r="S27" s="3" t="str">
        <f>IFERROR(__xludf.DUMMYFUNCTION("GoogleTranslate(C27, ""en"", ""da"")"),"Tekstfarve")</f>
        <v>Tekstfarve</v>
      </c>
      <c r="T27" s="3" t="str">
        <f>IFERROR(__xludf.DUMMYFUNCTION("GoogleTranslate(C27, ""en"", ""nl"")"),"Tekstkleur")</f>
        <v>Tekstkleur</v>
      </c>
      <c r="U27" s="3" t="str">
        <f>IFERROR(__xludf.DUMMYFUNCTION("GoogleTranslate(C27, ""en"", ""et"")"),"Teksti värv")</f>
        <v>Teksti värv</v>
      </c>
      <c r="V27" s="1" t="str">
        <f t="shared" si="3"/>
        <v>Text color</v>
      </c>
      <c r="W27" s="3" t="str">
        <f>IFERROR(__xludf.DUMMYFUNCTION("GoogleTranslate(C27, ""en"", ""fi"")"),"Tekstin väri")</f>
        <v>Tekstin väri</v>
      </c>
      <c r="X27" s="3" t="str">
        <f>IFERROR(__xludf.DUMMYFUNCTION("GoogleTranslate(C27, ""en"", ""fr"")"),"Couleur du texte")</f>
        <v>Couleur du texte</v>
      </c>
      <c r="Y27" s="3" t="str">
        <f>IFERROR(__xludf.DUMMYFUNCTION("GoogleTranslate(C27, ""en"", ""de"")"),"Textfarbe")</f>
        <v>Textfarbe</v>
      </c>
      <c r="Z27" s="3" t="str">
        <f>IFERROR(__xludf.DUMMYFUNCTION("GoogleTranslate(C27, ""en"", ""el"")"),"Χρώμα κειμένου")</f>
        <v>Χρώμα κειμένου</v>
      </c>
      <c r="AA27" s="3" t="str">
        <f>IFERROR(__xludf.DUMMYFUNCTION("GoogleTranslate(C27, ""en"", ""iw"")"),"צבע טקסט")</f>
        <v>צבע טקסט</v>
      </c>
      <c r="AB27" s="3" t="str">
        <f>IFERROR(__xludf.DUMMYFUNCTION("GoogleTranslate(C27, ""en"", ""hi"")"),"पाठ का रंग")</f>
        <v>पाठ का रंग</v>
      </c>
      <c r="AC27" s="3" t="str">
        <f>IFERROR(__xludf.DUMMYFUNCTION("GoogleTranslate(C27, ""en"", ""hu"")"),"Szöveg színe")</f>
        <v>Szöveg színe</v>
      </c>
      <c r="AD27" s="3" t="str">
        <f>IFERROR(__xludf.DUMMYFUNCTION("GoogleTranslate(C27, ""en"", ""is"")"),"Litur texta")</f>
        <v>Litur texta</v>
      </c>
      <c r="AE27" s="3" t="str">
        <f>IFERROR(__xludf.DUMMYFUNCTION("GoogleTranslate(C27, ""en"", ""id"")"),"Warna teks")</f>
        <v>Warna teks</v>
      </c>
      <c r="AF27" s="3" t="str">
        <f>IFERROR(__xludf.DUMMYFUNCTION("GoogleTranslate(C27, ""en"", ""in"")"),"Warna teks")</f>
        <v>Warna teks</v>
      </c>
      <c r="AG27" s="3" t="str">
        <f>IFERROR(__xludf.DUMMYFUNCTION("GoogleTranslate(C27, ""en"", ""it"")"),"Colore del testo")</f>
        <v>Colore del testo</v>
      </c>
      <c r="AH27" s="3" t="str">
        <f>IFERROR(__xludf.DUMMYFUNCTION("GoogleTranslate(C27, ""en"", ""ja"")"),"文字の色")</f>
        <v>文字の色</v>
      </c>
      <c r="AI27" s="3" t="str">
        <f>IFERROR(__xludf.DUMMYFUNCTION("GoogleTranslate(C27, ""en"", ""kn"")"),"ಪಠ್ಯದ ಬಣ್ಣ")</f>
        <v>ಪಠ್ಯದ ಬಣ್ಣ</v>
      </c>
      <c r="AJ27" s="3" t="str">
        <f>IFERROR(__xludf.DUMMYFUNCTION("GoogleTranslate(C27, ""en"", ""km"")"),"ពណ៌អត្ថបទ")</f>
        <v>ពណ៌អត្ថបទ</v>
      </c>
      <c r="AK27" s="3" t="str">
        <f>IFERROR(__xludf.DUMMYFUNCTION("GoogleTranslate(C27, ""en"", ""ko"")"),"텍스트 색상")</f>
        <v>텍스트 색상</v>
      </c>
      <c r="AL27" s="3" t="str">
        <f>IFERROR(__xludf.DUMMYFUNCTION("GoogleTranslate(C27, ""en"", ""lo"")"),"ສີຂໍ້ຄວາມ")</f>
        <v>ສີຂໍ້ຄວາມ</v>
      </c>
      <c r="AM27" s="3" t="str">
        <f>IFERROR(__xludf.DUMMYFUNCTION("GoogleTranslate(C27, ""en"", ""lv"")"),"Teksta krāsa")</f>
        <v>Teksta krāsa</v>
      </c>
      <c r="AN27" s="3" t="str">
        <f>IFERROR(__xludf.DUMMYFUNCTION("GoogleTranslate(C27, ""en"", ""lt"")"),"Teksto spalva")</f>
        <v>Teksto spalva</v>
      </c>
      <c r="AO27" s="3" t="str">
        <f>IFERROR(__xludf.DUMMYFUNCTION("GoogleTranslate(C27, ""en"", ""mk"")"),"Боја на текстот")</f>
        <v>Боја на текстот</v>
      </c>
      <c r="AP27" s="3" t="str">
        <f>IFERROR(__xludf.DUMMYFUNCTION("GoogleTranslate(C27, ""en"", ""ms"")"),"Warna teks")</f>
        <v>Warna teks</v>
      </c>
      <c r="AQ27" s="3" t="str">
        <f>IFERROR(__xludf.DUMMYFUNCTION("GoogleTranslate(C27, ""en"", ""ml"")"),"ടെക്സ്റ്റ് നിറം")</f>
        <v>ടെക്സ്റ്റ് നിറം</v>
      </c>
      <c r="AR27" s="3" t="str">
        <f>IFERROR(__xludf.DUMMYFUNCTION("GoogleTranslate(C27, ""en"", ""mr"")"),"मजकूर रंग")</f>
        <v>मजकूर रंग</v>
      </c>
      <c r="AS27" s="3" t="str">
        <f>IFERROR(__xludf.DUMMYFUNCTION("GoogleTranslate(C27, ""en"", ""mn"")"),"Текстийн өнгө")</f>
        <v>Текстийн өнгө</v>
      </c>
      <c r="AT27" s="3" t="str">
        <f>IFERROR(__xludf.DUMMYFUNCTION("GoogleTranslate(C27, ""en"", ""ne"")"),"पाठ रङ")</f>
        <v>पाठ रङ</v>
      </c>
      <c r="AU27" s="3" t="str">
        <f>IFERROR(__xludf.DUMMYFUNCTION("GoogleTranslate(C27, ""en"", ""nb"")"),"Tekstfarge")</f>
        <v>Tekstfarge</v>
      </c>
      <c r="AV27" s="3" t="str">
        <f>IFERROR(__xludf.DUMMYFUNCTION("GoogleTranslate(C27, ""en"", ""fa"")"),"رنگ متن")</f>
        <v>رنگ متن</v>
      </c>
      <c r="AW27" s="3" t="str">
        <f>IFERROR(__xludf.DUMMYFUNCTION("GoogleTranslate(C27, ""en"", ""pl"")"),"Kolor tekstu")</f>
        <v>Kolor tekstu</v>
      </c>
      <c r="AX27" s="3" t="str">
        <f>IFERROR(__xludf.DUMMYFUNCTION("GoogleTranslate(C27, ""en"", ""pt"")"),"Cor do texto")</f>
        <v>Cor do texto</v>
      </c>
      <c r="AY27" s="3" t="str">
        <f>IFERROR(__xludf.DUMMYFUNCTION("GoogleTranslate(C27, ""en"", ""ro"")"),"Culoarea textului")</f>
        <v>Culoarea textului</v>
      </c>
      <c r="AZ27" s="3" t="str">
        <f>IFERROR(__xludf.DUMMYFUNCTION("GoogleTranslate(C27, ""en"", ""ru"")"),"Цвет текста")</f>
        <v>Цвет текста</v>
      </c>
      <c r="BA27" s="3" t="str">
        <f>IFERROR(__xludf.DUMMYFUNCTION("GoogleTranslate(C27, ""en"", ""sr"")"),"Боја текста")</f>
        <v>Боја текста</v>
      </c>
      <c r="BB27" s="3" t="str">
        <f>IFERROR(__xludf.DUMMYFUNCTION("GoogleTranslate(C27, ""en"", ""si"")"),"පෙළ වර්ණය")</f>
        <v>පෙළ වර්ණය</v>
      </c>
      <c r="BC27" s="3" t="str">
        <f>IFERROR(__xludf.DUMMYFUNCTION("GoogleTranslate(C27, ""en"", ""sk"")"),"Farba textu")</f>
        <v>Farba textu</v>
      </c>
      <c r="BD27" s="3" t="str">
        <f>IFERROR(__xludf.DUMMYFUNCTION("GoogleTranslate(C27, ""en"", ""sl"")"),"Barva besedila")</f>
        <v>Barva besedila</v>
      </c>
      <c r="BE27" s="3" t="str">
        <f>IFERROR(__xludf.DUMMYFUNCTION("GoogleTranslate(C27, ""en"", ""es"")"),"Color del texto")</f>
        <v>Color del texto</v>
      </c>
      <c r="BF27" s="3" t="str">
        <f>IFERROR(__xludf.DUMMYFUNCTION("GoogleTranslate(C27, ""en"", ""sw"")"),"Rangi ya maandishi")</f>
        <v>Rangi ya maandishi</v>
      </c>
      <c r="BG27" s="3" t="str">
        <f>IFERROR(__xludf.DUMMYFUNCTION("GoogleTranslate(C27, ""en"", ""sv"")"),"Textfärg")</f>
        <v>Textfärg</v>
      </c>
      <c r="BH27" s="3" t="str">
        <f>IFERROR(__xludf.DUMMYFUNCTION("GoogleTranslate(C27, ""en"", ""te"")"),"టెక్స్ట్ రంగు")</f>
        <v>టెక్స్ట్ రంగు</v>
      </c>
      <c r="BI27" s="3" t="str">
        <f>IFERROR(__xludf.DUMMYFUNCTION("GoogleTranslate(C27, ""en"", ""th"")"),"สีข้อความ")</f>
        <v>สีข้อความ</v>
      </c>
      <c r="BJ27" s="3" t="str">
        <f>IFERROR(__xludf.DUMMYFUNCTION("GoogleTranslate(C27, ""en"", ""tr"")"),"Metin rengi")</f>
        <v>Metin rengi</v>
      </c>
      <c r="BK27" s="3" t="str">
        <f>IFERROR(__xludf.DUMMYFUNCTION("GoogleTranslate(C27, ""en"", ""uk"")"),"Колір тексту")</f>
        <v>Колір тексту</v>
      </c>
      <c r="BL27" s="3" t="str">
        <f>IFERROR(__xludf.DUMMYFUNCTION("GoogleTranslate(C27, ""en"", ""zu"")"),"Umbala wombhalo")</f>
        <v>Umbala wombhalo</v>
      </c>
    </row>
    <row r="28">
      <c r="A28" s="1" t="str">
        <f t="shared" si="1"/>
        <v>Line_color</v>
      </c>
      <c r="B28" s="4" t="s">
        <v>90</v>
      </c>
      <c r="C28" s="1" t="str">
        <f t="shared" si="2"/>
        <v>Line color</v>
      </c>
      <c r="D28" s="3" t="str">
        <f>IFERROR(__xludf.DUMMYFUNCTION("GoogleTranslate(C28, ""en"", ""es"")"),"Color de línea")</f>
        <v>Color de línea</v>
      </c>
      <c r="E28" s="3" t="str">
        <f>IFERROR(__xludf.DUMMYFUNCTION("GoogleTranslate(C28, ""en"", ""ar"")"),"لون الخط")</f>
        <v>لون الخط</v>
      </c>
      <c r="F28" s="3" t="str">
        <f>IFERROR(__xludf.DUMMYFUNCTION("GoogleTranslate(C28, ""en"", ""hy"")"),"Գծի գույնը")</f>
        <v>Գծի գույնը</v>
      </c>
      <c r="G28" s="3" t="str">
        <f>IFERROR(__xludf.DUMMYFUNCTION("GoogleTranslate(C28, ""en"", ""vi"")"),"Màu đường")</f>
        <v>Màu đường</v>
      </c>
      <c r="H28" s="3" t="str">
        <f>IFERROR(__xludf.DUMMYFUNCTION("GoogleTranslate(C28, ""en"", ""az"")"),"Xətt rəngi")</f>
        <v>Xətt rəngi</v>
      </c>
      <c r="I28" s="3" t="str">
        <f>IFERROR(__xludf.DUMMYFUNCTION("GoogleTranslate(C28, ""en"", ""eu"")"),"Lerroaren kolorea")</f>
        <v>Lerroaren kolorea</v>
      </c>
      <c r="J28" s="3" t="str">
        <f>IFERROR(__xludf.DUMMYFUNCTION("GoogleTranslate(C28, ""en"", ""be"")"),"Колер лініі")</f>
        <v>Колер лініі</v>
      </c>
      <c r="K28" s="3" t="str">
        <f>IFERROR(__xludf.DUMMYFUNCTION("GoogleTranslate(C28, ""en"", ""bn"")"),"লাইনের রঙ")</f>
        <v>লাইনের রঙ</v>
      </c>
      <c r="L28" s="3" t="str">
        <f>IFERROR(__xludf.DUMMYFUNCTION("GoogleTranslate(C28, ""en"", ""bg"")"),"Цвят на линията")</f>
        <v>Цвят на линията</v>
      </c>
      <c r="M28" s="3" t="str">
        <f>IFERROR(__xludf.DUMMYFUNCTION("GoogleTranslate(C28, ""en"", ""my"")"),"လိုင်းအရောင်")</f>
        <v>လိုင်းအရောင်</v>
      </c>
      <c r="N28" s="3" t="str">
        <f>IFERROR(__xludf.DUMMYFUNCTION("GoogleTranslate(C28, ""en"", ""ca"")"),"Color de línia")</f>
        <v>Color de línia</v>
      </c>
      <c r="O28" s="3" t="str">
        <f>IFERROR(__xludf.DUMMYFUNCTION("GoogleTranslate(C28, ""en"", ""zh-cn"")"),"线条颜色")</f>
        <v>线条颜色</v>
      </c>
      <c r="P28" s="3" t="str">
        <f>IFERROR(__xludf.DUMMYFUNCTION("GoogleTranslate(C28, ""en"", ""zh-TW"")"),"線條顏色")</f>
        <v>線條顏色</v>
      </c>
      <c r="Q28" s="3" t="str">
        <f>IFERROR(__xludf.DUMMYFUNCTION("GoogleTranslate(C28, ""en"", ""hr"")"),"Boja linije")</f>
        <v>Boja linije</v>
      </c>
      <c r="R28" s="3" t="str">
        <f>IFERROR(__xludf.DUMMYFUNCTION("GoogleTranslate(C28, ""en"", ""cs"")"),"Barva čáry")</f>
        <v>Barva čáry</v>
      </c>
      <c r="S28" s="3" t="str">
        <f>IFERROR(__xludf.DUMMYFUNCTION("GoogleTranslate(C28, ""en"", ""da"")"),"Linje farve")</f>
        <v>Linje farve</v>
      </c>
      <c r="T28" s="3" t="str">
        <f>IFERROR(__xludf.DUMMYFUNCTION("GoogleTranslate(C28, ""en"", ""nl"")"),"Lijnkleur")</f>
        <v>Lijnkleur</v>
      </c>
      <c r="U28" s="3" t="str">
        <f>IFERROR(__xludf.DUMMYFUNCTION("GoogleTranslate(C28, ""en"", ""et"")"),"Joone värv")</f>
        <v>Joone värv</v>
      </c>
      <c r="V28" s="1" t="str">
        <f t="shared" si="3"/>
        <v>Line color</v>
      </c>
      <c r="W28" s="3" t="str">
        <f>IFERROR(__xludf.DUMMYFUNCTION("GoogleTranslate(C28, ""en"", ""fi"")"),"Viivan väri")</f>
        <v>Viivan väri</v>
      </c>
      <c r="X28" s="3" t="str">
        <f>IFERROR(__xludf.DUMMYFUNCTION("GoogleTranslate(C28, ""en"", ""fr"")"),"Couleur de ligne")</f>
        <v>Couleur de ligne</v>
      </c>
      <c r="Y28" s="3" t="str">
        <f>IFERROR(__xludf.DUMMYFUNCTION("GoogleTranslate(C28, ""en"", ""de"")"),"Linienfarbe")</f>
        <v>Linienfarbe</v>
      </c>
      <c r="Z28" s="3" t="str">
        <f>IFERROR(__xludf.DUMMYFUNCTION("GoogleTranslate(C28, ""en"", ""el"")"),"Χρώμα γραμμής")</f>
        <v>Χρώμα γραμμής</v>
      </c>
      <c r="AA28" s="3" t="str">
        <f>IFERROR(__xludf.DUMMYFUNCTION("GoogleTranslate(C28, ""en"", ""iw"")"),"צבע קו")</f>
        <v>צבע קו</v>
      </c>
      <c r="AB28" s="3" t="str">
        <f>IFERROR(__xludf.DUMMYFUNCTION("GoogleTranslate(C28, ""en"", ""hi"")"),"रेखा रंग")</f>
        <v>रेखा रंग</v>
      </c>
      <c r="AC28" s="3" t="str">
        <f>IFERROR(__xludf.DUMMYFUNCTION("GoogleTranslate(C28, ""en"", ""hu"")"),"Vonal színe")</f>
        <v>Vonal színe</v>
      </c>
      <c r="AD28" s="3" t="str">
        <f>IFERROR(__xludf.DUMMYFUNCTION("GoogleTranslate(C28, ""en"", ""is"")"),"Línulitur")</f>
        <v>Línulitur</v>
      </c>
      <c r="AE28" s="3" t="str">
        <f>IFERROR(__xludf.DUMMYFUNCTION("GoogleTranslate(C28, ""en"", ""id"")"),"Warna garis")</f>
        <v>Warna garis</v>
      </c>
      <c r="AF28" s="3" t="str">
        <f>IFERROR(__xludf.DUMMYFUNCTION("GoogleTranslate(C28, ""en"", ""in"")"),"Warna garis")</f>
        <v>Warna garis</v>
      </c>
      <c r="AG28" s="3" t="str">
        <f>IFERROR(__xludf.DUMMYFUNCTION("GoogleTranslate(C28, ""en"", ""it"")"),"Colore della linea")</f>
        <v>Colore della linea</v>
      </c>
      <c r="AH28" s="3" t="str">
        <f>IFERROR(__xludf.DUMMYFUNCTION("GoogleTranslate(C28, ""en"", ""ja"")"),"線の色")</f>
        <v>線の色</v>
      </c>
      <c r="AI28" s="3" t="str">
        <f>IFERROR(__xludf.DUMMYFUNCTION("GoogleTranslate(C28, ""en"", ""kn"")"),"ಸಾಲಿನ ಬಣ್ಣ")</f>
        <v>ಸಾಲಿನ ಬಣ್ಣ</v>
      </c>
      <c r="AJ28" s="3" t="str">
        <f>IFERROR(__xludf.DUMMYFUNCTION("GoogleTranslate(C28, ""en"", ""km"")"),"ពណ៌បន្ទាត់")</f>
        <v>ពណ៌បន្ទាត់</v>
      </c>
      <c r="AK28" s="3" t="str">
        <f>IFERROR(__xludf.DUMMYFUNCTION("GoogleTranslate(C28, ""en"", ""ko"")"),"선 색상")</f>
        <v>선 색상</v>
      </c>
      <c r="AL28" s="3" t="str">
        <f>IFERROR(__xludf.DUMMYFUNCTION("GoogleTranslate(C28, ""en"", ""lo"")"),"ສີເສັ້ນ")</f>
        <v>ສີເສັ້ນ</v>
      </c>
      <c r="AM28" s="3" t="str">
        <f>IFERROR(__xludf.DUMMYFUNCTION("GoogleTranslate(C28, ""en"", ""lv"")"),"Līnijas krāsa")</f>
        <v>Līnijas krāsa</v>
      </c>
      <c r="AN28" s="3" t="str">
        <f>IFERROR(__xludf.DUMMYFUNCTION("GoogleTranslate(C28, ""en"", ""lt"")"),"Linijos spalva")</f>
        <v>Linijos spalva</v>
      </c>
      <c r="AO28" s="3" t="str">
        <f>IFERROR(__xludf.DUMMYFUNCTION("GoogleTranslate(C28, ""en"", ""mk"")"),"Боја на линијата")</f>
        <v>Боја на линијата</v>
      </c>
      <c r="AP28" s="3" t="str">
        <f>IFERROR(__xludf.DUMMYFUNCTION("GoogleTranslate(C28, ""en"", ""ms"")"),"Warna garisan")</f>
        <v>Warna garisan</v>
      </c>
      <c r="AQ28" s="3" t="str">
        <f>IFERROR(__xludf.DUMMYFUNCTION("GoogleTranslate(C28, ""en"", ""ml"")"),"ലൈൻ നിറം")</f>
        <v>ലൈൻ നിറം</v>
      </c>
      <c r="AR28" s="3" t="str">
        <f>IFERROR(__xludf.DUMMYFUNCTION("GoogleTranslate(C28, ""en"", ""mr"")"),"रेषा रंग")</f>
        <v>रेषा रंग</v>
      </c>
      <c r="AS28" s="3" t="str">
        <f>IFERROR(__xludf.DUMMYFUNCTION("GoogleTranslate(C28, ""en"", ""mn"")"),"Шугамын өнгө")</f>
        <v>Шугамын өнгө</v>
      </c>
      <c r="AT28" s="3" t="str">
        <f>IFERROR(__xludf.DUMMYFUNCTION("GoogleTranslate(C28, ""en"", ""ne"")"),"रेखा रंग")</f>
        <v>रेखा रंग</v>
      </c>
      <c r="AU28" s="3" t="str">
        <f>IFERROR(__xludf.DUMMYFUNCTION("GoogleTranslate(C28, ""en"", ""nb"")"),"Linjefarge")</f>
        <v>Linjefarge</v>
      </c>
      <c r="AV28" s="3" t="str">
        <f>IFERROR(__xludf.DUMMYFUNCTION("GoogleTranslate(C28, ""en"", ""fa"")"),"رنگ خط")</f>
        <v>رنگ خط</v>
      </c>
      <c r="AW28" s="3" t="str">
        <f>IFERROR(__xludf.DUMMYFUNCTION("GoogleTranslate(C28, ""en"", ""pl"")"),"Kolor linii")</f>
        <v>Kolor linii</v>
      </c>
      <c r="AX28" s="3" t="str">
        <f>IFERROR(__xludf.DUMMYFUNCTION("GoogleTranslate(C28, ""en"", ""pt"")"),"Cor da linha")</f>
        <v>Cor da linha</v>
      </c>
      <c r="AY28" s="3" t="str">
        <f>IFERROR(__xludf.DUMMYFUNCTION("GoogleTranslate(C28, ""en"", ""ro"")"),"Culoarea liniei")</f>
        <v>Culoarea liniei</v>
      </c>
      <c r="AZ28" s="3" t="str">
        <f>IFERROR(__xludf.DUMMYFUNCTION("GoogleTranslate(C28, ""en"", ""ru"")"),"Цвет линии")</f>
        <v>Цвет линии</v>
      </c>
      <c r="BA28" s="3" t="str">
        <f>IFERROR(__xludf.DUMMYFUNCTION("GoogleTranslate(C28, ""en"", ""sr"")"),"Боја линије")</f>
        <v>Боја линије</v>
      </c>
      <c r="BB28" s="3" t="str">
        <f>IFERROR(__xludf.DUMMYFUNCTION("GoogleTranslate(C28, ""en"", ""si"")"),"රේඛා වර්ණය")</f>
        <v>රේඛා වර්ණය</v>
      </c>
      <c r="BC28" s="3" t="str">
        <f>IFERROR(__xludf.DUMMYFUNCTION("GoogleTranslate(C28, ""en"", ""sk"")"),"Farba čiary")</f>
        <v>Farba čiary</v>
      </c>
      <c r="BD28" s="3" t="str">
        <f>IFERROR(__xludf.DUMMYFUNCTION("GoogleTranslate(C28, ""en"", ""sl"")"),"Barva črte")</f>
        <v>Barva črte</v>
      </c>
      <c r="BE28" s="3" t="str">
        <f>IFERROR(__xludf.DUMMYFUNCTION("GoogleTranslate(C28, ""en"", ""es"")"),"Color de línea")</f>
        <v>Color de línea</v>
      </c>
      <c r="BF28" s="3" t="str">
        <f>IFERROR(__xludf.DUMMYFUNCTION("GoogleTranslate(C28, ""en"", ""sw"")"),"Rangi ya mstari")</f>
        <v>Rangi ya mstari</v>
      </c>
      <c r="BG28" s="3" t="str">
        <f>IFERROR(__xludf.DUMMYFUNCTION("GoogleTranslate(C28, ""en"", ""sv"")"),"Linjefärg")</f>
        <v>Linjefärg</v>
      </c>
      <c r="BH28" s="3" t="str">
        <f>IFERROR(__xludf.DUMMYFUNCTION("GoogleTranslate(C28, ""en"", ""te"")"),"పంక్తి రంగు")</f>
        <v>పంక్తి రంగు</v>
      </c>
      <c r="BI28" s="3" t="str">
        <f>IFERROR(__xludf.DUMMYFUNCTION("GoogleTranslate(C28, ""en"", ""th"")"),"สีเส้น")</f>
        <v>สีเส้น</v>
      </c>
      <c r="BJ28" s="3" t="str">
        <f>IFERROR(__xludf.DUMMYFUNCTION("GoogleTranslate(C28, ""en"", ""tr"")"),"Çizgi rengi")</f>
        <v>Çizgi rengi</v>
      </c>
      <c r="BK28" s="3" t="str">
        <f>IFERROR(__xludf.DUMMYFUNCTION("GoogleTranslate(C28, ""en"", ""uk"")"),"Колір лінії")</f>
        <v>Колір лінії</v>
      </c>
      <c r="BL28" s="3" t="str">
        <f>IFERROR(__xludf.DUMMYFUNCTION("GoogleTranslate(C28, ""en"", ""zu"")"),"Umbala womugqa")</f>
        <v>Umbala womugqa</v>
      </c>
    </row>
    <row r="29">
      <c r="A29" s="1" t="str">
        <f t="shared" si="1"/>
        <v>Add_Widget</v>
      </c>
      <c r="B29" s="4" t="s">
        <v>91</v>
      </c>
      <c r="C29" s="1" t="str">
        <f t="shared" si="2"/>
        <v>Add Widget</v>
      </c>
      <c r="D29" s="3" t="str">
        <f>IFERROR(__xludf.DUMMYFUNCTION("GoogleTranslate(C29, ""en"", ""es"")"),"Agregar widget")</f>
        <v>Agregar widget</v>
      </c>
      <c r="E29" s="3" t="str">
        <f>IFERROR(__xludf.DUMMYFUNCTION("GoogleTranslate(C29, ""en"", ""ar"")"),"إضافة القطعة")</f>
        <v>إضافة القطعة</v>
      </c>
      <c r="F29" s="3" t="str">
        <f>IFERROR(__xludf.DUMMYFUNCTION("GoogleTranslate(C29, ""en"", ""hy"")"),"Ավելացնել վիդջեթ")</f>
        <v>Ավելացնել վիդջեթ</v>
      </c>
      <c r="G29" s="3" t="str">
        <f>IFERROR(__xludf.DUMMYFUNCTION("GoogleTranslate(C29, ""en"", ""vi"")"),"Thêm tiện ích")</f>
        <v>Thêm tiện ích</v>
      </c>
      <c r="H29" s="3" t="str">
        <f>IFERROR(__xludf.DUMMYFUNCTION("GoogleTranslate(C29, ""en"", ""az"")"),"Vidcet əlavə edin")</f>
        <v>Vidcet əlavə edin</v>
      </c>
      <c r="I29" s="3" t="str">
        <f>IFERROR(__xludf.DUMMYFUNCTION("GoogleTranslate(C29, ""en"", ""eu"")"),"Gehitu widgeta")</f>
        <v>Gehitu widgeta</v>
      </c>
      <c r="J29" s="3" t="str">
        <f>IFERROR(__xludf.DUMMYFUNCTION("GoogleTranslate(C29, ""en"", ""be"")"),"Дадаць віджэт")</f>
        <v>Дадаць віджэт</v>
      </c>
      <c r="K29" s="3" t="str">
        <f>IFERROR(__xludf.DUMMYFUNCTION("GoogleTranslate(C29, ""en"", ""bn"")"),"উইজেট যোগ করুন")</f>
        <v>উইজেট যোগ করুন</v>
      </c>
      <c r="L29" s="3" t="str">
        <f>IFERROR(__xludf.DUMMYFUNCTION("GoogleTranslate(C29, ""en"", ""bg"")"),"Добавете Widget")</f>
        <v>Добавете Widget</v>
      </c>
      <c r="M29" s="3" t="str">
        <f>IFERROR(__xludf.DUMMYFUNCTION("GoogleTranslate(C29, ""en"", ""my"")"),"ဝစ်ဂျက်ထည့်ပါ။")</f>
        <v>ဝစ်ဂျက်ထည့်ပါ။</v>
      </c>
      <c r="N29" s="3" t="str">
        <f>IFERROR(__xludf.DUMMYFUNCTION("GoogleTranslate(C29, ""en"", ""ca"")"),"Afegeix un widget")</f>
        <v>Afegeix un widget</v>
      </c>
      <c r="O29" s="3" t="str">
        <f>IFERROR(__xludf.DUMMYFUNCTION("GoogleTranslate(C29, ""en"", ""zh-cn"")"),"添加小部件")</f>
        <v>添加小部件</v>
      </c>
      <c r="P29" s="3" t="str">
        <f>IFERROR(__xludf.DUMMYFUNCTION("GoogleTranslate(C29, ""en"", ""zh-TW"")"),"添加小部件")</f>
        <v>添加小部件</v>
      </c>
      <c r="Q29" s="3" t="str">
        <f>IFERROR(__xludf.DUMMYFUNCTION("GoogleTranslate(C29, ""en"", ""hr"")"),"Dodaj widget")</f>
        <v>Dodaj widget</v>
      </c>
      <c r="R29" s="3" t="str">
        <f>IFERROR(__xludf.DUMMYFUNCTION("GoogleTranslate(C29, ""en"", ""cs"")"),"Přidat widget")</f>
        <v>Přidat widget</v>
      </c>
      <c r="S29" s="3" t="str">
        <f>IFERROR(__xludf.DUMMYFUNCTION("GoogleTranslate(C29, ""en"", ""da"")"),"Tilføj widget")</f>
        <v>Tilføj widget</v>
      </c>
      <c r="T29" s="3" t="str">
        <f>IFERROR(__xludf.DUMMYFUNCTION("GoogleTranslate(C29, ""en"", ""nl"")"),"Widget toevoegen")</f>
        <v>Widget toevoegen</v>
      </c>
      <c r="U29" s="3" t="str">
        <f>IFERROR(__xludf.DUMMYFUNCTION("GoogleTranslate(C29, ""en"", ""et"")"),"Lisa vidin")</f>
        <v>Lisa vidin</v>
      </c>
      <c r="V29" s="1" t="str">
        <f t="shared" si="3"/>
        <v>Add Widget</v>
      </c>
      <c r="W29" s="3" t="str">
        <f>IFERROR(__xludf.DUMMYFUNCTION("GoogleTranslate(C29, ""en"", ""fi"")"),"Lisää widget")</f>
        <v>Lisää widget</v>
      </c>
      <c r="X29" s="3" t="str">
        <f>IFERROR(__xludf.DUMMYFUNCTION("GoogleTranslate(C29, ""en"", ""fr"")"),"Ajouter un widget")</f>
        <v>Ajouter un widget</v>
      </c>
      <c r="Y29" s="3" t="str">
        <f>IFERROR(__xludf.DUMMYFUNCTION("GoogleTranslate(C29, ""en"", ""de"")"),"Widget hinzufügen")</f>
        <v>Widget hinzufügen</v>
      </c>
      <c r="Z29" s="3" t="str">
        <f>IFERROR(__xludf.DUMMYFUNCTION("GoogleTranslate(C29, ""en"", ""el"")"),"Προσθήκη Widget")</f>
        <v>Προσθήκη Widget</v>
      </c>
      <c r="AA29" s="3" t="str">
        <f>IFERROR(__xludf.DUMMYFUNCTION("GoogleTranslate(C29, ""en"", ""iw"")"),"הוסף ווידג'ט")</f>
        <v>הוסף ווידג'ט</v>
      </c>
      <c r="AB29" s="3" t="str">
        <f>IFERROR(__xludf.DUMMYFUNCTION("GoogleTranslate(C29, ""en"", ""hi"")"),"विजेट जोड़ें")</f>
        <v>विजेट जोड़ें</v>
      </c>
      <c r="AC29" s="3" t="str">
        <f>IFERROR(__xludf.DUMMYFUNCTION("GoogleTranslate(C29, ""en"", ""hu"")"),"Widget hozzáadása")</f>
        <v>Widget hozzáadása</v>
      </c>
      <c r="AD29" s="3" t="str">
        <f>IFERROR(__xludf.DUMMYFUNCTION("GoogleTranslate(C29, ""en"", ""is"")"),"Bæta við græju")</f>
        <v>Bæta við græju</v>
      </c>
      <c r="AE29" s="3" t="str">
        <f>IFERROR(__xludf.DUMMYFUNCTION("GoogleTranslate(C29, ""en"", ""id"")"),"Tambahkan Widget")</f>
        <v>Tambahkan Widget</v>
      </c>
      <c r="AF29" s="3" t="str">
        <f>IFERROR(__xludf.DUMMYFUNCTION("GoogleTranslate(C29, ""en"", ""in"")"),"Tambahkan Widget")</f>
        <v>Tambahkan Widget</v>
      </c>
      <c r="AG29" s="3" t="str">
        <f>IFERROR(__xludf.DUMMYFUNCTION("GoogleTranslate(C29, ""en"", ""it"")"),"Aggiungi widget")</f>
        <v>Aggiungi widget</v>
      </c>
      <c r="AH29" s="3" t="str">
        <f>IFERROR(__xludf.DUMMYFUNCTION("GoogleTranslate(C29, ""en"", ""ja"")"),"ウィジェットの追加")</f>
        <v>ウィジェットの追加</v>
      </c>
      <c r="AI29" s="3" t="str">
        <f>IFERROR(__xludf.DUMMYFUNCTION("GoogleTranslate(C29, ""en"", ""kn"")"),"ವಿಜೆಟ್ ಸೇರಿಸಿ")</f>
        <v>ವಿಜೆಟ್ ಸೇರಿಸಿ</v>
      </c>
      <c r="AJ29" s="3" t="str">
        <f>IFERROR(__xludf.DUMMYFUNCTION("GoogleTranslate(C29, ""en"", ""km"")"),"បន្ថែមធាតុក្រាហ្វិក")</f>
        <v>បន្ថែមធាតុក្រាហ្វិក</v>
      </c>
      <c r="AK29" s="3" t="str">
        <f>IFERROR(__xludf.DUMMYFUNCTION("GoogleTranslate(C29, ""en"", ""ko"")"),"위젯 추가")</f>
        <v>위젯 추가</v>
      </c>
      <c r="AL29" s="3" t="str">
        <f>IFERROR(__xludf.DUMMYFUNCTION("GoogleTranslate(C29, ""en"", ""lo"")"),"ເພີ່ມ Widget")</f>
        <v>ເພີ່ມ Widget</v>
      </c>
      <c r="AM29" s="3" t="str">
        <f>IFERROR(__xludf.DUMMYFUNCTION("GoogleTranslate(C29, ""en"", ""lv"")"),"Pievienot logrīku")</f>
        <v>Pievienot logrīku</v>
      </c>
      <c r="AN29" s="3" t="str">
        <f>IFERROR(__xludf.DUMMYFUNCTION("GoogleTranslate(C29, ""en"", ""lt"")"),"Pridėti valdiklį")</f>
        <v>Pridėti valdiklį</v>
      </c>
      <c r="AO29" s="3" t="str">
        <f>IFERROR(__xludf.DUMMYFUNCTION("GoogleTranslate(C29, ""en"", ""mk"")"),"Додадете виџет")</f>
        <v>Додадете виџет</v>
      </c>
      <c r="AP29" s="3" t="str">
        <f>IFERROR(__xludf.DUMMYFUNCTION("GoogleTranslate(C29, ""en"", ""ms"")"),"Tambah Widget")</f>
        <v>Tambah Widget</v>
      </c>
      <c r="AQ29" s="3" t="str">
        <f>IFERROR(__xludf.DUMMYFUNCTION("GoogleTranslate(C29, ""en"", ""ml"")"),"വിജറ്റ് ചേർക്കുക")</f>
        <v>വിജറ്റ് ചേർക്കുക</v>
      </c>
      <c r="AR29" s="3" t="str">
        <f>IFERROR(__xludf.DUMMYFUNCTION("GoogleTranslate(C29, ""en"", ""mr"")"),"विजेट जोडा")</f>
        <v>विजेट जोडा</v>
      </c>
      <c r="AS29" s="3" t="str">
        <f>IFERROR(__xludf.DUMMYFUNCTION("GoogleTranslate(C29, ""en"", ""mn"")"),"Виджет нэмэх")</f>
        <v>Виджет нэмэх</v>
      </c>
      <c r="AT29" s="3" t="str">
        <f>IFERROR(__xludf.DUMMYFUNCTION("GoogleTranslate(C29, ""en"", ""ne"")"),"विजेट थप्नुहोस्")</f>
        <v>विजेट थप्नुहोस्</v>
      </c>
      <c r="AU29" s="3" t="str">
        <f>IFERROR(__xludf.DUMMYFUNCTION("GoogleTranslate(C29, ""en"", ""nb"")"),"Legg til widget")</f>
        <v>Legg til widget</v>
      </c>
      <c r="AV29" s="3" t="str">
        <f>IFERROR(__xludf.DUMMYFUNCTION("GoogleTranslate(C29, ""en"", ""fa"")"),"افزودن ویجت")</f>
        <v>افزودن ویجت</v>
      </c>
      <c r="AW29" s="3" t="str">
        <f>IFERROR(__xludf.DUMMYFUNCTION("GoogleTranslate(C29, ""en"", ""pl"")"),"Dodaj widżet")</f>
        <v>Dodaj widżet</v>
      </c>
      <c r="AX29" s="3" t="str">
        <f>IFERROR(__xludf.DUMMYFUNCTION("GoogleTranslate(C29, ""en"", ""pt"")"),"Adicionar widget")</f>
        <v>Adicionar widget</v>
      </c>
      <c r="AY29" s="3" t="str">
        <f>IFERROR(__xludf.DUMMYFUNCTION("GoogleTranslate(C29, ""en"", ""ro"")"),"Adăugați widget")</f>
        <v>Adăugați widget</v>
      </c>
      <c r="AZ29" s="3" t="str">
        <f>IFERROR(__xludf.DUMMYFUNCTION("GoogleTranslate(C29, ""en"", ""ru"")"),"Добавить виджет")</f>
        <v>Добавить виджет</v>
      </c>
      <c r="BA29" s="3" t="str">
        <f>IFERROR(__xludf.DUMMYFUNCTION("GoogleTranslate(C29, ""en"", ""sr"")"),"Додај виџет")</f>
        <v>Додај виџет</v>
      </c>
      <c r="BB29" s="3" t="str">
        <f>IFERROR(__xludf.DUMMYFUNCTION("GoogleTranslate(C29, ""en"", ""si"")"),"Widget එක් කරන්න")</f>
        <v>Widget එක් කරන්න</v>
      </c>
      <c r="BC29" s="3" t="str">
        <f>IFERROR(__xludf.DUMMYFUNCTION("GoogleTranslate(C29, ""en"", ""sk"")"),"Pridať miniaplikáciu")</f>
        <v>Pridať miniaplikáciu</v>
      </c>
      <c r="BD29" s="3" t="str">
        <f>IFERROR(__xludf.DUMMYFUNCTION("GoogleTranslate(C29, ""en"", ""sl"")"),"Dodaj pripomoček")</f>
        <v>Dodaj pripomoček</v>
      </c>
      <c r="BE29" s="3" t="str">
        <f>IFERROR(__xludf.DUMMYFUNCTION("GoogleTranslate(C29, ""en"", ""es"")"),"Agregar widget")</f>
        <v>Agregar widget</v>
      </c>
      <c r="BF29" s="3" t="str">
        <f>IFERROR(__xludf.DUMMYFUNCTION("GoogleTranslate(C29, ""en"", ""sw"")"),"Ongeza Wijeti")</f>
        <v>Ongeza Wijeti</v>
      </c>
      <c r="BG29" s="3" t="str">
        <f>IFERROR(__xludf.DUMMYFUNCTION("GoogleTranslate(C29, ""en"", ""sv"")"),"Lägg till widget")</f>
        <v>Lägg till widget</v>
      </c>
      <c r="BH29" s="3" t="str">
        <f>IFERROR(__xludf.DUMMYFUNCTION("GoogleTranslate(C29, ""en"", ""te"")"),"విడ్జెట్ జోడించండి")</f>
        <v>విడ్జెట్ జోడించండి</v>
      </c>
      <c r="BI29" s="3" t="str">
        <f>IFERROR(__xludf.DUMMYFUNCTION("GoogleTranslate(C29, ""en"", ""th"")"),"เพิ่มวิดเจ็ต")</f>
        <v>เพิ่มวิดเจ็ต</v>
      </c>
      <c r="BJ29" s="3" t="str">
        <f>IFERROR(__xludf.DUMMYFUNCTION("GoogleTranslate(C29, ""en"", ""tr"")"),"Widget Ekle")</f>
        <v>Widget Ekle</v>
      </c>
      <c r="BK29" s="3" t="str">
        <f>IFERROR(__xludf.DUMMYFUNCTION("GoogleTranslate(C29, ""en"", ""uk"")"),"Додати віджет")</f>
        <v>Додати віджет</v>
      </c>
      <c r="BL29" s="3" t="str">
        <f>IFERROR(__xludf.DUMMYFUNCTION("GoogleTranslate(C29, ""en"", ""zu"")"),"Engeza Iwijethi")</f>
        <v>Engeza Iwijethi</v>
      </c>
    </row>
    <row r="30">
      <c r="A30" s="1" t="str">
        <f t="shared" si="1"/>
        <v>Copy_code</v>
      </c>
      <c r="B30" s="4" t="s">
        <v>92</v>
      </c>
      <c r="C30" s="1" t="str">
        <f t="shared" si="2"/>
        <v>Copy code</v>
      </c>
      <c r="D30" s="3" t="str">
        <f>IFERROR(__xludf.DUMMYFUNCTION("GoogleTranslate(C30, ""en"", ""es"")"),"Copiar código")</f>
        <v>Copiar código</v>
      </c>
      <c r="E30" s="3" t="str">
        <f>IFERROR(__xludf.DUMMYFUNCTION("GoogleTranslate(C30, ""en"", ""ar"")"),"نسخ الرمز")</f>
        <v>نسخ الرمز</v>
      </c>
      <c r="F30" s="3" t="str">
        <f>IFERROR(__xludf.DUMMYFUNCTION("GoogleTranslate(C30, ""en"", ""hy"")"),"Պատճենել կոդը")</f>
        <v>Պատճենել կոդը</v>
      </c>
      <c r="G30" s="3" t="str">
        <f>IFERROR(__xludf.DUMMYFUNCTION("GoogleTranslate(C30, ""en"", ""vi"")"),"Sao chép mã")</f>
        <v>Sao chép mã</v>
      </c>
      <c r="H30" s="3" t="str">
        <f>IFERROR(__xludf.DUMMYFUNCTION("GoogleTranslate(C30, ""en"", ""az"")"),"Kodu kopyalayın")</f>
        <v>Kodu kopyalayın</v>
      </c>
      <c r="I30" s="3" t="str">
        <f>IFERROR(__xludf.DUMMYFUNCTION("GoogleTranslate(C30, ""en"", ""eu"")"),"Kopiatu kodea")</f>
        <v>Kopiatu kodea</v>
      </c>
      <c r="J30" s="3" t="str">
        <f>IFERROR(__xludf.DUMMYFUNCTION("GoogleTranslate(C30, ""en"", ""be"")"),"Скапіруйце код")</f>
        <v>Скапіруйце код</v>
      </c>
      <c r="K30" s="3" t="str">
        <f>IFERROR(__xludf.DUMMYFUNCTION("GoogleTranslate(C30, ""en"", ""bn"")"),"কোড কপি করুন")</f>
        <v>কোড কপি করুন</v>
      </c>
      <c r="L30" s="3" t="str">
        <f>IFERROR(__xludf.DUMMYFUNCTION("GoogleTranslate(C30, ""en"", ""bg"")"),"Копирайте кода")</f>
        <v>Копирайте кода</v>
      </c>
      <c r="M30" s="3" t="str">
        <f>IFERROR(__xludf.DUMMYFUNCTION("GoogleTranslate(C30, ""en"", ""my"")"),"ကုဒ်ကို ကူးယူပါ။")</f>
        <v>ကုဒ်ကို ကူးယူပါ။</v>
      </c>
      <c r="N30" s="3" t="str">
        <f>IFERROR(__xludf.DUMMYFUNCTION("GoogleTranslate(C30, ""en"", ""ca"")"),"Copia el codi")</f>
        <v>Copia el codi</v>
      </c>
      <c r="O30" s="3" t="str">
        <f>IFERROR(__xludf.DUMMYFUNCTION("GoogleTranslate(C30, ""en"", ""zh-cn"")"),"复制代码")</f>
        <v>复制代码</v>
      </c>
      <c r="P30" s="3" t="str">
        <f>IFERROR(__xludf.DUMMYFUNCTION("GoogleTranslate(C30, ""en"", ""zh-TW"")"),"複製程式碼")</f>
        <v>複製程式碼</v>
      </c>
      <c r="Q30" s="3" t="str">
        <f>IFERROR(__xludf.DUMMYFUNCTION("GoogleTranslate(C30, ""en"", ""hr"")"),"Kopiraj kod")</f>
        <v>Kopiraj kod</v>
      </c>
      <c r="R30" s="3" t="str">
        <f>IFERROR(__xludf.DUMMYFUNCTION("GoogleTranslate(C30, ""en"", ""cs"")"),"Kopírovat kód")</f>
        <v>Kopírovat kód</v>
      </c>
      <c r="S30" s="3" t="str">
        <f>IFERROR(__xludf.DUMMYFUNCTION("GoogleTranslate(C30, ""en"", ""da"")"),"Kopiér kode")</f>
        <v>Kopiér kode</v>
      </c>
      <c r="T30" s="3" t="str">
        <f>IFERROR(__xludf.DUMMYFUNCTION("GoogleTranslate(C30, ""en"", ""nl"")"),"Kopieer code")</f>
        <v>Kopieer code</v>
      </c>
      <c r="U30" s="3" t="str">
        <f>IFERROR(__xludf.DUMMYFUNCTION("GoogleTranslate(C30, ""en"", ""et"")"),"Kopeeri kood")</f>
        <v>Kopeeri kood</v>
      </c>
      <c r="V30" s="1" t="str">
        <f t="shared" si="3"/>
        <v>Copy code</v>
      </c>
      <c r="W30" s="3" t="str">
        <f>IFERROR(__xludf.DUMMYFUNCTION("GoogleTranslate(C30, ""en"", ""fi"")"),"Kopioi koodi")</f>
        <v>Kopioi koodi</v>
      </c>
      <c r="X30" s="3" t="str">
        <f>IFERROR(__xludf.DUMMYFUNCTION("GoogleTranslate(C30, ""en"", ""fr"")"),"Copier le code")</f>
        <v>Copier le code</v>
      </c>
      <c r="Y30" s="3" t="str">
        <f>IFERROR(__xludf.DUMMYFUNCTION("GoogleTranslate(C30, ""en"", ""de"")"),"Code kopieren")</f>
        <v>Code kopieren</v>
      </c>
      <c r="Z30" s="3" t="str">
        <f>IFERROR(__xludf.DUMMYFUNCTION("GoogleTranslate(C30, ""en"", ""el"")"),"Αντιγραφή κωδικού")</f>
        <v>Αντιγραφή κωδικού</v>
      </c>
      <c r="AA30" s="3" t="str">
        <f>IFERROR(__xludf.DUMMYFUNCTION("GoogleTranslate(C30, ""en"", ""iw"")"),"העתק קוד")</f>
        <v>העתק קוד</v>
      </c>
      <c r="AB30" s="3" t="str">
        <f>IFERROR(__xludf.DUMMYFUNCTION("GoogleTranslate(C30, ""en"", ""hi"")"),"कोड कॉपी करें")</f>
        <v>कोड कॉपी करें</v>
      </c>
      <c r="AC30" s="3" t="str">
        <f>IFERROR(__xludf.DUMMYFUNCTION("GoogleTranslate(C30, ""en"", ""hu"")"),"Kód másolása")</f>
        <v>Kód másolása</v>
      </c>
      <c r="AD30" s="3" t="str">
        <f>IFERROR(__xludf.DUMMYFUNCTION("GoogleTranslate(C30, ""en"", ""is"")"),"Afritaðu kóða")</f>
        <v>Afritaðu kóða</v>
      </c>
      <c r="AE30" s="3" t="str">
        <f>IFERROR(__xludf.DUMMYFUNCTION("GoogleTranslate(C30, ""en"", ""id"")"),"Salin kode")</f>
        <v>Salin kode</v>
      </c>
      <c r="AF30" s="3" t="str">
        <f>IFERROR(__xludf.DUMMYFUNCTION("GoogleTranslate(C30, ""en"", ""in"")"),"Salin kode")</f>
        <v>Salin kode</v>
      </c>
      <c r="AG30" s="3" t="str">
        <f>IFERROR(__xludf.DUMMYFUNCTION("GoogleTranslate(C30, ""en"", ""it"")"),"Copia il codice")</f>
        <v>Copia il codice</v>
      </c>
      <c r="AH30" s="3" t="str">
        <f>IFERROR(__xludf.DUMMYFUNCTION("GoogleTranslate(C30, ""en"", ""ja"")"),"コードをコピーする")</f>
        <v>コードをコピーする</v>
      </c>
      <c r="AI30" s="3" t="str">
        <f>IFERROR(__xludf.DUMMYFUNCTION("GoogleTranslate(C30, ""en"", ""kn"")"),"ಕೋಡ್ ನಕಲಿಸಿ")</f>
        <v>ಕೋಡ್ ನಕಲಿಸಿ</v>
      </c>
      <c r="AJ30" s="3" t="str">
        <f>IFERROR(__xludf.DUMMYFUNCTION("GoogleTranslate(C30, ""en"", ""km"")"),"ចម្លងកូដ")</f>
        <v>ចម្លងកូដ</v>
      </c>
      <c r="AK30" s="3" t="str">
        <f>IFERROR(__xludf.DUMMYFUNCTION("GoogleTranslate(C30, ""en"", ""ko"")"),"코드 복사")</f>
        <v>코드 복사</v>
      </c>
      <c r="AL30" s="3" t="str">
        <f>IFERROR(__xludf.DUMMYFUNCTION("GoogleTranslate(C30, ""en"", ""lo"")"),"ສຳເນົາລະຫັດ")</f>
        <v>ສຳເນົາລະຫັດ</v>
      </c>
      <c r="AM30" s="3" t="str">
        <f>IFERROR(__xludf.DUMMYFUNCTION("GoogleTranslate(C30, ""en"", ""lv"")"),"Kopēt kodu")</f>
        <v>Kopēt kodu</v>
      </c>
      <c r="AN30" s="3" t="str">
        <f>IFERROR(__xludf.DUMMYFUNCTION("GoogleTranslate(C30, ""en"", ""lt"")"),"Nukopijuokite kodą")</f>
        <v>Nukopijuokite kodą</v>
      </c>
      <c r="AO30" s="3" t="str">
        <f>IFERROR(__xludf.DUMMYFUNCTION("GoogleTranslate(C30, ""en"", ""mk"")"),"Копирајте го кодот")</f>
        <v>Копирајте го кодот</v>
      </c>
      <c r="AP30" s="3" t="str">
        <f>IFERROR(__xludf.DUMMYFUNCTION("GoogleTranslate(C30, ""en"", ""ms"")"),"Salin kod")</f>
        <v>Salin kod</v>
      </c>
      <c r="AQ30" s="3" t="str">
        <f>IFERROR(__xludf.DUMMYFUNCTION("GoogleTranslate(C30, ""en"", ""ml"")"),"കോഡ് പകർത്തുക")</f>
        <v>കോഡ് പകർത്തുക</v>
      </c>
      <c r="AR30" s="3" t="str">
        <f>IFERROR(__xludf.DUMMYFUNCTION("GoogleTranslate(C30, ""en"", ""mr"")"),"कोड कॉपी करा")</f>
        <v>कोड कॉपी करा</v>
      </c>
      <c r="AS30" s="3" t="str">
        <f>IFERROR(__xludf.DUMMYFUNCTION("GoogleTranslate(C30, ""en"", ""mn"")"),"Код хуулах")</f>
        <v>Код хуулах</v>
      </c>
      <c r="AT30" s="3" t="str">
        <f>IFERROR(__xludf.DUMMYFUNCTION("GoogleTranslate(C30, ""en"", ""ne"")"),"कोड प्रतिलिपि गर्नुहोस्")</f>
        <v>कोड प्रतिलिपि गर्नुहोस्</v>
      </c>
      <c r="AU30" s="3" t="str">
        <f>IFERROR(__xludf.DUMMYFUNCTION("GoogleTranslate(C30, ""en"", ""nb"")"),"Kopier koden")</f>
        <v>Kopier koden</v>
      </c>
      <c r="AV30" s="3" t="str">
        <f>IFERROR(__xludf.DUMMYFUNCTION("GoogleTranslate(C30, ""en"", ""fa"")"),"کد را کپی کنید")</f>
        <v>کد را کپی کنید</v>
      </c>
      <c r="AW30" s="3" t="str">
        <f>IFERROR(__xludf.DUMMYFUNCTION("GoogleTranslate(C30, ""en"", ""pl"")"),"Skopiuj kod")</f>
        <v>Skopiuj kod</v>
      </c>
      <c r="AX30" s="3" t="str">
        <f>IFERROR(__xludf.DUMMYFUNCTION("GoogleTranslate(C30, ""en"", ""pt"")"),"Copiar código")</f>
        <v>Copiar código</v>
      </c>
      <c r="AY30" s="3" t="str">
        <f>IFERROR(__xludf.DUMMYFUNCTION("GoogleTranslate(C30, ""en"", ""ro"")"),"Copiați codul")</f>
        <v>Copiați codul</v>
      </c>
      <c r="AZ30" s="3" t="str">
        <f>IFERROR(__xludf.DUMMYFUNCTION("GoogleTranslate(C30, ""en"", ""ru"")"),"Скопировать код")</f>
        <v>Скопировать код</v>
      </c>
      <c r="BA30" s="3" t="str">
        <f>IFERROR(__xludf.DUMMYFUNCTION("GoogleTranslate(C30, ""en"", ""sr"")"),"Копирај код")</f>
        <v>Копирај код</v>
      </c>
      <c r="BB30" s="3" t="str">
        <f>IFERROR(__xludf.DUMMYFUNCTION("GoogleTranslate(C30, ""en"", ""si"")"),"කේතය පිටපත් කරන්න")</f>
        <v>කේතය පිටපත් කරන්න</v>
      </c>
      <c r="BC30" s="3" t="str">
        <f>IFERROR(__xludf.DUMMYFUNCTION("GoogleTranslate(C30, ""en"", ""sk"")"),"Kopírovať kód")</f>
        <v>Kopírovať kód</v>
      </c>
      <c r="BD30" s="3" t="str">
        <f>IFERROR(__xludf.DUMMYFUNCTION("GoogleTranslate(C30, ""en"", ""sl"")"),"Kopiraj kodo")</f>
        <v>Kopiraj kodo</v>
      </c>
      <c r="BE30" s="3" t="str">
        <f>IFERROR(__xludf.DUMMYFUNCTION("GoogleTranslate(C30, ""en"", ""es"")"),"Copiar código")</f>
        <v>Copiar código</v>
      </c>
      <c r="BF30" s="3" t="str">
        <f>IFERROR(__xludf.DUMMYFUNCTION("GoogleTranslate(C30, ""en"", ""sw"")"),"Nakili msimbo")</f>
        <v>Nakili msimbo</v>
      </c>
      <c r="BG30" s="3" t="str">
        <f>IFERROR(__xludf.DUMMYFUNCTION("GoogleTranslate(C30, ""en"", ""sv"")"),"Kopiera kod")</f>
        <v>Kopiera kod</v>
      </c>
      <c r="BH30" s="3" t="str">
        <f>IFERROR(__xludf.DUMMYFUNCTION("GoogleTranslate(C30, ""en"", ""te"")"),"కాపీ కోడ్")</f>
        <v>కాపీ కోడ్</v>
      </c>
      <c r="BI30" s="3" t="str">
        <f>IFERROR(__xludf.DUMMYFUNCTION("GoogleTranslate(C30, ""en"", ""th"")"),"คัดลอกรหัส")</f>
        <v>คัดลอกรหัส</v>
      </c>
      <c r="BJ30" s="3" t="str">
        <f>IFERROR(__xludf.DUMMYFUNCTION("GoogleTranslate(C30, ""en"", ""tr"")"),"Kodu kopyala")</f>
        <v>Kodu kopyala</v>
      </c>
      <c r="BK30" s="3" t="str">
        <f>IFERROR(__xludf.DUMMYFUNCTION("GoogleTranslate(C30, ""en"", ""uk"")"),"Скопіюйте код")</f>
        <v>Скопіюйте код</v>
      </c>
      <c r="BL30" s="3" t="str">
        <f>IFERROR(__xludf.DUMMYFUNCTION("GoogleTranslate(C30, ""en"", ""zu"")"),"Kopisha ikhodi")</f>
        <v>Kopisha ikhodi</v>
      </c>
    </row>
    <row r="31">
      <c r="A31" s="1" t="str">
        <f t="shared" si="1"/>
        <v>Home_Page</v>
      </c>
      <c r="B31" s="4" t="s">
        <v>93</v>
      </c>
      <c r="C31" s="1" t="str">
        <f t="shared" si="2"/>
        <v>Home Page</v>
      </c>
      <c r="D31" s="3" t="str">
        <f>IFERROR(__xludf.DUMMYFUNCTION("GoogleTranslate(C31, ""en"", ""es"")"),"Página de inicio")</f>
        <v>Página de inicio</v>
      </c>
      <c r="E31" s="3" t="str">
        <f>IFERROR(__xludf.DUMMYFUNCTION("GoogleTranslate(C31, ""en"", ""ar"")"),"الصفحة الرئيسية")</f>
        <v>الصفحة الرئيسية</v>
      </c>
      <c r="F31" s="3" t="str">
        <f>IFERROR(__xludf.DUMMYFUNCTION("GoogleTranslate(C31, ""en"", ""hy"")"),"Գլխավոր Էջ")</f>
        <v>Գլխավոր Էջ</v>
      </c>
      <c r="G31" s="3" t="str">
        <f>IFERROR(__xludf.DUMMYFUNCTION("GoogleTranslate(C31, ""en"", ""vi"")"),"Trang chủ")</f>
        <v>Trang chủ</v>
      </c>
      <c r="H31" s="3" t="str">
        <f>IFERROR(__xludf.DUMMYFUNCTION("GoogleTranslate(C31, ""en"", ""az"")"),"Əsas Səhifə")</f>
        <v>Əsas Səhifə</v>
      </c>
      <c r="I31" s="3" t="str">
        <f>IFERROR(__xludf.DUMMYFUNCTION("GoogleTranslate(C31, ""en"", ""eu"")"),"Hasiera Orria")</f>
        <v>Hasiera Orria</v>
      </c>
      <c r="J31" s="3" t="str">
        <f>IFERROR(__xludf.DUMMYFUNCTION("GoogleTranslate(C31, ""en"", ""be"")"),"Галоўная старонка")</f>
        <v>Галоўная старонка</v>
      </c>
      <c r="K31" s="3" t="str">
        <f>IFERROR(__xludf.DUMMYFUNCTION("GoogleTranslate(C31, ""en"", ""bn"")"),"হোম পেজ")</f>
        <v>হোম পেজ</v>
      </c>
      <c r="L31" s="3" t="str">
        <f>IFERROR(__xludf.DUMMYFUNCTION("GoogleTranslate(C31, ""en"", ""bg"")"),"Начална страница")</f>
        <v>Начална страница</v>
      </c>
      <c r="M31" s="3" t="str">
        <f>IFERROR(__xludf.DUMMYFUNCTION("GoogleTranslate(C31, ""en"", ""my"")"),"ပင်မစာမျက်နှာ")</f>
        <v>ပင်မစာမျက်နှာ</v>
      </c>
      <c r="N31" s="3" t="str">
        <f>IFERROR(__xludf.DUMMYFUNCTION("GoogleTranslate(C31, ""en"", ""ca"")"),"Pàgina d'inici")</f>
        <v>Pàgina d'inici</v>
      </c>
      <c r="O31" s="3" t="str">
        <f>IFERROR(__xludf.DUMMYFUNCTION("GoogleTranslate(C31, ""en"", ""zh-cn"")"),"主页")</f>
        <v>主页</v>
      </c>
      <c r="P31" s="3" t="str">
        <f>IFERROR(__xludf.DUMMYFUNCTION("GoogleTranslate(C31, ""en"", ""zh-TW"")"),"首頁")</f>
        <v>首頁</v>
      </c>
      <c r="Q31" s="3" t="str">
        <f>IFERROR(__xludf.DUMMYFUNCTION("GoogleTranslate(C31, ""en"", ""hr"")"),"Početna stranica")</f>
        <v>Početna stranica</v>
      </c>
      <c r="R31" s="3" t="str">
        <f>IFERROR(__xludf.DUMMYFUNCTION("GoogleTranslate(C31, ""en"", ""cs"")"),"Domovská stránka")</f>
        <v>Domovská stránka</v>
      </c>
      <c r="S31" s="3" t="str">
        <f>IFERROR(__xludf.DUMMYFUNCTION("GoogleTranslate(C31, ""en"", ""da"")"),"Hjemmeside")</f>
        <v>Hjemmeside</v>
      </c>
      <c r="T31" s="3" t="str">
        <f>IFERROR(__xludf.DUMMYFUNCTION("GoogleTranslate(C31, ""en"", ""nl"")"),"Startpagina")</f>
        <v>Startpagina</v>
      </c>
      <c r="U31" s="3" t="str">
        <f>IFERROR(__xludf.DUMMYFUNCTION("GoogleTranslate(C31, ""en"", ""et"")"),"Avaleht")</f>
        <v>Avaleht</v>
      </c>
      <c r="V31" s="1" t="str">
        <f t="shared" si="3"/>
        <v>Home Page</v>
      </c>
      <c r="W31" s="3" t="str">
        <f>IFERROR(__xludf.DUMMYFUNCTION("GoogleTranslate(C31, ""en"", ""fi"")"),"Kotisivu")</f>
        <v>Kotisivu</v>
      </c>
      <c r="X31" s="3" t="str">
        <f>IFERROR(__xludf.DUMMYFUNCTION("GoogleTranslate(C31, ""en"", ""fr"")"),"Page d'accueil")</f>
        <v>Page d'accueil</v>
      </c>
      <c r="Y31" s="3" t="str">
        <f>IFERROR(__xludf.DUMMYFUNCTION("GoogleTranslate(C31, ""en"", ""de"")"),"Startseite")</f>
        <v>Startseite</v>
      </c>
      <c r="Z31" s="3" t="str">
        <f>IFERROR(__xludf.DUMMYFUNCTION("GoogleTranslate(C31, ""en"", ""el"")"),"Αρχική Σελίδα")</f>
        <v>Αρχική Σελίδα</v>
      </c>
      <c r="AA31" s="3" t="str">
        <f>IFERROR(__xludf.DUMMYFUNCTION("GoogleTranslate(C31, ""en"", ""iw"")"),"עמוד הבית")</f>
        <v>עמוד הבית</v>
      </c>
      <c r="AB31" s="3" t="str">
        <f>IFERROR(__xludf.DUMMYFUNCTION("GoogleTranslate(C31, ""en"", ""hi"")"),"होम पेज")</f>
        <v>होम पेज</v>
      </c>
      <c r="AC31" s="3" t="str">
        <f>IFERROR(__xludf.DUMMYFUNCTION("GoogleTranslate(C31, ""en"", ""hu"")"),"Kezdőlap")</f>
        <v>Kezdőlap</v>
      </c>
      <c r="AD31" s="3" t="str">
        <f>IFERROR(__xludf.DUMMYFUNCTION("GoogleTranslate(C31, ""en"", ""is"")"),"Heimasíða")</f>
        <v>Heimasíða</v>
      </c>
      <c r="AE31" s="3" t="str">
        <f>IFERROR(__xludf.DUMMYFUNCTION("GoogleTranslate(C31, ""en"", ""id"")"),"Halaman Beranda")</f>
        <v>Halaman Beranda</v>
      </c>
      <c r="AF31" s="3" t="str">
        <f>IFERROR(__xludf.DUMMYFUNCTION("GoogleTranslate(C31, ""en"", ""in"")"),"Halaman Beranda")</f>
        <v>Halaman Beranda</v>
      </c>
      <c r="AG31" s="3" t="str">
        <f>IFERROR(__xludf.DUMMYFUNCTION("GoogleTranslate(C31, ""en"", ""it"")"),"Pagina iniziale")</f>
        <v>Pagina iniziale</v>
      </c>
      <c r="AH31" s="3" t="str">
        <f>IFERROR(__xludf.DUMMYFUNCTION("GoogleTranslate(C31, ""en"", ""ja"")"),"ホームページ")</f>
        <v>ホームページ</v>
      </c>
      <c r="AI31" s="3" t="str">
        <f>IFERROR(__xludf.DUMMYFUNCTION("GoogleTranslate(C31, ""en"", ""kn"")"),"ಮುಖಪುಟ")</f>
        <v>ಮುಖಪುಟ</v>
      </c>
      <c r="AJ31" s="3" t="str">
        <f>IFERROR(__xludf.DUMMYFUNCTION("GoogleTranslate(C31, ""en"", ""km"")"),"ទំព័រដើម")</f>
        <v>ទំព័រដើម</v>
      </c>
      <c r="AK31" s="3" t="str">
        <f>IFERROR(__xludf.DUMMYFUNCTION("GoogleTranslate(C31, ""en"", ""ko"")"),"홈 페이지")</f>
        <v>홈 페이지</v>
      </c>
      <c r="AL31" s="3" t="str">
        <f>IFERROR(__xludf.DUMMYFUNCTION("GoogleTranslate(C31, ""en"", ""lo"")"),"ຫນ້າທໍາອິດ")</f>
        <v>ຫນ້າທໍາອິດ</v>
      </c>
      <c r="AM31" s="3" t="str">
        <f>IFERROR(__xludf.DUMMYFUNCTION("GoogleTranslate(C31, ""en"", ""lv"")"),"Mājas lapa")</f>
        <v>Mājas lapa</v>
      </c>
      <c r="AN31" s="3" t="str">
        <f>IFERROR(__xludf.DUMMYFUNCTION("GoogleTranslate(C31, ""en"", ""lt"")"),"Pagrindinis puslapis")</f>
        <v>Pagrindinis puslapis</v>
      </c>
      <c r="AO31" s="3" t="str">
        <f>IFERROR(__xludf.DUMMYFUNCTION("GoogleTranslate(C31, ""en"", ""mk"")"),"Почетна страница")</f>
        <v>Почетна страница</v>
      </c>
      <c r="AP31" s="3" t="str">
        <f>IFERROR(__xludf.DUMMYFUNCTION("GoogleTranslate(C31, ""en"", ""ms"")"),"Halaman Utama")</f>
        <v>Halaman Utama</v>
      </c>
      <c r="AQ31" s="3" t="str">
        <f>IFERROR(__xludf.DUMMYFUNCTION("GoogleTranslate(C31, ""en"", ""ml"")"),"ഹോം പേജ്")</f>
        <v>ഹോം പേജ്</v>
      </c>
      <c r="AR31" s="3" t="str">
        <f>IFERROR(__xludf.DUMMYFUNCTION("GoogleTranslate(C31, ""en"", ""mr"")"),"मुखपृष्ठ")</f>
        <v>मुखपृष्ठ</v>
      </c>
      <c r="AS31" s="3" t="str">
        <f>IFERROR(__xludf.DUMMYFUNCTION("GoogleTranslate(C31, ""en"", ""mn"")"),"Нүүр хуудас")</f>
        <v>Нүүр хуудас</v>
      </c>
      <c r="AT31" s="3" t="str">
        <f>IFERROR(__xludf.DUMMYFUNCTION("GoogleTranslate(C31, ""en"", ""ne"")"),"गृह पृष्ठ")</f>
        <v>गृह पृष्ठ</v>
      </c>
      <c r="AU31" s="3" t="str">
        <f>IFERROR(__xludf.DUMMYFUNCTION("GoogleTranslate(C31, ""en"", ""nb"")"),"Hjemmeside")</f>
        <v>Hjemmeside</v>
      </c>
      <c r="AV31" s="3" t="str">
        <f>IFERROR(__xludf.DUMMYFUNCTION("GoogleTranslate(C31, ""en"", ""fa"")"),"صفحه اصلی")</f>
        <v>صفحه اصلی</v>
      </c>
      <c r="AW31" s="3" t="str">
        <f>IFERROR(__xludf.DUMMYFUNCTION("GoogleTranslate(C31, ""en"", ""pl"")"),"Strona główna")</f>
        <v>Strona główna</v>
      </c>
      <c r="AX31" s="3" t="str">
        <f>IFERROR(__xludf.DUMMYFUNCTION("GoogleTranslate(C31, ""en"", ""pt"")"),"Página inicial")</f>
        <v>Página inicial</v>
      </c>
      <c r="AY31" s="3" t="str">
        <f>IFERROR(__xludf.DUMMYFUNCTION("GoogleTranslate(C31, ""en"", ""ro"")"),"Pagina principală")</f>
        <v>Pagina principală</v>
      </c>
      <c r="AZ31" s="3" t="str">
        <f>IFERROR(__xludf.DUMMYFUNCTION("GoogleTranslate(C31, ""en"", ""ru"")"),"Домашняя страница")</f>
        <v>Домашняя страница</v>
      </c>
      <c r="BA31" s="3" t="str">
        <f>IFERROR(__xludf.DUMMYFUNCTION("GoogleTranslate(C31, ""en"", ""sr"")"),"Почетна страница")</f>
        <v>Почетна страница</v>
      </c>
      <c r="BB31" s="3" t="str">
        <f>IFERROR(__xludf.DUMMYFUNCTION("GoogleTranslate(C31, ""en"", ""si"")"),"මුල් පිටුව")</f>
        <v>මුල් පිටුව</v>
      </c>
      <c r="BC31" s="3" t="str">
        <f>IFERROR(__xludf.DUMMYFUNCTION("GoogleTranslate(C31, ""en"", ""sk"")"),"Domovská stránka")</f>
        <v>Domovská stránka</v>
      </c>
      <c r="BD31" s="3" t="str">
        <f>IFERROR(__xludf.DUMMYFUNCTION("GoogleTranslate(C31, ""en"", ""sl"")"),"Domača stran")</f>
        <v>Domača stran</v>
      </c>
      <c r="BE31" s="3" t="str">
        <f>IFERROR(__xludf.DUMMYFUNCTION("GoogleTranslate(C31, ""en"", ""es"")"),"Página de inicio")</f>
        <v>Página de inicio</v>
      </c>
      <c r="BF31" s="3" t="str">
        <f>IFERROR(__xludf.DUMMYFUNCTION("GoogleTranslate(C31, ""en"", ""sw"")"),"Ukurasa wa Nyumbani")</f>
        <v>Ukurasa wa Nyumbani</v>
      </c>
      <c r="BG31" s="3" t="str">
        <f>IFERROR(__xludf.DUMMYFUNCTION("GoogleTranslate(C31, ""en"", ""sv"")"),"Hemsida")</f>
        <v>Hemsida</v>
      </c>
      <c r="BH31" s="3" t="str">
        <f>IFERROR(__xludf.DUMMYFUNCTION("GoogleTranslate(C31, ""en"", ""te"")"),"హోమ్ పేజీ")</f>
        <v>హోమ్ పేజీ</v>
      </c>
      <c r="BI31" s="3" t="str">
        <f>IFERROR(__xludf.DUMMYFUNCTION("GoogleTranslate(C31, ""en"", ""th"")"),"หน้าแรก")</f>
        <v>หน้าแรก</v>
      </c>
      <c r="BJ31" s="3" t="str">
        <f>IFERROR(__xludf.DUMMYFUNCTION("GoogleTranslate(C31, ""en"", ""tr"")"),"Ana Sayfa")</f>
        <v>Ana Sayfa</v>
      </c>
      <c r="BK31" s="3" t="str">
        <f>IFERROR(__xludf.DUMMYFUNCTION("GoogleTranslate(C31, ""en"", ""uk"")"),"Домашня сторінка")</f>
        <v>Домашня сторінка</v>
      </c>
      <c r="BL31" s="3" t="str">
        <f>IFERROR(__xludf.DUMMYFUNCTION("GoogleTranslate(C31, ""en"", ""zu"")"),"Ikhasi Lasekhaya")</f>
        <v>Ikhasi Lasekhaya</v>
      </c>
    </row>
    <row r="32">
      <c r="A32" s="1" t="str">
        <f t="shared" si="1"/>
        <v>Present</v>
      </c>
      <c r="B32" s="4" t="s">
        <v>94</v>
      </c>
      <c r="C32" s="1" t="str">
        <f t="shared" si="2"/>
        <v>Present</v>
      </c>
      <c r="D32" s="3" t="str">
        <f>IFERROR(__xludf.DUMMYFUNCTION("GoogleTranslate(C32, ""en"", ""es"")"),"Presente")</f>
        <v>Presente</v>
      </c>
      <c r="E32" s="3" t="str">
        <f>IFERROR(__xludf.DUMMYFUNCTION("GoogleTranslate(C32, ""en"", ""ar"")"),"حاضر")</f>
        <v>حاضر</v>
      </c>
      <c r="F32" s="3" t="str">
        <f>IFERROR(__xludf.DUMMYFUNCTION("GoogleTranslate(C32, ""en"", ""hy"")"),"Ներկա")</f>
        <v>Ներկա</v>
      </c>
      <c r="G32" s="3" t="str">
        <f>IFERROR(__xludf.DUMMYFUNCTION("GoogleTranslate(C32, ""en"", ""vi"")"),"Hiện tại")</f>
        <v>Hiện tại</v>
      </c>
      <c r="H32" s="3" t="str">
        <f>IFERROR(__xludf.DUMMYFUNCTION("GoogleTranslate(C32, ""en"", ""az"")"),"təqdim")</f>
        <v>təqdim</v>
      </c>
      <c r="I32" s="3" t="str">
        <f>IFERROR(__xludf.DUMMYFUNCTION("GoogleTranslate(C32, ""en"", ""eu"")"),"Oraina")</f>
        <v>Oraina</v>
      </c>
      <c r="J32" s="3" t="str">
        <f>IFERROR(__xludf.DUMMYFUNCTION("GoogleTranslate(C32, ""en"", ""be"")"),"прысутнічае")</f>
        <v>прысутнічае</v>
      </c>
      <c r="K32" s="3" t="str">
        <f>IFERROR(__xludf.DUMMYFUNCTION("GoogleTranslate(C32, ""en"", ""bn"")"),"বর্তমান")</f>
        <v>বর্তমান</v>
      </c>
      <c r="L32" s="3" t="str">
        <f>IFERROR(__xludf.DUMMYFUNCTION("GoogleTranslate(C32, ""en"", ""bg"")"),"Настояще")</f>
        <v>Настояще</v>
      </c>
      <c r="M32" s="3" t="str">
        <f>IFERROR(__xludf.DUMMYFUNCTION("GoogleTranslate(C32, ""en"", ""my"")"),"ပစ္စုပ္ပန်")</f>
        <v>ပစ္စုပ္ပန်</v>
      </c>
      <c r="N32" s="3" t="str">
        <f>IFERROR(__xludf.DUMMYFUNCTION("GoogleTranslate(C32, ""en"", ""ca"")"),"Present")</f>
        <v>Present</v>
      </c>
      <c r="O32" s="3" t="str">
        <f>IFERROR(__xludf.DUMMYFUNCTION("GoogleTranslate(C32, ""en"", ""zh-cn"")"),"展示")</f>
        <v>展示</v>
      </c>
      <c r="P32" s="3" t="str">
        <f>IFERROR(__xludf.DUMMYFUNCTION("GoogleTranslate(C32, ""en"", ""zh-TW"")"),"展示")</f>
        <v>展示</v>
      </c>
      <c r="Q32" s="3" t="str">
        <f>IFERROR(__xludf.DUMMYFUNCTION("GoogleTranslate(C32, ""en"", ""hr"")"),"Predstaviti")</f>
        <v>Predstaviti</v>
      </c>
      <c r="R32" s="3" t="str">
        <f>IFERROR(__xludf.DUMMYFUNCTION("GoogleTranslate(C32, ""en"", ""cs"")"),"Současnost")</f>
        <v>Současnost</v>
      </c>
      <c r="S32" s="3" t="str">
        <f>IFERROR(__xludf.DUMMYFUNCTION("GoogleTranslate(C32, ""en"", ""da"")"),"Nuværende")</f>
        <v>Nuværende</v>
      </c>
      <c r="T32" s="3" t="str">
        <f>IFERROR(__xludf.DUMMYFUNCTION("GoogleTranslate(C32, ""en"", ""nl"")"),"Cadeau")</f>
        <v>Cadeau</v>
      </c>
      <c r="U32" s="3" t="str">
        <f>IFERROR(__xludf.DUMMYFUNCTION("GoogleTranslate(C32, ""en"", ""et"")"),"kohal")</f>
        <v>kohal</v>
      </c>
      <c r="V32" s="1" t="str">
        <f t="shared" si="3"/>
        <v>Present</v>
      </c>
      <c r="W32" s="3" t="str">
        <f>IFERROR(__xludf.DUMMYFUNCTION("GoogleTranslate(C32, ""en"", ""fi"")"),"Esittää")</f>
        <v>Esittää</v>
      </c>
      <c r="X32" s="3" t="str">
        <f>IFERROR(__xludf.DUMMYFUNCTION("GoogleTranslate(C32, ""en"", ""fr"")"),"Présent")</f>
        <v>Présent</v>
      </c>
      <c r="Y32" s="3" t="str">
        <f>IFERROR(__xludf.DUMMYFUNCTION("GoogleTranslate(C32, ""en"", ""de"")"),"Gegenwärtig")</f>
        <v>Gegenwärtig</v>
      </c>
      <c r="Z32" s="3" t="str">
        <f>IFERROR(__xludf.DUMMYFUNCTION("GoogleTranslate(C32, ""en"", ""el"")"),"Παρόν")</f>
        <v>Παρόν</v>
      </c>
      <c r="AA32" s="3" t="str">
        <f>IFERROR(__xludf.DUMMYFUNCTION("GoogleTranslate(C32, ""en"", ""iw"")"),"לְהַצִיג")</f>
        <v>לְהַצִיג</v>
      </c>
      <c r="AB32" s="3" t="str">
        <f>IFERROR(__xludf.DUMMYFUNCTION("GoogleTranslate(C32, ""en"", ""hi"")"),"उपस्थित")</f>
        <v>उपस्थित</v>
      </c>
      <c r="AC32" s="3" t="str">
        <f>IFERROR(__xludf.DUMMYFUNCTION("GoogleTranslate(C32, ""en"", ""hu"")"),"Jelenlegi")</f>
        <v>Jelenlegi</v>
      </c>
      <c r="AD32" s="3" t="str">
        <f>IFERROR(__xludf.DUMMYFUNCTION("GoogleTranslate(C32, ""en"", ""is"")"),"Viðstaddur")</f>
        <v>Viðstaddur</v>
      </c>
      <c r="AE32" s="3" t="str">
        <f>IFERROR(__xludf.DUMMYFUNCTION("GoogleTranslate(C32, ""en"", ""id"")"),"Hadiah")</f>
        <v>Hadiah</v>
      </c>
      <c r="AF32" s="3" t="str">
        <f>IFERROR(__xludf.DUMMYFUNCTION("GoogleTranslate(C32, ""en"", ""in"")"),"Hadiah")</f>
        <v>Hadiah</v>
      </c>
      <c r="AG32" s="3" t="str">
        <f>IFERROR(__xludf.DUMMYFUNCTION("GoogleTranslate(C32, ""en"", ""it"")"),"Presente")</f>
        <v>Presente</v>
      </c>
      <c r="AH32" s="3" t="str">
        <f>IFERROR(__xludf.DUMMYFUNCTION("GoogleTranslate(C32, ""en"", ""ja"")"),"現在")</f>
        <v>現在</v>
      </c>
      <c r="AI32" s="3" t="str">
        <f>IFERROR(__xludf.DUMMYFUNCTION("GoogleTranslate(C32, ""en"", ""kn"")"),"ಪ್ರಸ್ತುತ")</f>
        <v>ಪ್ರಸ್ತುತ</v>
      </c>
      <c r="AJ32" s="3" t="str">
        <f>IFERROR(__xludf.DUMMYFUNCTION("GoogleTranslate(C32, ""en"", ""km"")"),"បច្ចុប្បន្ន")</f>
        <v>បច្ចុប្បន្ន</v>
      </c>
      <c r="AK32" s="3" t="str">
        <f>IFERROR(__xludf.DUMMYFUNCTION("GoogleTranslate(C32, ""en"", ""ko"")"),"현재의")</f>
        <v>현재의</v>
      </c>
      <c r="AL32" s="3" t="str">
        <f>IFERROR(__xludf.DUMMYFUNCTION("GoogleTranslate(C32, ""en"", ""lo"")"),"ປະຈຸບັນ")</f>
        <v>ປະຈຸບັນ</v>
      </c>
      <c r="AM32" s="3" t="str">
        <f>IFERROR(__xludf.DUMMYFUNCTION("GoogleTranslate(C32, ""en"", ""lv"")"),"Klāt")</f>
        <v>Klāt</v>
      </c>
      <c r="AN32" s="3" t="str">
        <f>IFERROR(__xludf.DUMMYFUNCTION("GoogleTranslate(C32, ""en"", ""lt"")"),"Pateikti")</f>
        <v>Pateikti</v>
      </c>
      <c r="AO32" s="3" t="str">
        <f>IFERROR(__xludf.DUMMYFUNCTION("GoogleTranslate(C32, ""en"", ""mk"")"),"Присутни")</f>
        <v>Присутни</v>
      </c>
      <c r="AP32" s="3" t="str">
        <f>IFERROR(__xludf.DUMMYFUNCTION("GoogleTranslate(C32, ""en"", ""ms"")"),"Hadir")</f>
        <v>Hadir</v>
      </c>
      <c r="AQ32" s="3" t="str">
        <f>IFERROR(__xludf.DUMMYFUNCTION("GoogleTranslate(C32, ""en"", ""ml"")"),"അവതരിപ്പിക്കുക")</f>
        <v>അവതരിപ്പിക്കുക</v>
      </c>
      <c r="AR32" s="3" t="str">
        <f>IFERROR(__xludf.DUMMYFUNCTION("GoogleTranslate(C32, ""en"", ""mr"")"),"उपस्थित")</f>
        <v>उपस्थित</v>
      </c>
      <c r="AS32" s="3" t="str">
        <f>IFERROR(__xludf.DUMMYFUNCTION("GoogleTranslate(C32, ""en"", ""mn"")"),"Одоо байна")</f>
        <v>Одоо байна</v>
      </c>
      <c r="AT32" s="3" t="str">
        <f>IFERROR(__xludf.DUMMYFUNCTION("GoogleTranslate(C32, ""en"", ""ne"")"),"उपस्थित")</f>
        <v>उपस्थित</v>
      </c>
      <c r="AU32" s="3" t="str">
        <f>IFERROR(__xludf.DUMMYFUNCTION("GoogleTranslate(C32, ""en"", ""nb"")"),"Nåværende")</f>
        <v>Nåværende</v>
      </c>
      <c r="AV32" s="3" t="str">
        <f>IFERROR(__xludf.DUMMYFUNCTION("GoogleTranslate(C32, ""en"", ""fa"")"),"حاضر شود")</f>
        <v>حاضر شود</v>
      </c>
      <c r="AW32" s="3" t="str">
        <f>IFERROR(__xludf.DUMMYFUNCTION("GoogleTranslate(C32, ""en"", ""pl"")"),"Obecny")</f>
        <v>Obecny</v>
      </c>
      <c r="AX32" s="3" t="str">
        <f>IFERROR(__xludf.DUMMYFUNCTION("GoogleTranslate(C32, ""en"", ""pt"")"),"Presente")</f>
        <v>Presente</v>
      </c>
      <c r="AY32" s="3" t="str">
        <f>IFERROR(__xludf.DUMMYFUNCTION("GoogleTranslate(C32, ""en"", ""ro"")"),"Prezent")</f>
        <v>Prezent</v>
      </c>
      <c r="AZ32" s="3" t="str">
        <f>IFERROR(__xludf.DUMMYFUNCTION("GoogleTranslate(C32, ""en"", ""ru"")"),"Подарок")</f>
        <v>Подарок</v>
      </c>
      <c r="BA32" s="3" t="str">
        <f>IFERROR(__xludf.DUMMYFUNCTION("GoogleTranslate(C32, ""en"", ""sr"")"),"Пресент")</f>
        <v>Пресент</v>
      </c>
      <c r="BB32" s="3" t="str">
        <f>IFERROR(__xludf.DUMMYFUNCTION("GoogleTranslate(C32, ""en"", ""si"")"),"ඉදිරිපත් කරන්න")</f>
        <v>ඉදිරිපත් කරන්න</v>
      </c>
      <c r="BC32" s="3" t="str">
        <f>IFERROR(__xludf.DUMMYFUNCTION("GoogleTranslate(C32, ""en"", ""sk"")"),"Súčasnosť")</f>
        <v>Súčasnosť</v>
      </c>
      <c r="BD32" s="3" t="str">
        <f>IFERROR(__xludf.DUMMYFUNCTION("GoogleTranslate(C32, ""en"", ""sl"")"),"prisoten")</f>
        <v>prisoten</v>
      </c>
      <c r="BE32" s="3" t="str">
        <f>IFERROR(__xludf.DUMMYFUNCTION("GoogleTranslate(C32, ""en"", ""es"")"),"Presente")</f>
        <v>Presente</v>
      </c>
      <c r="BF32" s="3" t="str">
        <f>IFERROR(__xludf.DUMMYFUNCTION("GoogleTranslate(C32, ""en"", ""sw"")"),"Wasilisha")</f>
        <v>Wasilisha</v>
      </c>
      <c r="BG32" s="3" t="str">
        <f>IFERROR(__xludf.DUMMYFUNCTION("GoogleTranslate(C32, ""en"", ""sv"")"),"Presentera")</f>
        <v>Presentera</v>
      </c>
      <c r="BH32" s="3" t="str">
        <f>IFERROR(__xludf.DUMMYFUNCTION("GoogleTranslate(C32, ""en"", ""te"")"),"వర్తమానం")</f>
        <v>వర్తమానం</v>
      </c>
      <c r="BI32" s="3" t="str">
        <f>IFERROR(__xludf.DUMMYFUNCTION("GoogleTranslate(C32, ""en"", ""th"")"),"ปัจจุบัน")</f>
        <v>ปัจจุบัน</v>
      </c>
      <c r="BJ32" s="3" t="str">
        <f>IFERROR(__xludf.DUMMYFUNCTION("GoogleTranslate(C32, ""en"", ""tr"")"),"Sunmak")</f>
        <v>Sunmak</v>
      </c>
      <c r="BK32" s="3" t="str">
        <f>IFERROR(__xludf.DUMMYFUNCTION("GoogleTranslate(C32, ""en"", ""uk"")"),"присутній")</f>
        <v>присутній</v>
      </c>
      <c r="BL32" s="3" t="str">
        <f>IFERROR(__xludf.DUMMYFUNCTION("GoogleTranslate(C32, ""en"", ""zu"")"),"Phrezenta")</f>
        <v>Phrezenta</v>
      </c>
    </row>
    <row r="33">
      <c r="A33" s="1" t="str">
        <f t="shared" si="1"/>
        <v>Hourly</v>
      </c>
      <c r="B33" s="4" t="s">
        <v>95</v>
      </c>
      <c r="C33" s="1" t="str">
        <f t="shared" si="2"/>
        <v>Hourly</v>
      </c>
      <c r="D33" s="3" t="str">
        <f>IFERROR(__xludf.DUMMYFUNCTION("GoogleTranslate(C33, ""en"", ""es"")"),"Cada hora")</f>
        <v>Cada hora</v>
      </c>
      <c r="E33" s="3" t="str">
        <f>IFERROR(__xludf.DUMMYFUNCTION("GoogleTranslate(C33, ""en"", ""ar"")"),"كل ساعة")</f>
        <v>كل ساعة</v>
      </c>
      <c r="F33" s="3" t="str">
        <f>IFERROR(__xludf.DUMMYFUNCTION("GoogleTranslate(C33, ""en"", ""hy"")"),"Ժամային")</f>
        <v>Ժամային</v>
      </c>
      <c r="G33" s="3" t="str">
        <f>IFERROR(__xludf.DUMMYFUNCTION("GoogleTranslate(C33, ""en"", ""vi"")"),"Hàng giờ")</f>
        <v>Hàng giờ</v>
      </c>
      <c r="H33" s="3" t="str">
        <f>IFERROR(__xludf.DUMMYFUNCTION("GoogleTranslate(C33, ""en"", ""az"")"),"Saatlıq")</f>
        <v>Saatlıq</v>
      </c>
      <c r="I33" s="3" t="str">
        <f>IFERROR(__xludf.DUMMYFUNCTION("GoogleTranslate(C33, ""en"", ""eu"")"),"Orduka")</f>
        <v>Orduka</v>
      </c>
      <c r="J33" s="3" t="str">
        <f>IFERROR(__xludf.DUMMYFUNCTION("GoogleTranslate(C33, ""en"", ""be"")"),"Штогадзіны")</f>
        <v>Штогадзіны</v>
      </c>
      <c r="K33" s="3" t="str">
        <f>IFERROR(__xludf.DUMMYFUNCTION("GoogleTranslate(C33, ""en"", ""bn"")"),"ঘণ্টায়")</f>
        <v>ঘণ্টায়</v>
      </c>
      <c r="L33" s="3" t="str">
        <f>IFERROR(__xludf.DUMMYFUNCTION("GoogleTranslate(C33, ""en"", ""bg"")"),"Почасово")</f>
        <v>Почасово</v>
      </c>
      <c r="M33" s="3" t="str">
        <f>IFERROR(__xludf.DUMMYFUNCTION("GoogleTranslate(C33, ""en"", ""my"")"),"နာရီတိုင်း")</f>
        <v>နာရီတိုင်း</v>
      </c>
      <c r="N33" s="3" t="str">
        <f>IFERROR(__xludf.DUMMYFUNCTION("GoogleTranslate(C33, ""en"", ""ca"")"),"Cada hora")</f>
        <v>Cada hora</v>
      </c>
      <c r="O33" s="3" t="str">
        <f>IFERROR(__xludf.DUMMYFUNCTION("GoogleTranslate(C33, ""en"", ""zh-cn"")"),"每小时")</f>
        <v>每小时</v>
      </c>
      <c r="P33" s="3" t="str">
        <f>IFERROR(__xludf.DUMMYFUNCTION("GoogleTranslate(C33, ""en"", ""zh-TW"")"),"每小時")</f>
        <v>每小時</v>
      </c>
      <c r="Q33" s="3" t="str">
        <f>IFERROR(__xludf.DUMMYFUNCTION("GoogleTranslate(C33, ""en"", ""hr"")"),"Svaki sat")</f>
        <v>Svaki sat</v>
      </c>
      <c r="R33" s="3" t="str">
        <f>IFERROR(__xludf.DUMMYFUNCTION("GoogleTranslate(C33, ""en"", ""cs"")"),"Hodinově")</f>
        <v>Hodinově</v>
      </c>
      <c r="S33" s="3" t="str">
        <f>IFERROR(__xludf.DUMMYFUNCTION("GoogleTranslate(C33, ""en"", ""da"")"),"Hver time")</f>
        <v>Hver time</v>
      </c>
      <c r="T33" s="3" t="str">
        <f>IFERROR(__xludf.DUMMYFUNCTION("GoogleTranslate(C33, ""en"", ""nl"")"),"Per uur")</f>
        <v>Per uur</v>
      </c>
      <c r="U33" s="3" t="str">
        <f>IFERROR(__xludf.DUMMYFUNCTION("GoogleTranslate(C33, ""en"", ""et"")"),"Tunni kaupa")</f>
        <v>Tunni kaupa</v>
      </c>
      <c r="V33" s="1" t="str">
        <f t="shared" si="3"/>
        <v>Hourly</v>
      </c>
      <c r="W33" s="3" t="str">
        <f>IFERROR(__xludf.DUMMYFUNCTION("GoogleTranslate(C33, ""en"", ""fi"")"),"Tunneittain")</f>
        <v>Tunneittain</v>
      </c>
      <c r="X33" s="3" t="str">
        <f>IFERROR(__xludf.DUMMYFUNCTION("GoogleTranslate(C33, ""en"", ""fr"")"),"Horaire")</f>
        <v>Horaire</v>
      </c>
      <c r="Y33" s="3" t="str">
        <f>IFERROR(__xludf.DUMMYFUNCTION("GoogleTranslate(C33, ""en"", ""de"")"),"Stündlich")</f>
        <v>Stündlich</v>
      </c>
      <c r="Z33" s="3" t="str">
        <f>IFERROR(__xludf.DUMMYFUNCTION("GoogleTranslate(C33, ""en"", ""el"")"),"Ωριαίος")</f>
        <v>Ωριαίος</v>
      </c>
      <c r="AA33" s="3" t="str">
        <f>IFERROR(__xludf.DUMMYFUNCTION("GoogleTranslate(C33, ""en"", ""iw"")"),"מדי שעה")</f>
        <v>מדי שעה</v>
      </c>
      <c r="AB33" s="3" t="str">
        <f>IFERROR(__xludf.DUMMYFUNCTION("GoogleTranslate(C33, ""en"", ""hi"")"),"प्रति घंटा")</f>
        <v>प्रति घंटा</v>
      </c>
      <c r="AC33" s="3" t="str">
        <f>IFERROR(__xludf.DUMMYFUNCTION("GoogleTranslate(C33, ""en"", ""hu"")"),"Óránkénti")</f>
        <v>Óránkénti</v>
      </c>
      <c r="AD33" s="3" t="str">
        <f>IFERROR(__xludf.DUMMYFUNCTION("GoogleTranslate(C33, ""en"", ""is"")"),"Á klukkutíma fresti")</f>
        <v>Á klukkutíma fresti</v>
      </c>
      <c r="AE33" s="3" t="str">
        <f>IFERROR(__xludf.DUMMYFUNCTION("GoogleTranslate(C33, ""en"", ""id"")"),"Per jam")</f>
        <v>Per jam</v>
      </c>
      <c r="AF33" s="3" t="str">
        <f>IFERROR(__xludf.DUMMYFUNCTION("GoogleTranslate(C33, ""en"", ""in"")"),"Per jam")</f>
        <v>Per jam</v>
      </c>
      <c r="AG33" s="3" t="str">
        <f>IFERROR(__xludf.DUMMYFUNCTION("GoogleTranslate(C33, ""en"", ""it"")"),"Ogni ora")</f>
        <v>Ogni ora</v>
      </c>
      <c r="AH33" s="3" t="str">
        <f>IFERROR(__xludf.DUMMYFUNCTION("GoogleTranslate(C33, ""en"", ""ja"")"),"毎時")</f>
        <v>毎時</v>
      </c>
      <c r="AI33" s="3" t="str">
        <f>IFERROR(__xludf.DUMMYFUNCTION("GoogleTranslate(C33, ""en"", ""kn"")"),"ಗಂಟೆಗೊಮ್ಮೆ")</f>
        <v>ಗಂಟೆಗೊಮ್ಮೆ</v>
      </c>
      <c r="AJ33" s="3" t="str">
        <f>IFERROR(__xludf.DUMMYFUNCTION("GoogleTranslate(C33, ""en"", ""km"")"),"រៀងរាល់ម៉ោង")</f>
        <v>រៀងរាល់ម៉ោង</v>
      </c>
      <c r="AK33" s="3" t="str">
        <f>IFERROR(__xludf.DUMMYFUNCTION("GoogleTranslate(C33, ""en"", ""ko"")"),"시간별")</f>
        <v>시간별</v>
      </c>
      <c r="AL33" s="3" t="str">
        <f>IFERROR(__xludf.DUMMYFUNCTION("GoogleTranslate(C33, ""en"", ""lo"")"),"ທຸກໆຊົ່ວໂມງ")</f>
        <v>ທຸກໆຊົ່ວໂມງ</v>
      </c>
      <c r="AM33" s="3" t="str">
        <f>IFERROR(__xludf.DUMMYFUNCTION("GoogleTranslate(C33, ""en"", ""lv"")"),"Stundu")</f>
        <v>Stundu</v>
      </c>
      <c r="AN33" s="3" t="str">
        <f>IFERROR(__xludf.DUMMYFUNCTION("GoogleTranslate(C33, ""en"", ""lt"")"),"Kas valandą")</f>
        <v>Kas valandą</v>
      </c>
      <c r="AO33" s="3" t="str">
        <f>IFERROR(__xludf.DUMMYFUNCTION("GoogleTranslate(C33, ""en"", ""mk"")"),"На час")</f>
        <v>На час</v>
      </c>
      <c r="AP33" s="3" t="str">
        <f>IFERROR(__xludf.DUMMYFUNCTION("GoogleTranslate(C33, ""en"", ""ms"")"),"setiap jam")</f>
        <v>setiap jam</v>
      </c>
      <c r="AQ33" s="3" t="str">
        <f>IFERROR(__xludf.DUMMYFUNCTION("GoogleTranslate(C33, ""en"", ""ml"")"),"മണിക്കൂറിൽ")</f>
        <v>മണിക്കൂറിൽ</v>
      </c>
      <c r="AR33" s="3" t="str">
        <f>IFERROR(__xludf.DUMMYFUNCTION("GoogleTranslate(C33, ""en"", ""mr"")"),"प्रति तास")</f>
        <v>प्रति तास</v>
      </c>
      <c r="AS33" s="3" t="str">
        <f>IFERROR(__xludf.DUMMYFUNCTION("GoogleTranslate(C33, ""en"", ""mn"")"),"Цаг тутамд")</f>
        <v>Цаг тутамд</v>
      </c>
      <c r="AT33" s="3" t="str">
        <f>IFERROR(__xludf.DUMMYFUNCTION("GoogleTranslate(C33, ""en"", ""ne"")"),"प्रति घण्टा")</f>
        <v>प्रति घण्टा</v>
      </c>
      <c r="AU33" s="3" t="str">
        <f>IFERROR(__xludf.DUMMYFUNCTION("GoogleTranslate(C33, ""en"", ""nb"")"),"Hver time")</f>
        <v>Hver time</v>
      </c>
      <c r="AV33" s="3" t="str">
        <f>IFERROR(__xludf.DUMMYFUNCTION("GoogleTranslate(C33, ""en"", ""fa"")"),"ساعتی")</f>
        <v>ساعتی</v>
      </c>
      <c r="AW33" s="3" t="str">
        <f>IFERROR(__xludf.DUMMYFUNCTION("GoogleTranslate(C33, ""en"", ""pl"")"),"Cogodzinny")</f>
        <v>Cogodzinny</v>
      </c>
      <c r="AX33" s="3" t="str">
        <f>IFERROR(__xludf.DUMMYFUNCTION("GoogleTranslate(C33, ""en"", ""pt"")"),"De hora em hora")</f>
        <v>De hora em hora</v>
      </c>
      <c r="AY33" s="3" t="str">
        <f>IFERROR(__xludf.DUMMYFUNCTION("GoogleTranslate(C33, ""en"", ""ro"")"),"Orar")</f>
        <v>Orar</v>
      </c>
      <c r="AZ33" s="3" t="str">
        <f>IFERROR(__xludf.DUMMYFUNCTION("GoogleTranslate(C33, ""en"", ""ru"")"),"Ежечасно")</f>
        <v>Ежечасно</v>
      </c>
      <c r="BA33" s="3" t="str">
        <f>IFERROR(__xludf.DUMMYFUNCTION("GoogleTranslate(C33, ""en"", ""sr"")"),"По сату")</f>
        <v>По сату</v>
      </c>
      <c r="BB33" s="3" t="str">
        <f>IFERROR(__xludf.DUMMYFUNCTION("GoogleTranslate(C33, ""en"", ""si"")"),"පැයකට වරක්")</f>
        <v>පැයකට වරක්</v>
      </c>
      <c r="BC33" s="3" t="str">
        <f>IFERROR(__xludf.DUMMYFUNCTION("GoogleTranslate(C33, ""en"", ""sk"")"),"Každú hodinu")</f>
        <v>Každú hodinu</v>
      </c>
      <c r="BD33" s="3" t="str">
        <f>IFERROR(__xludf.DUMMYFUNCTION("GoogleTranslate(C33, ""en"", ""sl"")"),"Vsako uro")</f>
        <v>Vsako uro</v>
      </c>
      <c r="BE33" s="3" t="str">
        <f>IFERROR(__xludf.DUMMYFUNCTION("GoogleTranslate(C33, ""en"", ""es"")"),"Cada hora")</f>
        <v>Cada hora</v>
      </c>
      <c r="BF33" s="3" t="str">
        <f>IFERROR(__xludf.DUMMYFUNCTION("GoogleTranslate(C33, ""en"", ""sw"")"),"Kila saa")</f>
        <v>Kila saa</v>
      </c>
      <c r="BG33" s="3" t="str">
        <f>IFERROR(__xludf.DUMMYFUNCTION("GoogleTranslate(C33, ""en"", ""sv"")"),"Varje timme")</f>
        <v>Varje timme</v>
      </c>
      <c r="BH33" s="3" t="str">
        <f>IFERROR(__xludf.DUMMYFUNCTION("GoogleTranslate(C33, ""en"", ""te"")"),"గంటకోసారి")</f>
        <v>గంటకోసారి</v>
      </c>
      <c r="BI33" s="3" t="str">
        <f>IFERROR(__xludf.DUMMYFUNCTION("GoogleTranslate(C33, ""en"", ""th"")"),"รายชั่วโมง")</f>
        <v>รายชั่วโมง</v>
      </c>
      <c r="BJ33" s="3" t="str">
        <f>IFERROR(__xludf.DUMMYFUNCTION("GoogleTranslate(C33, ""en"", ""tr"")"),"Saatlik")</f>
        <v>Saatlik</v>
      </c>
      <c r="BK33" s="3" t="str">
        <f>IFERROR(__xludf.DUMMYFUNCTION("GoogleTranslate(C33, ""en"", ""uk"")"),"щогодини")</f>
        <v>щогодини</v>
      </c>
      <c r="BL33" s="3" t="str">
        <f>IFERROR(__xludf.DUMMYFUNCTION("GoogleTranslate(C33, ""en"", ""zu"")"),"Ngehora")</f>
        <v>Ngehora</v>
      </c>
    </row>
    <row r="34">
      <c r="A34" s="1" t="str">
        <f t="shared" si="1"/>
        <v>Current_parameters</v>
      </c>
      <c r="B34" s="4" t="s">
        <v>96</v>
      </c>
      <c r="C34" s="1" t="str">
        <f t="shared" si="2"/>
        <v>Current parameters</v>
      </c>
      <c r="D34" s="3" t="str">
        <f>IFERROR(__xludf.DUMMYFUNCTION("GoogleTranslate(C34, ""en"", ""es"")"),"Parámetros actuales")</f>
        <v>Parámetros actuales</v>
      </c>
      <c r="E34" s="3" t="str">
        <f>IFERROR(__xludf.DUMMYFUNCTION("GoogleTranslate(C34, ""en"", ""ar"")"),"المعلمات الحالية")</f>
        <v>المعلمات الحالية</v>
      </c>
      <c r="F34" s="3" t="str">
        <f>IFERROR(__xludf.DUMMYFUNCTION("GoogleTranslate(C34, ""en"", ""hy"")"),"Ընթացիկ պարամետրեր")</f>
        <v>Ընթացիկ պարամետրեր</v>
      </c>
      <c r="G34" s="3" t="str">
        <f>IFERROR(__xludf.DUMMYFUNCTION("GoogleTranslate(C34, ""en"", ""vi"")"),"Thông số hiện tại")</f>
        <v>Thông số hiện tại</v>
      </c>
      <c r="H34" s="3" t="str">
        <f>IFERROR(__xludf.DUMMYFUNCTION("GoogleTranslate(C34, ""en"", ""az"")"),"Cari parametrlər")</f>
        <v>Cari parametrlər</v>
      </c>
      <c r="I34" s="3" t="str">
        <f>IFERROR(__xludf.DUMMYFUNCTION("GoogleTranslate(C34, ""en"", ""eu"")"),"Egungo parametroak")</f>
        <v>Egungo parametroak</v>
      </c>
      <c r="J34" s="3" t="str">
        <f>IFERROR(__xludf.DUMMYFUNCTION("GoogleTranslate(C34, ""en"", ""be"")"),"Параметры току")</f>
        <v>Параметры току</v>
      </c>
      <c r="K34" s="3" t="str">
        <f>IFERROR(__xludf.DUMMYFUNCTION("GoogleTranslate(C34, ""en"", ""bn"")"),"বর্তমান পরামিতি")</f>
        <v>বর্তমান পরামিতি</v>
      </c>
      <c r="L34" s="3" t="str">
        <f>IFERROR(__xludf.DUMMYFUNCTION("GoogleTranslate(C34, ""en"", ""bg"")"),"Текущи параметри")</f>
        <v>Текущи параметри</v>
      </c>
      <c r="M34" s="3" t="str">
        <f>IFERROR(__xludf.DUMMYFUNCTION("GoogleTranslate(C34, ""en"", ""my"")"),"လက်ရှိဘောင်များ")</f>
        <v>လက်ရှိဘောင်များ</v>
      </c>
      <c r="N34" s="3" t="str">
        <f>IFERROR(__xludf.DUMMYFUNCTION("GoogleTranslate(C34, ""en"", ""ca"")"),"Paràmetres actuals")</f>
        <v>Paràmetres actuals</v>
      </c>
      <c r="O34" s="3" t="str">
        <f>IFERROR(__xludf.DUMMYFUNCTION("GoogleTranslate(C34, ""en"", ""zh-cn"")"),"当前参数")</f>
        <v>当前参数</v>
      </c>
      <c r="P34" s="3" t="str">
        <f>IFERROR(__xludf.DUMMYFUNCTION("GoogleTranslate(C34, ""en"", ""zh-TW"")"),"目前參數")</f>
        <v>目前參數</v>
      </c>
      <c r="Q34" s="3" t="str">
        <f>IFERROR(__xludf.DUMMYFUNCTION("GoogleTranslate(C34, ""en"", ""hr"")"),"Trenutni parametri")</f>
        <v>Trenutni parametri</v>
      </c>
      <c r="R34" s="3" t="str">
        <f>IFERROR(__xludf.DUMMYFUNCTION("GoogleTranslate(C34, ""en"", ""cs"")"),"Aktuální parametry")</f>
        <v>Aktuální parametry</v>
      </c>
      <c r="S34" s="3" t="str">
        <f>IFERROR(__xludf.DUMMYFUNCTION("GoogleTranslate(C34, ""en"", ""da"")"),"Aktuelle parametre")</f>
        <v>Aktuelle parametre</v>
      </c>
      <c r="T34" s="3" t="str">
        <f>IFERROR(__xludf.DUMMYFUNCTION("GoogleTranslate(C34, ""en"", ""nl"")"),"Huidige parameters")</f>
        <v>Huidige parameters</v>
      </c>
      <c r="U34" s="3" t="str">
        <f>IFERROR(__xludf.DUMMYFUNCTION("GoogleTranslate(C34, ""en"", ""et"")"),"Praegused parameetrid")</f>
        <v>Praegused parameetrid</v>
      </c>
      <c r="V34" s="1" t="str">
        <f t="shared" si="3"/>
        <v>Current parameters</v>
      </c>
      <c r="W34" s="3" t="str">
        <f>IFERROR(__xludf.DUMMYFUNCTION("GoogleTranslate(C34, ""en"", ""fi"")"),"Nykyiset parametrit")</f>
        <v>Nykyiset parametrit</v>
      </c>
      <c r="X34" s="3" t="str">
        <f>IFERROR(__xludf.DUMMYFUNCTION("GoogleTranslate(C34, ""en"", ""fr"")"),"Paramètres actuels")</f>
        <v>Paramètres actuels</v>
      </c>
      <c r="Y34" s="3" t="str">
        <f>IFERROR(__xludf.DUMMYFUNCTION("GoogleTranslate(C34, ""en"", ""de"")"),"Aktuelle Parameter")</f>
        <v>Aktuelle Parameter</v>
      </c>
      <c r="Z34" s="3" t="str">
        <f>IFERROR(__xludf.DUMMYFUNCTION("GoogleTranslate(C34, ""en"", ""el"")"),"Τρέχουσες παράμετροι")</f>
        <v>Τρέχουσες παράμετροι</v>
      </c>
      <c r="AA34" s="3" t="str">
        <f>IFERROR(__xludf.DUMMYFUNCTION("GoogleTranslate(C34, ""en"", ""iw"")"),"פרמטרים נוכחיים")</f>
        <v>פרמטרים נוכחיים</v>
      </c>
      <c r="AB34" s="3" t="str">
        <f>IFERROR(__xludf.DUMMYFUNCTION("GoogleTranslate(C34, ""en"", ""hi"")"),"वर्तमान पैरामीटर")</f>
        <v>वर्तमान पैरामीटर</v>
      </c>
      <c r="AC34" s="3" t="str">
        <f>IFERROR(__xludf.DUMMYFUNCTION("GoogleTranslate(C34, ""en"", ""hu"")"),"Aktuális paraméterek")</f>
        <v>Aktuális paraméterek</v>
      </c>
      <c r="AD34" s="3" t="str">
        <f>IFERROR(__xludf.DUMMYFUNCTION("GoogleTranslate(C34, ""en"", ""is"")"),"Núverandi breytur")</f>
        <v>Núverandi breytur</v>
      </c>
      <c r="AE34" s="3" t="str">
        <f>IFERROR(__xludf.DUMMYFUNCTION("GoogleTranslate(C34, ""en"", ""id"")"),"Parameter saat ini")</f>
        <v>Parameter saat ini</v>
      </c>
      <c r="AF34" s="3" t="str">
        <f>IFERROR(__xludf.DUMMYFUNCTION("GoogleTranslate(C34, ""en"", ""in"")"),"Parameter saat ini")</f>
        <v>Parameter saat ini</v>
      </c>
      <c r="AG34" s="3" t="str">
        <f>IFERROR(__xludf.DUMMYFUNCTION("GoogleTranslate(C34, ""en"", ""it"")"),"Parametri attuali")</f>
        <v>Parametri attuali</v>
      </c>
      <c r="AH34" s="3" t="str">
        <f>IFERROR(__xludf.DUMMYFUNCTION("GoogleTranslate(C34, ""en"", ""ja"")"),"現在のパラメータ")</f>
        <v>現在のパラメータ</v>
      </c>
      <c r="AI34" s="3" t="str">
        <f>IFERROR(__xludf.DUMMYFUNCTION("GoogleTranslate(C34, ""en"", ""kn"")"),"ಪ್ರಸ್ತುತ ನಿಯತಾಂಕಗಳು")</f>
        <v>ಪ್ರಸ್ತುತ ನಿಯತಾಂಕಗಳು</v>
      </c>
      <c r="AJ34" s="3" t="str">
        <f>IFERROR(__xludf.DUMMYFUNCTION("GoogleTranslate(C34, ""en"", ""km"")"),"ប៉ារ៉ាម៉ែត្របច្ចុប្បន្ន")</f>
        <v>ប៉ារ៉ាម៉ែត្របច្ចុប្បន្ន</v>
      </c>
      <c r="AK34" s="3" t="str">
        <f>IFERROR(__xludf.DUMMYFUNCTION("GoogleTranslate(C34, ""en"", ""ko"")"),"현재 매개변수")</f>
        <v>현재 매개변수</v>
      </c>
      <c r="AL34" s="3" t="str">
        <f>IFERROR(__xludf.DUMMYFUNCTION("GoogleTranslate(C34, ""en"", ""lo"")"),"ຕົວກໍານົດການປະຈຸບັນ")</f>
        <v>ຕົວກໍານົດການປະຈຸບັນ</v>
      </c>
      <c r="AM34" s="3" t="str">
        <f>IFERROR(__xludf.DUMMYFUNCTION("GoogleTranslate(C34, ""en"", ""lv"")"),"Pašreizējie parametri")</f>
        <v>Pašreizējie parametri</v>
      </c>
      <c r="AN34" s="3" t="str">
        <f>IFERROR(__xludf.DUMMYFUNCTION("GoogleTranslate(C34, ""en"", ""lt"")"),"Dabartiniai parametrai")</f>
        <v>Dabartiniai parametrai</v>
      </c>
      <c r="AO34" s="3" t="str">
        <f>IFERROR(__xludf.DUMMYFUNCTION("GoogleTranslate(C34, ""en"", ""mk"")"),"Тековни параметри")</f>
        <v>Тековни параметри</v>
      </c>
      <c r="AP34" s="3" t="str">
        <f>IFERROR(__xludf.DUMMYFUNCTION("GoogleTranslate(C34, ""en"", ""ms"")"),"Parameter semasa")</f>
        <v>Parameter semasa</v>
      </c>
      <c r="AQ34" s="3" t="str">
        <f>IFERROR(__xludf.DUMMYFUNCTION("GoogleTranslate(C34, ""en"", ""ml"")"),"നിലവിലെ പാരാമീറ്ററുകൾ")</f>
        <v>നിലവിലെ പാരാമീറ്ററുകൾ</v>
      </c>
      <c r="AR34" s="3" t="str">
        <f>IFERROR(__xludf.DUMMYFUNCTION("GoogleTranslate(C34, ""en"", ""mr"")"),"वर्तमान मापदंड")</f>
        <v>वर्तमान मापदंड</v>
      </c>
      <c r="AS34" s="3" t="str">
        <f>IFERROR(__xludf.DUMMYFUNCTION("GoogleTranslate(C34, ""en"", ""mn"")"),"Одоогийн параметрүүд")</f>
        <v>Одоогийн параметрүүд</v>
      </c>
      <c r="AT34" s="3" t="str">
        <f>IFERROR(__xludf.DUMMYFUNCTION("GoogleTranslate(C34, ""en"", ""ne"")"),"हालको प्यारामिटरहरू")</f>
        <v>हालको प्यारामिटरहरू</v>
      </c>
      <c r="AU34" s="3" t="str">
        <f>IFERROR(__xludf.DUMMYFUNCTION("GoogleTranslate(C34, ""en"", ""nb"")"),"Gjeldende parametere")</f>
        <v>Gjeldende parametere</v>
      </c>
      <c r="AV34" s="3" t="str">
        <f>IFERROR(__xludf.DUMMYFUNCTION("GoogleTranslate(C34, ""en"", ""fa"")"),"پارامترهای فعلی")</f>
        <v>پارامترهای فعلی</v>
      </c>
      <c r="AW34" s="3" t="str">
        <f>IFERROR(__xludf.DUMMYFUNCTION("GoogleTranslate(C34, ""en"", ""pl"")"),"Aktualne parametry")</f>
        <v>Aktualne parametry</v>
      </c>
      <c r="AX34" s="3" t="str">
        <f>IFERROR(__xludf.DUMMYFUNCTION("GoogleTranslate(C34, ""en"", ""pt"")"),"Parâmetros atuais")</f>
        <v>Parâmetros atuais</v>
      </c>
      <c r="AY34" s="3" t="str">
        <f>IFERROR(__xludf.DUMMYFUNCTION("GoogleTranslate(C34, ""en"", ""ro"")"),"Parametrii curenti")</f>
        <v>Parametrii curenti</v>
      </c>
      <c r="AZ34" s="3" t="str">
        <f>IFERROR(__xludf.DUMMYFUNCTION("GoogleTranslate(C34, ""en"", ""ru"")"),"Текущие параметры")</f>
        <v>Текущие параметры</v>
      </c>
      <c r="BA34" s="3" t="str">
        <f>IFERROR(__xludf.DUMMYFUNCTION("GoogleTranslate(C34, ""en"", ""sr"")"),"Тренутни параметри")</f>
        <v>Тренутни параметри</v>
      </c>
      <c r="BB34" s="3" t="str">
        <f>IFERROR(__xludf.DUMMYFUNCTION("GoogleTranslate(C34, ""en"", ""si"")"),"වත්මන් පරාමිතීන්")</f>
        <v>වත්මන් පරාමිතීන්</v>
      </c>
      <c r="BC34" s="3" t="str">
        <f>IFERROR(__xludf.DUMMYFUNCTION("GoogleTranslate(C34, ""en"", ""sk"")"),"Aktuálne parametre")</f>
        <v>Aktuálne parametre</v>
      </c>
      <c r="BD34" s="3" t="str">
        <f>IFERROR(__xludf.DUMMYFUNCTION("GoogleTranslate(C34, ""en"", ""sl"")"),"Trenutni parametri")</f>
        <v>Trenutni parametri</v>
      </c>
      <c r="BE34" s="3" t="str">
        <f>IFERROR(__xludf.DUMMYFUNCTION("GoogleTranslate(C34, ""en"", ""es"")"),"Parámetros actuales")</f>
        <v>Parámetros actuales</v>
      </c>
      <c r="BF34" s="3" t="str">
        <f>IFERROR(__xludf.DUMMYFUNCTION("GoogleTranslate(C34, ""en"", ""sw"")"),"Vigezo vya sasa")</f>
        <v>Vigezo vya sasa</v>
      </c>
      <c r="BG34" s="3" t="str">
        <f>IFERROR(__xludf.DUMMYFUNCTION("GoogleTranslate(C34, ""en"", ""sv"")"),"Aktuella parametrar")</f>
        <v>Aktuella parametrar</v>
      </c>
      <c r="BH34" s="3" t="str">
        <f>IFERROR(__xludf.DUMMYFUNCTION("GoogleTranslate(C34, ""en"", ""te"")"),"ప్రస్తుత పారామితులు")</f>
        <v>ప్రస్తుత పారామితులు</v>
      </c>
      <c r="BI34" s="3" t="str">
        <f>IFERROR(__xludf.DUMMYFUNCTION("GoogleTranslate(C34, ""en"", ""th"")"),"พารามิเตอร์ปัจจุบัน")</f>
        <v>พารามิเตอร์ปัจจุบัน</v>
      </c>
      <c r="BJ34" s="3" t="str">
        <f>IFERROR(__xludf.DUMMYFUNCTION("GoogleTranslate(C34, ""en"", ""tr"")"),"Mevcut parametreler")</f>
        <v>Mevcut parametreler</v>
      </c>
      <c r="BK34" s="3" t="str">
        <f>IFERROR(__xludf.DUMMYFUNCTION("GoogleTranslate(C34, ""en"", ""uk"")"),"Параметри струму")</f>
        <v>Параметри струму</v>
      </c>
      <c r="BL34" s="3" t="str">
        <f>IFERROR(__xludf.DUMMYFUNCTION("GoogleTranslate(C34, ""en"", ""zu"")"),"Amapharamitha amanje")</f>
        <v>Amapharamitha amanje</v>
      </c>
    </row>
    <row r="35">
      <c r="A35" s="1" t="str">
        <f t="shared" si="1"/>
        <v>Tomorrow</v>
      </c>
      <c r="B35" s="4" t="s">
        <v>97</v>
      </c>
      <c r="C35" s="1" t="str">
        <f t="shared" si="2"/>
        <v>Tomorrow</v>
      </c>
      <c r="D35" s="3" t="str">
        <f>IFERROR(__xludf.DUMMYFUNCTION("GoogleTranslate(C35, ""en"", ""es"")"),"Mañana")</f>
        <v>Mañana</v>
      </c>
      <c r="E35" s="3" t="str">
        <f>IFERROR(__xludf.DUMMYFUNCTION("GoogleTranslate(C35, ""en"", ""ar"")"),"غداً")</f>
        <v>غداً</v>
      </c>
      <c r="F35" s="3" t="str">
        <f>IFERROR(__xludf.DUMMYFUNCTION("GoogleTranslate(C35, ""en"", ""hy"")"),"Վաղը")</f>
        <v>Վաղը</v>
      </c>
      <c r="G35" s="3" t="str">
        <f>IFERROR(__xludf.DUMMYFUNCTION("GoogleTranslate(C35, ""en"", ""vi"")"),"Ngày mai")</f>
        <v>Ngày mai</v>
      </c>
      <c r="H35" s="3" t="str">
        <f>IFERROR(__xludf.DUMMYFUNCTION("GoogleTranslate(C35, ""en"", ""az"")"),"Sabah")</f>
        <v>Sabah</v>
      </c>
      <c r="I35" s="3" t="str">
        <f>IFERROR(__xludf.DUMMYFUNCTION("GoogleTranslate(C35, ""en"", ""eu"")"),"Bihar")</f>
        <v>Bihar</v>
      </c>
      <c r="J35" s="3" t="str">
        <f>IFERROR(__xludf.DUMMYFUNCTION("GoogleTranslate(C35, ""en"", ""be"")"),"Заўтра")</f>
        <v>Заўтра</v>
      </c>
      <c r="K35" s="3" t="str">
        <f>IFERROR(__xludf.DUMMYFUNCTION("GoogleTranslate(C35, ""en"", ""bn"")"),"কাল")</f>
        <v>কাল</v>
      </c>
      <c r="L35" s="3" t="str">
        <f>IFERROR(__xludf.DUMMYFUNCTION("GoogleTranslate(C35, ""en"", ""bg"")"),"утре")</f>
        <v>утре</v>
      </c>
      <c r="M35" s="3" t="str">
        <f>IFERROR(__xludf.DUMMYFUNCTION("GoogleTranslate(C35, ""en"", ""my"")"),"မနက်ဖြန်")</f>
        <v>မနက်ဖြန်</v>
      </c>
      <c r="N35" s="3" t="str">
        <f>IFERROR(__xludf.DUMMYFUNCTION("GoogleTranslate(C35, ""en"", ""ca"")"),"Demà")</f>
        <v>Demà</v>
      </c>
      <c r="O35" s="3" t="str">
        <f>IFERROR(__xludf.DUMMYFUNCTION("GoogleTranslate(C35, ""en"", ""zh-cn"")"),"明天")</f>
        <v>明天</v>
      </c>
      <c r="P35" s="3" t="str">
        <f>IFERROR(__xludf.DUMMYFUNCTION("GoogleTranslate(C35, ""en"", ""zh-TW"")"),"明天")</f>
        <v>明天</v>
      </c>
      <c r="Q35" s="3" t="str">
        <f>IFERROR(__xludf.DUMMYFUNCTION("GoogleTranslate(C35, ""en"", ""hr"")"),"Sutra")</f>
        <v>Sutra</v>
      </c>
      <c r="R35" s="3" t="str">
        <f>IFERROR(__xludf.DUMMYFUNCTION("GoogleTranslate(C35, ""en"", ""cs"")"),"Zítra")</f>
        <v>Zítra</v>
      </c>
      <c r="S35" s="3" t="str">
        <f>IFERROR(__xludf.DUMMYFUNCTION("GoogleTranslate(C35, ""en"", ""da"")"),"I morgen")</f>
        <v>I morgen</v>
      </c>
      <c r="T35" s="3" t="str">
        <f>IFERROR(__xludf.DUMMYFUNCTION("GoogleTranslate(C35, ""en"", ""nl"")"),"Morgen")</f>
        <v>Morgen</v>
      </c>
      <c r="U35" s="3" t="str">
        <f>IFERROR(__xludf.DUMMYFUNCTION("GoogleTranslate(C35, ""en"", ""et"")"),"Homme")</f>
        <v>Homme</v>
      </c>
      <c r="V35" s="1" t="str">
        <f t="shared" si="3"/>
        <v>Tomorrow</v>
      </c>
      <c r="W35" s="3" t="str">
        <f>IFERROR(__xludf.DUMMYFUNCTION("GoogleTranslate(C35, ""en"", ""fi"")"),"Huomenna")</f>
        <v>Huomenna</v>
      </c>
      <c r="X35" s="3" t="str">
        <f>IFERROR(__xludf.DUMMYFUNCTION("GoogleTranslate(C35, ""en"", ""fr"")"),"Demain")</f>
        <v>Demain</v>
      </c>
      <c r="Y35" s="3" t="str">
        <f>IFERROR(__xludf.DUMMYFUNCTION("GoogleTranslate(C35, ""en"", ""de"")"),"Morgen")</f>
        <v>Morgen</v>
      </c>
      <c r="Z35" s="3" t="str">
        <f>IFERROR(__xludf.DUMMYFUNCTION("GoogleTranslate(C35, ""en"", ""el"")"),"Αύριο")</f>
        <v>Αύριο</v>
      </c>
      <c r="AA35" s="3" t="str">
        <f>IFERROR(__xludf.DUMMYFUNCTION("GoogleTranslate(C35, ""en"", ""iw"")"),"מָחָר")</f>
        <v>מָחָר</v>
      </c>
      <c r="AB35" s="3" t="str">
        <f>IFERROR(__xludf.DUMMYFUNCTION("GoogleTranslate(C35, ""en"", ""hi"")"),"कल")</f>
        <v>कल</v>
      </c>
      <c r="AC35" s="3" t="str">
        <f>IFERROR(__xludf.DUMMYFUNCTION("GoogleTranslate(C35, ""en"", ""hu"")"),"Holnap")</f>
        <v>Holnap</v>
      </c>
      <c r="AD35" s="3" t="str">
        <f>IFERROR(__xludf.DUMMYFUNCTION("GoogleTranslate(C35, ""en"", ""is"")"),"Á morgun")</f>
        <v>Á morgun</v>
      </c>
      <c r="AE35" s="3" t="str">
        <f>IFERROR(__xludf.DUMMYFUNCTION("GoogleTranslate(C35, ""en"", ""id"")"),"Besok")</f>
        <v>Besok</v>
      </c>
      <c r="AF35" s="3" t="str">
        <f>IFERROR(__xludf.DUMMYFUNCTION("GoogleTranslate(C35, ""en"", ""in"")"),"Besok")</f>
        <v>Besok</v>
      </c>
      <c r="AG35" s="3" t="str">
        <f>IFERROR(__xludf.DUMMYFUNCTION("GoogleTranslate(C35, ""en"", ""it"")"),"Domani")</f>
        <v>Domani</v>
      </c>
      <c r="AH35" s="3" t="str">
        <f>IFERROR(__xludf.DUMMYFUNCTION("GoogleTranslate(C35, ""en"", ""ja"")"),"明日")</f>
        <v>明日</v>
      </c>
      <c r="AI35" s="3" t="str">
        <f>IFERROR(__xludf.DUMMYFUNCTION("GoogleTranslate(C35, ""en"", ""kn"")"),"ನಾಳೆ")</f>
        <v>ನಾಳೆ</v>
      </c>
      <c r="AJ35" s="3" t="str">
        <f>IFERROR(__xludf.DUMMYFUNCTION("GoogleTranslate(C35, ""en"", ""km"")"),"ថ្ងៃស្អែក")</f>
        <v>ថ្ងៃស្អែក</v>
      </c>
      <c r="AK35" s="3" t="str">
        <f>IFERROR(__xludf.DUMMYFUNCTION("GoogleTranslate(C35, ""en"", ""ko"")"),"내일")</f>
        <v>내일</v>
      </c>
      <c r="AL35" s="3" t="str">
        <f>IFERROR(__xludf.DUMMYFUNCTION("GoogleTranslate(C35, ""en"", ""lo"")"),"ມື້ອື່ນ")</f>
        <v>ມື້ອື່ນ</v>
      </c>
      <c r="AM35" s="3" t="str">
        <f>IFERROR(__xludf.DUMMYFUNCTION("GoogleTranslate(C35, ""en"", ""lv"")"),"rīt")</f>
        <v>rīt</v>
      </c>
      <c r="AN35" s="3" t="str">
        <f>IFERROR(__xludf.DUMMYFUNCTION("GoogleTranslate(C35, ""en"", ""lt"")"),"Rytoj")</f>
        <v>Rytoj</v>
      </c>
      <c r="AO35" s="3" t="str">
        <f>IFERROR(__xludf.DUMMYFUNCTION("GoogleTranslate(C35, ""en"", ""mk"")"),"Утре")</f>
        <v>Утре</v>
      </c>
      <c r="AP35" s="3" t="str">
        <f>IFERROR(__xludf.DUMMYFUNCTION("GoogleTranslate(C35, ""en"", ""ms"")"),"Esok")</f>
        <v>Esok</v>
      </c>
      <c r="AQ35" s="3" t="str">
        <f>IFERROR(__xludf.DUMMYFUNCTION("GoogleTranslate(C35, ""en"", ""ml"")"),"നാളെ")</f>
        <v>നാളെ</v>
      </c>
      <c r="AR35" s="3" t="str">
        <f>IFERROR(__xludf.DUMMYFUNCTION("GoogleTranslate(C35, ""en"", ""mr"")"),"उद्या")</f>
        <v>उद्या</v>
      </c>
      <c r="AS35" s="3" t="str">
        <f>IFERROR(__xludf.DUMMYFUNCTION("GoogleTranslate(C35, ""en"", ""mn"")"),"Маргааш")</f>
        <v>Маргааш</v>
      </c>
      <c r="AT35" s="3" t="str">
        <f>IFERROR(__xludf.DUMMYFUNCTION("GoogleTranslate(C35, ""en"", ""ne"")"),"भोलि")</f>
        <v>भोलि</v>
      </c>
      <c r="AU35" s="3" t="str">
        <f>IFERROR(__xludf.DUMMYFUNCTION("GoogleTranslate(C35, ""en"", ""nb"")"),"I morgen")</f>
        <v>I morgen</v>
      </c>
      <c r="AV35" s="3" t="str">
        <f>IFERROR(__xludf.DUMMYFUNCTION("GoogleTranslate(C35, ""en"", ""fa"")"),"فردا")</f>
        <v>فردا</v>
      </c>
      <c r="AW35" s="3" t="str">
        <f>IFERROR(__xludf.DUMMYFUNCTION("GoogleTranslate(C35, ""en"", ""pl"")"),"Jutro")</f>
        <v>Jutro</v>
      </c>
      <c r="AX35" s="3" t="str">
        <f>IFERROR(__xludf.DUMMYFUNCTION("GoogleTranslate(C35, ""en"", ""pt"")"),"Amanhã")</f>
        <v>Amanhã</v>
      </c>
      <c r="AY35" s="3" t="str">
        <f>IFERROR(__xludf.DUMMYFUNCTION("GoogleTranslate(C35, ""en"", ""ro"")"),"Mâine")</f>
        <v>Mâine</v>
      </c>
      <c r="AZ35" s="3" t="str">
        <f>IFERROR(__xludf.DUMMYFUNCTION("GoogleTranslate(C35, ""en"", ""ru"")"),"Завтра")</f>
        <v>Завтра</v>
      </c>
      <c r="BA35" s="3" t="str">
        <f>IFERROR(__xludf.DUMMYFUNCTION("GoogleTranslate(C35, ""en"", ""sr"")"),"сутра")</f>
        <v>сутра</v>
      </c>
      <c r="BB35" s="3" t="str">
        <f>IFERROR(__xludf.DUMMYFUNCTION("GoogleTranslate(C35, ""en"", ""si"")"),"හෙට")</f>
        <v>හෙට</v>
      </c>
      <c r="BC35" s="3" t="str">
        <f>IFERROR(__xludf.DUMMYFUNCTION("GoogleTranslate(C35, ""en"", ""sk"")"),"zajtra")</f>
        <v>zajtra</v>
      </c>
      <c r="BD35" s="3" t="str">
        <f>IFERROR(__xludf.DUMMYFUNCTION("GoogleTranslate(C35, ""en"", ""sl"")"),"jutri")</f>
        <v>jutri</v>
      </c>
      <c r="BE35" s="3" t="str">
        <f>IFERROR(__xludf.DUMMYFUNCTION("GoogleTranslate(C35, ""en"", ""es"")"),"Mañana")</f>
        <v>Mañana</v>
      </c>
      <c r="BF35" s="3" t="str">
        <f>IFERROR(__xludf.DUMMYFUNCTION("GoogleTranslate(C35, ""en"", ""sw"")"),"Kesho")</f>
        <v>Kesho</v>
      </c>
      <c r="BG35" s="3" t="str">
        <f>IFERROR(__xludf.DUMMYFUNCTION("GoogleTranslate(C35, ""en"", ""sv"")"),"I morgon")</f>
        <v>I morgon</v>
      </c>
      <c r="BH35" s="3" t="str">
        <f>IFERROR(__xludf.DUMMYFUNCTION("GoogleTranslate(C35, ""en"", ""te"")"),"రేపు")</f>
        <v>రేపు</v>
      </c>
      <c r="BI35" s="3" t="str">
        <f>IFERROR(__xludf.DUMMYFUNCTION("GoogleTranslate(C35, ""en"", ""th"")"),"พรุ่งนี้")</f>
        <v>พรุ่งนี้</v>
      </c>
      <c r="BJ35" s="3" t="str">
        <f>IFERROR(__xludf.DUMMYFUNCTION("GoogleTranslate(C35, ""en"", ""tr"")"),"Yarın")</f>
        <v>Yarın</v>
      </c>
      <c r="BK35" s="3" t="str">
        <f>IFERROR(__xludf.DUMMYFUNCTION("GoogleTranslate(C35, ""en"", ""uk"")"),"завтра")</f>
        <v>завтра</v>
      </c>
      <c r="BL35" s="3" t="str">
        <f>IFERROR(__xludf.DUMMYFUNCTION("GoogleTranslate(C35, ""en"", ""zu"")"),"Kusasa")</f>
        <v>Kusasa</v>
      </c>
    </row>
    <row r="36">
      <c r="A36" s="1" t="str">
        <f t="shared" si="1"/>
        <v>Next_3_days</v>
      </c>
      <c r="B36" s="4" t="s">
        <v>98</v>
      </c>
      <c r="C36" s="1" t="str">
        <f t="shared" si="2"/>
        <v>Next 3 days</v>
      </c>
      <c r="D36" s="3" t="str">
        <f>IFERROR(__xludf.DUMMYFUNCTION("GoogleTranslate(C36, ""en"", ""es"")"),"Los próximos 3 días")</f>
        <v>Los próximos 3 días</v>
      </c>
      <c r="E36" s="3" t="str">
        <f>IFERROR(__xludf.DUMMYFUNCTION("GoogleTranslate(C36, ""en"", ""ar"")"),"3 أيام القادمة")</f>
        <v>3 أيام القادمة</v>
      </c>
      <c r="F36" s="3" t="str">
        <f>IFERROR(__xludf.DUMMYFUNCTION("GoogleTranslate(C36, ""en"", ""hy"")"),"Հաջորդ 3 օրը")</f>
        <v>Հաջորդ 3 օրը</v>
      </c>
      <c r="G36" s="3" t="str">
        <f>IFERROR(__xludf.DUMMYFUNCTION("GoogleTranslate(C36, ""en"", ""vi"")"),"3 ngày tiếp theo")</f>
        <v>3 ngày tiếp theo</v>
      </c>
      <c r="H36" s="3" t="str">
        <f>IFERROR(__xludf.DUMMYFUNCTION("GoogleTranslate(C36, ""en"", ""az"")"),"Növbəti 3 gün")</f>
        <v>Növbəti 3 gün</v>
      </c>
      <c r="I36" s="3" t="str">
        <f>IFERROR(__xludf.DUMMYFUNCTION("GoogleTranslate(C36, ""en"", ""eu"")"),"Hurrengo 3 egunetan")</f>
        <v>Hurrengo 3 egunetan</v>
      </c>
      <c r="J36" s="3" t="str">
        <f>IFERROR(__xludf.DUMMYFUNCTION("GoogleTranslate(C36, ""en"", ""be"")"),"Наступныя 3 дні")</f>
        <v>Наступныя 3 дні</v>
      </c>
      <c r="K36" s="3" t="str">
        <f>IFERROR(__xludf.DUMMYFUNCTION("GoogleTranslate(C36, ""en"", ""bn"")"),"আগামী ৩ দিন")</f>
        <v>আগামী ৩ দিন</v>
      </c>
      <c r="L36" s="3" t="str">
        <f>IFERROR(__xludf.DUMMYFUNCTION("GoogleTranslate(C36, ""en"", ""bg"")"),"Следващите 3 дни")</f>
        <v>Следващите 3 дни</v>
      </c>
      <c r="M36" s="3" t="str">
        <f>IFERROR(__xludf.DUMMYFUNCTION("GoogleTranslate(C36, ""en"", ""my"")"),"နောက် ၃ ရက်")</f>
        <v>နောက် ၃ ရက်</v>
      </c>
      <c r="N36" s="3" t="str">
        <f>IFERROR(__xludf.DUMMYFUNCTION("GoogleTranslate(C36, ""en"", ""ca"")"),"Els propers 3 dies")</f>
        <v>Els propers 3 dies</v>
      </c>
      <c r="O36" s="3" t="str">
        <f>IFERROR(__xludf.DUMMYFUNCTION("GoogleTranslate(C36, ""en"", ""zh-cn"")"),"未来 3 天")</f>
        <v>未来 3 天</v>
      </c>
      <c r="P36" s="3" t="str">
        <f>IFERROR(__xludf.DUMMYFUNCTION("GoogleTranslate(C36, ""en"", ""zh-TW"")"),"未來 3 天")</f>
        <v>未來 3 天</v>
      </c>
      <c r="Q36" s="3" t="str">
        <f>IFERROR(__xludf.DUMMYFUNCTION("GoogleTranslate(C36, ""en"", ""hr"")"),"Sljedeća 3 dana")</f>
        <v>Sljedeća 3 dana</v>
      </c>
      <c r="R36" s="3" t="str">
        <f>IFERROR(__xludf.DUMMYFUNCTION("GoogleTranslate(C36, ""en"", ""cs"")"),"Další 3 dny")</f>
        <v>Další 3 dny</v>
      </c>
      <c r="S36" s="3" t="str">
        <f>IFERROR(__xludf.DUMMYFUNCTION("GoogleTranslate(C36, ""en"", ""da"")"),"Næste 3 dage")</f>
        <v>Næste 3 dage</v>
      </c>
      <c r="T36" s="3" t="str">
        <f>IFERROR(__xludf.DUMMYFUNCTION("GoogleTranslate(C36, ""en"", ""nl"")"),"Volgende 3 dagen")</f>
        <v>Volgende 3 dagen</v>
      </c>
      <c r="U36" s="3" t="str">
        <f>IFERROR(__xludf.DUMMYFUNCTION("GoogleTranslate(C36, ""en"", ""et"")"),"Järgmised 3 päeva")</f>
        <v>Järgmised 3 päeva</v>
      </c>
      <c r="V36" s="1" t="str">
        <f t="shared" si="3"/>
        <v>Next 3 days</v>
      </c>
      <c r="W36" s="3" t="str">
        <f>IFERROR(__xludf.DUMMYFUNCTION("GoogleTranslate(C36, ""en"", ""fi"")"),"Seuraavat 3 päivää")</f>
        <v>Seuraavat 3 päivää</v>
      </c>
      <c r="X36" s="3" t="str">
        <f>IFERROR(__xludf.DUMMYFUNCTION("GoogleTranslate(C36, ""en"", ""fr"")"),"3 prochains jours")</f>
        <v>3 prochains jours</v>
      </c>
      <c r="Y36" s="3" t="str">
        <f>IFERROR(__xludf.DUMMYFUNCTION("GoogleTranslate(C36, ""en"", ""de"")"),"Die nächsten 3 Tage")</f>
        <v>Die nächsten 3 Tage</v>
      </c>
      <c r="Z36" s="3" t="str">
        <f>IFERROR(__xludf.DUMMYFUNCTION("GoogleTranslate(C36, ""en"", ""el"")"),"Οι επόμενες 3 μέρες")</f>
        <v>Οι επόμενες 3 μέρες</v>
      </c>
      <c r="AA36" s="3" t="str">
        <f>IFERROR(__xludf.DUMMYFUNCTION("GoogleTranslate(C36, ""en"", ""iw"")"),"3 ימים הבאים")</f>
        <v>3 ימים הבאים</v>
      </c>
      <c r="AB36" s="3" t="str">
        <f>IFERROR(__xludf.DUMMYFUNCTION("GoogleTranslate(C36, ""en"", ""hi"")"),"अगले 3 दिन")</f>
        <v>अगले 3 दिन</v>
      </c>
      <c r="AC36" s="3" t="str">
        <f>IFERROR(__xludf.DUMMYFUNCTION("GoogleTranslate(C36, ""en"", ""hu"")"),"Következő 3 nap")</f>
        <v>Következő 3 nap</v>
      </c>
      <c r="AD36" s="3" t="str">
        <f>IFERROR(__xludf.DUMMYFUNCTION("GoogleTranslate(C36, ""en"", ""is"")"),"Næstu 3 dagar")</f>
        <v>Næstu 3 dagar</v>
      </c>
      <c r="AE36" s="3" t="str">
        <f>IFERROR(__xludf.DUMMYFUNCTION("GoogleTranslate(C36, ""en"", ""id"")"),"3 hari berikutnya")</f>
        <v>3 hari berikutnya</v>
      </c>
      <c r="AF36" s="3" t="str">
        <f>IFERROR(__xludf.DUMMYFUNCTION("GoogleTranslate(C36, ""en"", ""in"")"),"3 hari berikutnya")</f>
        <v>3 hari berikutnya</v>
      </c>
      <c r="AG36" s="3" t="str">
        <f>IFERROR(__xludf.DUMMYFUNCTION("GoogleTranslate(C36, ""en"", ""it"")"),"Prossimi 3 giorni")</f>
        <v>Prossimi 3 giorni</v>
      </c>
      <c r="AH36" s="3" t="str">
        <f>IFERROR(__xludf.DUMMYFUNCTION("GoogleTranslate(C36, ""en"", ""ja"")"),"次の 3 日間")</f>
        <v>次の 3 日間</v>
      </c>
      <c r="AI36" s="3" t="str">
        <f>IFERROR(__xludf.DUMMYFUNCTION("GoogleTranslate(C36, ""en"", ""kn"")"),"ಮುಂದಿನ 3 ದಿನಗಳು")</f>
        <v>ಮುಂದಿನ 3 ದಿನಗಳು</v>
      </c>
      <c r="AJ36" s="3" t="str">
        <f>IFERROR(__xludf.DUMMYFUNCTION("GoogleTranslate(C36, ""en"", ""km"")"),"3 ថ្ងៃបន្ទាប់")</f>
        <v>3 ថ្ងៃបន្ទាប់</v>
      </c>
      <c r="AK36" s="3" t="str">
        <f>IFERROR(__xludf.DUMMYFUNCTION("GoogleTranslate(C36, ""en"", ""ko"")"),"다음 3일")</f>
        <v>다음 3일</v>
      </c>
      <c r="AL36" s="3" t="str">
        <f>IFERROR(__xludf.DUMMYFUNCTION("GoogleTranslate(C36, ""en"", ""lo"")"),"3 ມື້ຕໍ່ໄປ")</f>
        <v>3 ມື້ຕໍ່ໄປ</v>
      </c>
      <c r="AM36" s="3" t="str">
        <f>IFERROR(__xludf.DUMMYFUNCTION("GoogleTranslate(C36, ""en"", ""lv"")"),"Nākamās 3 dienas")</f>
        <v>Nākamās 3 dienas</v>
      </c>
      <c r="AN36" s="3" t="str">
        <f>IFERROR(__xludf.DUMMYFUNCTION("GoogleTranslate(C36, ""en"", ""lt"")"),"Kitas 3 dienas")</f>
        <v>Kitas 3 dienas</v>
      </c>
      <c r="AO36" s="3" t="str">
        <f>IFERROR(__xludf.DUMMYFUNCTION("GoogleTranslate(C36, ""en"", ""mk"")"),"Следните 3 дена")</f>
        <v>Следните 3 дена</v>
      </c>
      <c r="AP36" s="3" t="str">
        <f>IFERROR(__xludf.DUMMYFUNCTION("GoogleTranslate(C36, ""en"", ""ms"")"),"3 hari seterusnya")</f>
        <v>3 hari seterusnya</v>
      </c>
      <c r="AQ36" s="3" t="str">
        <f>IFERROR(__xludf.DUMMYFUNCTION("GoogleTranslate(C36, ""en"", ""ml"")"),"അടുത്ത 3 ദിവസം")</f>
        <v>അടുത്ത 3 ദിവസം</v>
      </c>
      <c r="AR36" s="3" t="str">
        <f>IFERROR(__xludf.DUMMYFUNCTION("GoogleTranslate(C36, ""en"", ""mr"")"),"पुढील ३ दिवस")</f>
        <v>पुढील ३ दिवस</v>
      </c>
      <c r="AS36" s="3" t="str">
        <f>IFERROR(__xludf.DUMMYFUNCTION("GoogleTranslate(C36, ""en"", ""mn"")"),"Дараагийн 3 өдөр")</f>
        <v>Дараагийн 3 өдөр</v>
      </c>
      <c r="AT36" s="3" t="str">
        <f>IFERROR(__xludf.DUMMYFUNCTION("GoogleTranslate(C36, ""en"", ""ne"")"),"अबको ३ दिन")</f>
        <v>अबको ३ दिन</v>
      </c>
      <c r="AU36" s="3" t="str">
        <f>IFERROR(__xludf.DUMMYFUNCTION("GoogleTranslate(C36, ""en"", ""nb"")"),"Neste 3 dager")</f>
        <v>Neste 3 dager</v>
      </c>
      <c r="AV36" s="3" t="str">
        <f>IFERROR(__xludf.DUMMYFUNCTION("GoogleTranslate(C36, ""en"", ""fa"")"),"3 روز آینده")</f>
        <v>3 روز آینده</v>
      </c>
      <c r="AW36" s="3" t="str">
        <f>IFERROR(__xludf.DUMMYFUNCTION("GoogleTranslate(C36, ""en"", ""pl"")"),"Następne 3 dni")</f>
        <v>Następne 3 dni</v>
      </c>
      <c r="AX36" s="3" t="str">
        <f>IFERROR(__xludf.DUMMYFUNCTION("GoogleTranslate(C36, ""en"", ""pt"")"),"Próximos 3 dias")</f>
        <v>Próximos 3 dias</v>
      </c>
      <c r="AY36" s="3" t="str">
        <f>IFERROR(__xludf.DUMMYFUNCTION("GoogleTranslate(C36, ""en"", ""ro"")"),"Următoarele 3 zile")</f>
        <v>Următoarele 3 zile</v>
      </c>
      <c r="AZ36" s="3" t="str">
        <f>IFERROR(__xludf.DUMMYFUNCTION("GoogleTranslate(C36, ""en"", ""ru"")"),"Следующие 3 дня")</f>
        <v>Следующие 3 дня</v>
      </c>
      <c r="BA36" s="3" t="str">
        <f>IFERROR(__xludf.DUMMYFUNCTION("GoogleTranslate(C36, ""en"", ""sr"")"),"Следећа 3 дана")</f>
        <v>Следећа 3 дана</v>
      </c>
      <c r="BB36" s="3" t="str">
        <f>IFERROR(__xludf.DUMMYFUNCTION("GoogleTranslate(C36, ""en"", ""si"")"),"ඉදිරි දින 3")</f>
        <v>ඉදිරි දින 3</v>
      </c>
      <c r="BC36" s="3" t="str">
        <f>IFERROR(__xludf.DUMMYFUNCTION("GoogleTranslate(C36, ""en"", ""sk"")"),"Nasledujúce 3 dni")</f>
        <v>Nasledujúce 3 dni</v>
      </c>
      <c r="BD36" s="3" t="str">
        <f>IFERROR(__xludf.DUMMYFUNCTION("GoogleTranslate(C36, ""en"", ""sl"")"),"Naslednji 3 dnevi")</f>
        <v>Naslednji 3 dnevi</v>
      </c>
      <c r="BE36" s="3" t="str">
        <f>IFERROR(__xludf.DUMMYFUNCTION("GoogleTranslate(C36, ""en"", ""es"")"),"Los próximos 3 días")</f>
        <v>Los próximos 3 días</v>
      </c>
      <c r="BF36" s="3" t="str">
        <f>IFERROR(__xludf.DUMMYFUNCTION("GoogleTranslate(C36, ""en"", ""sw"")"),"Siku 3 zijazo")</f>
        <v>Siku 3 zijazo</v>
      </c>
      <c r="BG36" s="3" t="str">
        <f>IFERROR(__xludf.DUMMYFUNCTION("GoogleTranslate(C36, ""en"", ""sv"")"),"Nästa 3 dagar")</f>
        <v>Nästa 3 dagar</v>
      </c>
      <c r="BH36" s="3" t="str">
        <f>IFERROR(__xludf.DUMMYFUNCTION("GoogleTranslate(C36, ""en"", ""te"")"),"తదుపరి 3 రోజులు")</f>
        <v>తదుపరి 3 రోజులు</v>
      </c>
      <c r="BI36" s="3" t="str">
        <f>IFERROR(__xludf.DUMMYFUNCTION("GoogleTranslate(C36, ""en"", ""th"")"),"อีก 3 วันข้างหน้า")</f>
        <v>อีก 3 วันข้างหน้า</v>
      </c>
      <c r="BJ36" s="3" t="str">
        <f>IFERROR(__xludf.DUMMYFUNCTION("GoogleTranslate(C36, ""en"", ""tr"")"),"Önümüzdeki 3 gün")</f>
        <v>Önümüzdeki 3 gün</v>
      </c>
      <c r="BK36" s="3" t="str">
        <f>IFERROR(__xludf.DUMMYFUNCTION("GoogleTranslate(C36, ""en"", ""uk"")"),"Наступні 3 дні")</f>
        <v>Наступні 3 дні</v>
      </c>
      <c r="BL36" s="3" t="str">
        <f>IFERROR(__xludf.DUMMYFUNCTION("GoogleTranslate(C36, ""en"", ""zu"")"),"Izinsuku ezi-3 ezilandelayo")</f>
        <v>Izinsuku ezi-3 ezilandelayo</v>
      </c>
    </row>
    <row r="37">
      <c r="A37" s="1" t="str">
        <f t="shared" si="1"/>
        <v>Next_7_days</v>
      </c>
      <c r="B37" s="4" t="s">
        <v>99</v>
      </c>
      <c r="C37" s="1" t="str">
        <f t="shared" si="2"/>
        <v>Next 7 days</v>
      </c>
      <c r="D37" s="3" t="str">
        <f>IFERROR(__xludf.DUMMYFUNCTION("GoogleTranslate(C37, ""en"", ""es"")"),"Los próximos 7 días")</f>
        <v>Los próximos 7 días</v>
      </c>
      <c r="E37" s="3" t="str">
        <f>IFERROR(__xludf.DUMMYFUNCTION("GoogleTranslate(C37, ""en"", ""ar"")"),"7 أيام القادمة")</f>
        <v>7 أيام القادمة</v>
      </c>
      <c r="F37" s="3" t="str">
        <f>IFERROR(__xludf.DUMMYFUNCTION("GoogleTranslate(C37, ""en"", ""hy"")"),"Հաջորդ 7 օր")</f>
        <v>Հաջորդ 7 օր</v>
      </c>
      <c r="G37" s="3" t="str">
        <f>IFERROR(__xludf.DUMMYFUNCTION("GoogleTranslate(C37, ""en"", ""vi"")"),"7 ngày tiếp theo")</f>
        <v>7 ngày tiếp theo</v>
      </c>
      <c r="H37" s="3" t="str">
        <f>IFERROR(__xludf.DUMMYFUNCTION("GoogleTranslate(C37, ""en"", ""az"")"),"Növbəti 7 gün")</f>
        <v>Növbəti 7 gün</v>
      </c>
      <c r="I37" s="3" t="str">
        <f>IFERROR(__xludf.DUMMYFUNCTION("GoogleTranslate(C37, ""en"", ""eu"")"),"Hurrengo 7 egunetan")</f>
        <v>Hurrengo 7 egunetan</v>
      </c>
      <c r="J37" s="3" t="str">
        <f>IFERROR(__xludf.DUMMYFUNCTION("GoogleTranslate(C37, ""en"", ""be"")"),"Наступныя 7 дзён")</f>
        <v>Наступныя 7 дзён</v>
      </c>
      <c r="K37" s="3" t="str">
        <f>IFERROR(__xludf.DUMMYFUNCTION("GoogleTranslate(C37, ""en"", ""bn"")"),"পরের ৭ দিন")</f>
        <v>পরের ৭ দিন</v>
      </c>
      <c r="L37" s="3" t="str">
        <f>IFERROR(__xludf.DUMMYFUNCTION("GoogleTranslate(C37, ""en"", ""bg"")"),"Следващите 7 дни")</f>
        <v>Следващите 7 дни</v>
      </c>
      <c r="M37" s="3" t="str">
        <f>IFERROR(__xludf.DUMMYFUNCTION("GoogleTranslate(C37, ""en"", ""my"")"),"နောက် ၇ ရက်")</f>
        <v>နောက် ၇ ရက်</v>
      </c>
      <c r="N37" s="3" t="str">
        <f>IFERROR(__xludf.DUMMYFUNCTION("GoogleTranslate(C37, ""en"", ""ca"")"),"Els propers 7 dies")</f>
        <v>Els propers 7 dies</v>
      </c>
      <c r="O37" s="3" t="str">
        <f>IFERROR(__xludf.DUMMYFUNCTION("GoogleTranslate(C37, ""en"", ""zh-cn"")"),"未来 7 天")</f>
        <v>未来 7 天</v>
      </c>
      <c r="P37" s="3" t="str">
        <f>IFERROR(__xludf.DUMMYFUNCTION("GoogleTranslate(C37, ""en"", ""zh-TW"")"),"未來 7 天")</f>
        <v>未來 7 天</v>
      </c>
      <c r="Q37" s="3" t="str">
        <f>IFERROR(__xludf.DUMMYFUNCTION("GoogleTranslate(C37, ""en"", ""hr"")"),"Sljedećih 7 dana")</f>
        <v>Sljedećih 7 dana</v>
      </c>
      <c r="R37" s="3" t="str">
        <f>IFERROR(__xludf.DUMMYFUNCTION("GoogleTranslate(C37, ""en"", ""cs"")"),"Dalších 7 dní")</f>
        <v>Dalších 7 dní</v>
      </c>
      <c r="S37" s="3" t="str">
        <f>IFERROR(__xludf.DUMMYFUNCTION("GoogleTranslate(C37, ""en"", ""da"")"),"Næste 7 dage")</f>
        <v>Næste 7 dage</v>
      </c>
      <c r="T37" s="3" t="str">
        <f>IFERROR(__xludf.DUMMYFUNCTION("GoogleTranslate(C37, ""en"", ""nl"")"),"Volgende 7 dagen")</f>
        <v>Volgende 7 dagen</v>
      </c>
      <c r="U37" s="3" t="str">
        <f>IFERROR(__xludf.DUMMYFUNCTION("GoogleTranslate(C37, ""en"", ""et"")"),"Järgmised 7 päeva")</f>
        <v>Järgmised 7 päeva</v>
      </c>
      <c r="V37" s="1" t="str">
        <f t="shared" si="3"/>
        <v>Next 7 days</v>
      </c>
      <c r="W37" s="3" t="str">
        <f>IFERROR(__xludf.DUMMYFUNCTION("GoogleTranslate(C37, ""en"", ""fi"")"),"Seuraavat 7 päivää")</f>
        <v>Seuraavat 7 päivää</v>
      </c>
      <c r="X37" s="3" t="str">
        <f>IFERROR(__xludf.DUMMYFUNCTION("GoogleTranslate(C37, ""en"", ""fr"")"),"7 prochains jours")</f>
        <v>7 prochains jours</v>
      </c>
      <c r="Y37" s="3" t="str">
        <f>IFERROR(__xludf.DUMMYFUNCTION("GoogleTranslate(C37, ""en"", ""de"")"),"Nächste 7 Tage")</f>
        <v>Nächste 7 Tage</v>
      </c>
      <c r="Z37" s="3" t="str">
        <f>IFERROR(__xludf.DUMMYFUNCTION("GoogleTranslate(C37, ""en"", ""el"")"),"Οι επόμενες 7 ημέρες")</f>
        <v>Οι επόμενες 7 ημέρες</v>
      </c>
      <c r="AA37" s="3" t="str">
        <f>IFERROR(__xludf.DUMMYFUNCTION("GoogleTranslate(C37, ""en"", ""iw"")"),"7 הימים הבאים")</f>
        <v>7 הימים הבאים</v>
      </c>
      <c r="AB37" s="3" t="str">
        <f>IFERROR(__xludf.DUMMYFUNCTION("GoogleTranslate(C37, ""en"", ""hi"")"),"अगले 7 दिन")</f>
        <v>अगले 7 दिन</v>
      </c>
      <c r="AC37" s="3" t="str">
        <f>IFERROR(__xludf.DUMMYFUNCTION("GoogleTranslate(C37, ""en"", ""hu"")"),"Következő 7 nap")</f>
        <v>Következő 7 nap</v>
      </c>
      <c r="AD37" s="3" t="str">
        <f>IFERROR(__xludf.DUMMYFUNCTION("GoogleTranslate(C37, ""en"", ""is"")"),"Næstu 7 dagar")</f>
        <v>Næstu 7 dagar</v>
      </c>
      <c r="AE37" s="3" t="str">
        <f>IFERROR(__xludf.DUMMYFUNCTION("GoogleTranslate(C37, ""en"", ""id"")"),"7 hari berikutnya")</f>
        <v>7 hari berikutnya</v>
      </c>
      <c r="AF37" s="3" t="str">
        <f>IFERROR(__xludf.DUMMYFUNCTION("GoogleTranslate(C37, ""en"", ""in"")"),"7 hari berikutnya")</f>
        <v>7 hari berikutnya</v>
      </c>
      <c r="AG37" s="3" t="str">
        <f>IFERROR(__xludf.DUMMYFUNCTION("GoogleTranslate(C37, ""en"", ""it"")"),"Prossimi 7 giorni")</f>
        <v>Prossimi 7 giorni</v>
      </c>
      <c r="AH37" s="3" t="str">
        <f>IFERROR(__xludf.DUMMYFUNCTION("GoogleTranslate(C37, ""en"", ""ja"")"),"次の 7 日間")</f>
        <v>次の 7 日間</v>
      </c>
      <c r="AI37" s="3" t="str">
        <f>IFERROR(__xludf.DUMMYFUNCTION("GoogleTranslate(C37, ""en"", ""kn"")"),"ಮುಂದಿನ 7 ದಿನಗಳು")</f>
        <v>ಮುಂದಿನ 7 ದಿನಗಳು</v>
      </c>
      <c r="AJ37" s="3" t="str">
        <f>IFERROR(__xludf.DUMMYFUNCTION("GoogleTranslate(C37, ""en"", ""km"")"),"7 ថ្ងៃបន្ទាប់")</f>
        <v>7 ថ្ងៃបន្ទាប់</v>
      </c>
      <c r="AK37" s="3" t="str">
        <f>IFERROR(__xludf.DUMMYFUNCTION("GoogleTranslate(C37, ""en"", ""ko"")"),"다음 7일")</f>
        <v>다음 7일</v>
      </c>
      <c r="AL37" s="3" t="str">
        <f>IFERROR(__xludf.DUMMYFUNCTION("GoogleTranslate(C37, ""en"", ""lo"")"),"7 ມື້ຕໍ່ໄປ")</f>
        <v>7 ມື້ຕໍ່ໄປ</v>
      </c>
      <c r="AM37" s="3" t="str">
        <f>IFERROR(__xludf.DUMMYFUNCTION("GoogleTranslate(C37, ""en"", ""lv"")"),"Nākamās 7 dienas")</f>
        <v>Nākamās 7 dienas</v>
      </c>
      <c r="AN37" s="3" t="str">
        <f>IFERROR(__xludf.DUMMYFUNCTION("GoogleTranslate(C37, ""en"", ""lt"")"),"Kitas 7 dienas")</f>
        <v>Kitas 7 dienas</v>
      </c>
      <c r="AO37" s="3" t="str">
        <f>IFERROR(__xludf.DUMMYFUNCTION("GoogleTranslate(C37, ""en"", ""mk"")"),"Следните 7 дена")</f>
        <v>Следните 7 дена</v>
      </c>
      <c r="AP37" s="3" t="str">
        <f>IFERROR(__xludf.DUMMYFUNCTION("GoogleTranslate(C37, ""en"", ""ms"")"),"7 hari seterusnya")</f>
        <v>7 hari seterusnya</v>
      </c>
      <c r="AQ37" s="3" t="str">
        <f>IFERROR(__xludf.DUMMYFUNCTION("GoogleTranslate(C37, ""en"", ""ml"")"),"അടുത്ത 7 ദിവസം")</f>
        <v>അടുത്ത 7 ദിവസം</v>
      </c>
      <c r="AR37" s="3" t="str">
        <f>IFERROR(__xludf.DUMMYFUNCTION("GoogleTranslate(C37, ""en"", ""mr"")"),"पुढील 7 दिवस")</f>
        <v>पुढील 7 दिवस</v>
      </c>
      <c r="AS37" s="3" t="str">
        <f>IFERROR(__xludf.DUMMYFUNCTION("GoogleTranslate(C37, ""en"", ""mn"")"),"Дараагийн 7 хоног")</f>
        <v>Дараагийн 7 хоног</v>
      </c>
      <c r="AT37" s="3" t="str">
        <f>IFERROR(__xludf.DUMMYFUNCTION("GoogleTranslate(C37, ""en"", ""ne"")"),"अर्को ७ दिन")</f>
        <v>अर्को ७ दिन</v>
      </c>
      <c r="AU37" s="3" t="str">
        <f>IFERROR(__xludf.DUMMYFUNCTION("GoogleTranslate(C37, ""en"", ""nb"")"),"Neste 7 dager")</f>
        <v>Neste 7 dager</v>
      </c>
      <c r="AV37" s="3" t="str">
        <f>IFERROR(__xludf.DUMMYFUNCTION("GoogleTranslate(C37, ""en"", ""fa"")"),"7 روز آینده")</f>
        <v>7 روز آینده</v>
      </c>
      <c r="AW37" s="3" t="str">
        <f>IFERROR(__xludf.DUMMYFUNCTION("GoogleTranslate(C37, ""en"", ""pl"")"),"Następne 7 dni")</f>
        <v>Następne 7 dni</v>
      </c>
      <c r="AX37" s="3" t="str">
        <f>IFERROR(__xludf.DUMMYFUNCTION("GoogleTranslate(C37, ""en"", ""pt"")"),"Próximos 7 dias")</f>
        <v>Próximos 7 dias</v>
      </c>
      <c r="AY37" s="3" t="str">
        <f>IFERROR(__xludf.DUMMYFUNCTION("GoogleTranslate(C37, ""en"", ""ro"")"),"Următoarele 7 zile")</f>
        <v>Următoarele 7 zile</v>
      </c>
      <c r="AZ37" s="3" t="str">
        <f>IFERROR(__xludf.DUMMYFUNCTION("GoogleTranslate(C37, ""en"", ""ru"")"),"Следующие 7 дней")</f>
        <v>Следующие 7 дней</v>
      </c>
      <c r="BA37" s="3" t="str">
        <f>IFERROR(__xludf.DUMMYFUNCTION("GoogleTranslate(C37, ""en"", ""sr"")"),"Следећих 7 дана")</f>
        <v>Следећих 7 дана</v>
      </c>
      <c r="BB37" s="3" t="str">
        <f>IFERROR(__xludf.DUMMYFUNCTION("GoogleTranslate(C37, ""en"", ""si"")"),"ඉදිරි දින 7")</f>
        <v>ඉදිරි දින 7</v>
      </c>
      <c r="BC37" s="3" t="str">
        <f>IFERROR(__xludf.DUMMYFUNCTION("GoogleTranslate(C37, ""en"", ""sk"")"),"Ďalších 7 dní")</f>
        <v>Ďalších 7 dní</v>
      </c>
      <c r="BD37" s="3" t="str">
        <f>IFERROR(__xludf.DUMMYFUNCTION("GoogleTranslate(C37, ""en"", ""sl"")"),"Naslednjih 7 dni")</f>
        <v>Naslednjih 7 dni</v>
      </c>
      <c r="BE37" s="3" t="str">
        <f>IFERROR(__xludf.DUMMYFUNCTION("GoogleTranslate(C37, ""en"", ""es"")"),"Los próximos 7 días")</f>
        <v>Los próximos 7 días</v>
      </c>
      <c r="BF37" s="3" t="str">
        <f>IFERROR(__xludf.DUMMYFUNCTION("GoogleTranslate(C37, ""en"", ""sw"")"),"Siku 7 zijazo")</f>
        <v>Siku 7 zijazo</v>
      </c>
      <c r="BG37" s="3" t="str">
        <f>IFERROR(__xludf.DUMMYFUNCTION("GoogleTranslate(C37, ""en"", ""sv"")"),"Nästa 7 dagar")</f>
        <v>Nästa 7 dagar</v>
      </c>
      <c r="BH37" s="3" t="str">
        <f>IFERROR(__xludf.DUMMYFUNCTION("GoogleTranslate(C37, ""en"", ""te"")"),"తదుపరి 7 రోజులు")</f>
        <v>తదుపరి 7 రోజులు</v>
      </c>
      <c r="BI37" s="3" t="str">
        <f>IFERROR(__xludf.DUMMYFUNCTION("GoogleTranslate(C37, ""en"", ""th"")"),"อีก 7 วันข้างหน้า")</f>
        <v>อีก 7 วันข้างหน้า</v>
      </c>
      <c r="BJ37" s="3" t="str">
        <f>IFERROR(__xludf.DUMMYFUNCTION("GoogleTranslate(C37, ""en"", ""tr"")"),"Sonraki 7 gün")</f>
        <v>Sonraki 7 gün</v>
      </c>
      <c r="BK37" s="3" t="str">
        <f>IFERROR(__xludf.DUMMYFUNCTION("GoogleTranslate(C37, ""en"", ""uk"")"),"Наступні 7 днів")</f>
        <v>Наступні 7 днів</v>
      </c>
      <c r="BL37" s="3" t="str">
        <f>IFERROR(__xludf.DUMMYFUNCTION("GoogleTranslate(C37, ""en"", ""zu"")"),"Izinsuku eziyi-7 ezilandelayo")</f>
        <v>Izinsuku eziyi-7 ezilandelayo</v>
      </c>
    </row>
    <row r="38">
      <c r="A38" s="1" t="str">
        <f t="shared" si="1"/>
        <v>Next_30_days</v>
      </c>
      <c r="B38" s="4" t="s">
        <v>100</v>
      </c>
      <c r="C38" s="1" t="str">
        <f t="shared" si="2"/>
        <v>Next 30 days</v>
      </c>
      <c r="D38" s="3" t="str">
        <f>IFERROR(__xludf.DUMMYFUNCTION("GoogleTranslate(C38, ""en"", ""es"")"),"Los próximos 30 días")</f>
        <v>Los próximos 30 días</v>
      </c>
      <c r="E38" s="3" t="str">
        <f>IFERROR(__xludf.DUMMYFUNCTION("GoogleTranslate(C38, ""en"", ""ar"")"),"الثلاثين يومًا القادمة")</f>
        <v>الثلاثين يومًا القادمة</v>
      </c>
      <c r="F38" s="3" t="str">
        <f>IFERROR(__xludf.DUMMYFUNCTION("GoogleTranslate(C38, ""en"", ""hy"")"),"Հաջորդ 30 օր")</f>
        <v>Հաջորդ 30 օր</v>
      </c>
      <c r="G38" s="3" t="str">
        <f>IFERROR(__xludf.DUMMYFUNCTION("GoogleTranslate(C38, ""en"", ""vi"")"),"30 ngày tiếp theo")</f>
        <v>30 ngày tiếp theo</v>
      </c>
      <c r="H38" s="3" t="str">
        <f>IFERROR(__xludf.DUMMYFUNCTION("GoogleTranslate(C38, ""en"", ""az"")"),"Növbəti 30 gün")</f>
        <v>Növbəti 30 gün</v>
      </c>
      <c r="I38" s="3" t="str">
        <f>IFERROR(__xludf.DUMMYFUNCTION("GoogleTranslate(C38, ""en"", ""eu"")"),"Hurrengo 30 egunetan")</f>
        <v>Hurrengo 30 egunetan</v>
      </c>
      <c r="J38" s="3" t="str">
        <f>IFERROR(__xludf.DUMMYFUNCTION("GoogleTranslate(C38, ""en"", ""be"")"),"Наступныя 30 дзён")</f>
        <v>Наступныя 30 дзён</v>
      </c>
      <c r="K38" s="3" t="str">
        <f>IFERROR(__xludf.DUMMYFUNCTION("GoogleTranslate(C38, ""en"", ""bn"")"),"পরবর্তী 30 দিন")</f>
        <v>পরবর্তী 30 দিন</v>
      </c>
      <c r="L38" s="3" t="str">
        <f>IFERROR(__xludf.DUMMYFUNCTION("GoogleTranslate(C38, ""en"", ""bg"")"),"Следващите 30 дни")</f>
        <v>Следващите 30 дни</v>
      </c>
      <c r="M38" s="3" t="str">
        <f>IFERROR(__xludf.DUMMYFUNCTION("GoogleTranslate(C38, ""en"", ""my"")"),"နောက်ရက် 30")</f>
        <v>နောက်ရက် 30</v>
      </c>
      <c r="N38" s="3" t="str">
        <f>IFERROR(__xludf.DUMMYFUNCTION("GoogleTranslate(C38, ""en"", ""ca"")"),"Els propers 30 dies")</f>
        <v>Els propers 30 dies</v>
      </c>
      <c r="O38" s="3" t="str">
        <f>IFERROR(__xludf.DUMMYFUNCTION("GoogleTranslate(C38, ""en"", ""zh-cn"")"),"未来 30 天")</f>
        <v>未来 30 天</v>
      </c>
      <c r="P38" s="3" t="str">
        <f>IFERROR(__xludf.DUMMYFUNCTION("GoogleTranslate(C38, ""en"", ""zh-TW"")"),"未來 30 天")</f>
        <v>未來 30 天</v>
      </c>
      <c r="Q38" s="3" t="str">
        <f>IFERROR(__xludf.DUMMYFUNCTION("GoogleTranslate(C38, ""en"", ""hr"")"),"Sljedećih 30 dana")</f>
        <v>Sljedećih 30 dana</v>
      </c>
      <c r="R38" s="3" t="str">
        <f>IFERROR(__xludf.DUMMYFUNCTION("GoogleTranslate(C38, ""en"", ""cs"")"),"Dalších 30 dní")</f>
        <v>Dalších 30 dní</v>
      </c>
      <c r="S38" s="3" t="str">
        <f>IFERROR(__xludf.DUMMYFUNCTION("GoogleTranslate(C38, ""en"", ""da"")"),"Næste 30 dage")</f>
        <v>Næste 30 dage</v>
      </c>
      <c r="T38" s="3" t="str">
        <f>IFERROR(__xludf.DUMMYFUNCTION("GoogleTranslate(C38, ""en"", ""nl"")"),"Volgende 30 dagen")</f>
        <v>Volgende 30 dagen</v>
      </c>
      <c r="U38" s="3" t="str">
        <f>IFERROR(__xludf.DUMMYFUNCTION("GoogleTranslate(C38, ""en"", ""et"")"),"Järgmised 30 päeva")</f>
        <v>Järgmised 30 päeva</v>
      </c>
      <c r="V38" s="1" t="str">
        <f t="shared" si="3"/>
        <v>Next 30 days</v>
      </c>
      <c r="W38" s="3" t="str">
        <f>IFERROR(__xludf.DUMMYFUNCTION("GoogleTranslate(C38, ""en"", ""fi"")"),"Seuraavat 30 päivää")</f>
        <v>Seuraavat 30 päivää</v>
      </c>
      <c r="X38" s="3" t="str">
        <f>IFERROR(__xludf.DUMMYFUNCTION("GoogleTranslate(C38, ""en"", ""fr"")"),"30 prochains jours")</f>
        <v>30 prochains jours</v>
      </c>
      <c r="Y38" s="3" t="str">
        <f>IFERROR(__xludf.DUMMYFUNCTION("GoogleTranslate(C38, ""en"", ""de"")"),"Nächste 30 Tage")</f>
        <v>Nächste 30 Tage</v>
      </c>
      <c r="Z38" s="3" t="str">
        <f>IFERROR(__xludf.DUMMYFUNCTION("GoogleTranslate(C38, ""en"", ""el"")"),"Οι επόμενες 30 ημέρες")</f>
        <v>Οι επόμενες 30 ημέρες</v>
      </c>
      <c r="AA38" s="3" t="str">
        <f>IFERROR(__xludf.DUMMYFUNCTION("GoogleTranslate(C38, ""en"", ""iw"")"),"30 הימים הבאים")</f>
        <v>30 הימים הבאים</v>
      </c>
      <c r="AB38" s="3" t="str">
        <f>IFERROR(__xludf.DUMMYFUNCTION("GoogleTranslate(C38, ""en"", ""hi"")"),"अगले 30 दिन")</f>
        <v>अगले 30 दिन</v>
      </c>
      <c r="AC38" s="3" t="str">
        <f>IFERROR(__xludf.DUMMYFUNCTION("GoogleTranslate(C38, ""en"", ""hu"")"),"Következő 30 nap")</f>
        <v>Következő 30 nap</v>
      </c>
      <c r="AD38" s="3" t="str">
        <f>IFERROR(__xludf.DUMMYFUNCTION("GoogleTranslate(C38, ""en"", ""is"")"),"Næstu 30 dagar")</f>
        <v>Næstu 30 dagar</v>
      </c>
      <c r="AE38" s="3" t="str">
        <f>IFERROR(__xludf.DUMMYFUNCTION("GoogleTranslate(C38, ""en"", ""id"")"),"30 hari berikutnya")</f>
        <v>30 hari berikutnya</v>
      </c>
      <c r="AF38" s="3" t="str">
        <f>IFERROR(__xludf.DUMMYFUNCTION("GoogleTranslate(C38, ""en"", ""in"")"),"30 hari berikutnya")</f>
        <v>30 hari berikutnya</v>
      </c>
      <c r="AG38" s="3" t="str">
        <f>IFERROR(__xludf.DUMMYFUNCTION("GoogleTranslate(C38, ""en"", ""it"")"),"Prossimi 30 giorni")</f>
        <v>Prossimi 30 giorni</v>
      </c>
      <c r="AH38" s="3" t="str">
        <f>IFERROR(__xludf.DUMMYFUNCTION("GoogleTranslate(C38, ""en"", ""ja"")"),"今後 30 日間")</f>
        <v>今後 30 日間</v>
      </c>
      <c r="AI38" s="3" t="str">
        <f>IFERROR(__xludf.DUMMYFUNCTION("GoogleTranslate(C38, ""en"", ""kn"")"),"ಮುಂದಿನ 30 ದಿನಗಳು")</f>
        <v>ಮುಂದಿನ 30 ದಿನಗಳು</v>
      </c>
      <c r="AJ38" s="3" t="str">
        <f>IFERROR(__xludf.DUMMYFUNCTION("GoogleTranslate(C38, ""en"", ""km"")"),"30 ថ្ងៃបន្ទាប់")</f>
        <v>30 ថ្ងៃបន្ទាប់</v>
      </c>
      <c r="AK38" s="3" t="str">
        <f>IFERROR(__xludf.DUMMYFUNCTION("GoogleTranslate(C38, ""en"", ""ko"")"),"다음 30일")</f>
        <v>다음 30일</v>
      </c>
      <c r="AL38" s="3" t="str">
        <f>IFERROR(__xludf.DUMMYFUNCTION("GoogleTranslate(C38, ""en"", ""lo"")"),"30 ມື້ຕໍ່ໄປ")</f>
        <v>30 ມື້ຕໍ່ໄປ</v>
      </c>
      <c r="AM38" s="3" t="str">
        <f>IFERROR(__xludf.DUMMYFUNCTION("GoogleTranslate(C38, ""en"", ""lv"")"),"Nākamās 30 dienas")</f>
        <v>Nākamās 30 dienas</v>
      </c>
      <c r="AN38" s="3" t="str">
        <f>IFERROR(__xludf.DUMMYFUNCTION("GoogleTranslate(C38, ""en"", ""lt"")"),"Kitas 30 dienų")</f>
        <v>Kitas 30 dienų</v>
      </c>
      <c r="AO38" s="3" t="str">
        <f>IFERROR(__xludf.DUMMYFUNCTION("GoogleTranslate(C38, ""en"", ""mk"")"),"Следните 30 дена")</f>
        <v>Следните 30 дена</v>
      </c>
      <c r="AP38" s="3" t="str">
        <f>IFERROR(__xludf.DUMMYFUNCTION("GoogleTranslate(C38, ""en"", ""ms"")"),"30 hari seterusnya")</f>
        <v>30 hari seterusnya</v>
      </c>
      <c r="AQ38" s="3" t="str">
        <f>IFERROR(__xludf.DUMMYFUNCTION("GoogleTranslate(C38, ""en"", ""ml"")"),"അടുത്ത 30 ദിവസം")</f>
        <v>അടുത്ത 30 ദിവസം</v>
      </c>
      <c r="AR38" s="3" t="str">
        <f>IFERROR(__xludf.DUMMYFUNCTION("GoogleTranslate(C38, ""en"", ""mr"")"),"पुढील 30 दिवस")</f>
        <v>पुढील 30 दिवस</v>
      </c>
      <c r="AS38" s="3" t="str">
        <f>IFERROR(__xludf.DUMMYFUNCTION("GoogleTranslate(C38, ""en"", ""mn"")"),"Дараагийн 30 хоног")</f>
        <v>Дараагийн 30 хоног</v>
      </c>
      <c r="AT38" s="3" t="str">
        <f>IFERROR(__xludf.DUMMYFUNCTION("GoogleTranslate(C38, ""en"", ""ne"")"),"अर्को 30 दिन")</f>
        <v>अर्को 30 दिन</v>
      </c>
      <c r="AU38" s="3" t="str">
        <f>IFERROR(__xludf.DUMMYFUNCTION("GoogleTranslate(C38, ""en"", ""nb"")"),"Neste 30 dager")</f>
        <v>Neste 30 dager</v>
      </c>
      <c r="AV38" s="3" t="str">
        <f>IFERROR(__xludf.DUMMYFUNCTION("GoogleTranslate(C38, ""en"", ""fa"")"),"30 روز آینده")</f>
        <v>30 روز آینده</v>
      </c>
      <c r="AW38" s="3" t="str">
        <f>IFERROR(__xludf.DUMMYFUNCTION("GoogleTranslate(C38, ""en"", ""pl"")"),"Następne 30 dni")</f>
        <v>Następne 30 dni</v>
      </c>
      <c r="AX38" s="3" t="str">
        <f>IFERROR(__xludf.DUMMYFUNCTION("GoogleTranslate(C38, ""en"", ""pt"")"),"Próximos 30 dias")</f>
        <v>Próximos 30 dias</v>
      </c>
      <c r="AY38" s="3" t="str">
        <f>IFERROR(__xludf.DUMMYFUNCTION("GoogleTranslate(C38, ""en"", ""ro"")"),"Următoarele 30 de zile")</f>
        <v>Următoarele 30 de zile</v>
      </c>
      <c r="AZ38" s="3" t="str">
        <f>IFERROR(__xludf.DUMMYFUNCTION("GoogleTranslate(C38, ""en"", ""ru"")"),"Следующие 30 дней")</f>
        <v>Следующие 30 дней</v>
      </c>
      <c r="BA38" s="3" t="str">
        <f>IFERROR(__xludf.DUMMYFUNCTION("GoogleTranslate(C38, ""en"", ""sr"")"),"Следећих 30 дана")</f>
        <v>Следећих 30 дана</v>
      </c>
      <c r="BB38" s="3" t="str">
        <f>IFERROR(__xludf.DUMMYFUNCTION("GoogleTranslate(C38, ""en"", ""si"")"),"ඉදිරි දින 30")</f>
        <v>ඉදිරි දින 30</v>
      </c>
      <c r="BC38" s="3" t="str">
        <f>IFERROR(__xludf.DUMMYFUNCTION("GoogleTranslate(C38, ""en"", ""sk"")"),"Ďalších 30 dní")</f>
        <v>Ďalších 30 dní</v>
      </c>
      <c r="BD38" s="3" t="str">
        <f>IFERROR(__xludf.DUMMYFUNCTION("GoogleTranslate(C38, ""en"", ""sl"")"),"Naslednjih 30 dni")</f>
        <v>Naslednjih 30 dni</v>
      </c>
      <c r="BE38" s="3" t="str">
        <f>IFERROR(__xludf.DUMMYFUNCTION("GoogleTranslate(C38, ""en"", ""es"")"),"Los próximos 30 días")</f>
        <v>Los próximos 30 días</v>
      </c>
      <c r="BF38" s="3" t="str">
        <f>IFERROR(__xludf.DUMMYFUNCTION("GoogleTranslate(C38, ""en"", ""sw"")"),"Siku 30 zijazo")</f>
        <v>Siku 30 zijazo</v>
      </c>
      <c r="BG38" s="3" t="str">
        <f>IFERROR(__xludf.DUMMYFUNCTION("GoogleTranslate(C38, ""en"", ""sv"")"),"Nästa 30 dagar")</f>
        <v>Nästa 30 dagar</v>
      </c>
      <c r="BH38" s="3" t="str">
        <f>IFERROR(__xludf.DUMMYFUNCTION("GoogleTranslate(C38, ""en"", ""te"")"),"తదుపరి 30 రోజులు")</f>
        <v>తదుపరి 30 రోజులు</v>
      </c>
      <c r="BI38" s="3" t="str">
        <f>IFERROR(__xludf.DUMMYFUNCTION("GoogleTranslate(C38, ""en"", ""th"")"),"30 วันถัดไป")</f>
        <v>30 วันถัดไป</v>
      </c>
      <c r="BJ38" s="3" t="str">
        <f>IFERROR(__xludf.DUMMYFUNCTION("GoogleTranslate(C38, ""en"", ""tr"")"),"Sonraki 30 gün")</f>
        <v>Sonraki 30 gün</v>
      </c>
      <c r="BK38" s="3" t="str">
        <f>IFERROR(__xludf.DUMMYFUNCTION("GoogleTranslate(C38, ""en"", ""uk"")"),"Наступні 30 днів")</f>
        <v>Наступні 30 днів</v>
      </c>
      <c r="BL38" s="3" t="str">
        <f>IFERROR(__xludf.DUMMYFUNCTION("GoogleTranslate(C38, ""en"", ""zu"")"),"Izinsuku ezingu-30 ezilandelayo")</f>
        <v>Izinsuku ezingu-30 ezilandelayo</v>
      </c>
    </row>
    <row r="39">
      <c r="A39" s="1" t="str">
        <f t="shared" si="1"/>
        <v>Radar</v>
      </c>
      <c r="B39" s="4" t="s">
        <v>101</v>
      </c>
      <c r="C39" s="1" t="str">
        <f t="shared" si="2"/>
        <v>Radar</v>
      </c>
      <c r="D39" s="3" t="str">
        <f>IFERROR(__xludf.DUMMYFUNCTION("GoogleTranslate(C39, ""en"", ""es"")"),"Radar")</f>
        <v>Radar</v>
      </c>
      <c r="E39" s="3" t="str">
        <f>IFERROR(__xludf.DUMMYFUNCTION("GoogleTranslate(C39, ""en"", ""ar"")"),"رادار")</f>
        <v>رادار</v>
      </c>
      <c r="F39" s="3" t="str">
        <f>IFERROR(__xludf.DUMMYFUNCTION("GoogleTranslate(C39, ""en"", ""hy"")"),"Ռադար")</f>
        <v>Ռադար</v>
      </c>
      <c r="G39" s="3" t="str">
        <f>IFERROR(__xludf.DUMMYFUNCTION("GoogleTranslate(C39, ""en"", ""vi"")"),"ra đa")</f>
        <v>ra đa</v>
      </c>
      <c r="H39" s="3" t="str">
        <f>IFERROR(__xludf.DUMMYFUNCTION("GoogleTranslate(C39, ""en"", ""az"")"),"Radar")</f>
        <v>Radar</v>
      </c>
      <c r="I39" s="3" t="str">
        <f>IFERROR(__xludf.DUMMYFUNCTION("GoogleTranslate(C39, ""en"", ""eu"")"),"Radarra")</f>
        <v>Radarra</v>
      </c>
      <c r="J39" s="3" t="str">
        <f>IFERROR(__xludf.DUMMYFUNCTION("GoogleTranslate(C39, ""en"", ""be"")"),"Радар")</f>
        <v>Радар</v>
      </c>
      <c r="K39" s="3" t="str">
        <f>IFERROR(__xludf.DUMMYFUNCTION("GoogleTranslate(C39, ""en"", ""bn"")"),"রাডার")</f>
        <v>রাডার</v>
      </c>
      <c r="L39" s="3" t="str">
        <f>IFERROR(__xludf.DUMMYFUNCTION("GoogleTranslate(C39, ""en"", ""bg"")"),"Радар")</f>
        <v>Радар</v>
      </c>
      <c r="M39" s="3" t="str">
        <f>IFERROR(__xludf.DUMMYFUNCTION("GoogleTranslate(C39, ""en"", ""my"")"),"ရေဒါ")</f>
        <v>ရေဒါ</v>
      </c>
      <c r="N39" s="3" t="str">
        <f>IFERROR(__xludf.DUMMYFUNCTION("GoogleTranslate(C39, ""en"", ""ca"")"),"Radar")</f>
        <v>Radar</v>
      </c>
      <c r="O39" s="3" t="str">
        <f>IFERROR(__xludf.DUMMYFUNCTION("GoogleTranslate(C39, ""en"", ""zh-cn"")"),"雷达")</f>
        <v>雷达</v>
      </c>
      <c r="P39" s="3" t="str">
        <f>IFERROR(__xludf.DUMMYFUNCTION("GoogleTranslate(C39, ""en"", ""zh-TW"")"),"雷達")</f>
        <v>雷達</v>
      </c>
      <c r="Q39" s="3" t="str">
        <f>IFERROR(__xludf.DUMMYFUNCTION("GoogleTranslate(C39, ""en"", ""hr"")"),"Radar")</f>
        <v>Radar</v>
      </c>
      <c r="R39" s="3" t="str">
        <f>IFERROR(__xludf.DUMMYFUNCTION("GoogleTranslate(C39, ""en"", ""cs"")"),"Radar")</f>
        <v>Radar</v>
      </c>
      <c r="S39" s="3" t="str">
        <f>IFERROR(__xludf.DUMMYFUNCTION("GoogleTranslate(C39, ""en"", ""da"")"),"Radar")</f>
        <v>Radar</v>
      </c>
      <c r="T39" s="3" t="str">
        <f>IFERROR(__xludf.DUMMYFUNCTION("GoogleTranslate(C39, ""en"", ""nl"")"),"Radar")</f>
        <v>Radar</v>
      </c>
      <c r="U39" s="3" t="str">
        <f>IFERROR(__xludf.DUMMYFUNCTION("GoogleTranslate(C39, ""en"", ""et"")"),"Radar")</f>
        <v>Radar</v>
      </c>
      <c r="V39" s="1" t="str">
        <f t="shared" si="3"/>
        <v>Radar</v>
      </c>
      <c r="W39" s="3" t="str">
        <f>IFERROR(__xludf.DUMMYFUNCTION("GoogleTranslate(C39, ""en"", ""fi"")"),"Tutka")</f>
        <v>Tutka</v>
      </c>
      <c r="X39" s="3" t="str">
        <f>IFERROR(__xludf.DUMMYFUNCTION("GoogleTranslate(C39, ""en"", ""fr"")"),"Radar")</f>
        <v>Radar</v>
      </c>
      <c r="Y39" s="3" t="str">
        <f>IFERROR(__xludf.DUMMYFUNCTION("GoogleTranslate(C39, ""en"", ""de"")"),"Radar")</f>
        <v>Radar</v>
      </c>
      <c r="Z39" s="3" t="str">
        <f>IFERROR(__xludf.DUMMYFUNCTION("GoogleTranslate(C39, ""en"", ""el"")"),"Ραντάρ")</f>
        <v>Ραντάρ</v>
      </c>
      <c r="AA39" s="3" t="str">
        <f>IFERROR(__xludf.DUMMYFUNCTION("GoogleTranslate(C39, ""en"", ""iw"")"),"מכ""ם")</f>
        <v>מכ"ם</v>
      </c>
      <c r="AB39" s="3" t="str">
        <f>IFERROR(__xludf.DUMMYFUNCTION("GoogleTranslate(C39, ""en"", ""hi"")"),"राडार")</f>
        <v>राडार</v>
      </c>
      <c r="AC39" s="3" t="str">
        <f>IFERROR(__xludf.DUMMYFUNCTION("GoogleTranslate(C39, ""en"", ""hu"")"),"Radar")</f>
        <v>Radar</v>
      </c>
      <c r="AD39" s="3" t="str">
        <f>IFERROR(__xludf.DUMMYFUNCTION("GoogleTranslate(C39, ""en"", ""is"")"),"Ratsjá")</f>
        <v>Ratsjá</v>
      </c>
      <c r="AE39" s="3" t="str">
        <f>IFERROR(__xludf.DUMMYFUNCTION("GoogleTranslate(C39, ""en"", ""id"")"),"Radar")</f>
        <v>Radar</v>
      </c>
      <c r="AF39" s="3" t="str">
        <f>IFERROR(__xludf.DUMMYFUNCTION("GoogleTranslate(C39, ""en"", ""in"")"),"Radar")</f>
        <v>Radar</v>
      </c>
      <c r="AG39" s="3" t="str">
        <f>IFERROR(__xludf.DUMMYFUNCTION("GoogleTranslate(C39, ""en"", ""it"")"),"Radar")</f>
        <v>Radar</v>
      </c>
      <c r="AH39" s="3" t="str">
        <f>IFERROR(__xludf.DUMMYFUNCTION("GoogleTranslate(C39, ""en"", ""ja"")"),"レーダー")</f>
        <v>レーダー</v>
      </c>
      <c r="AI39" s="3" t="str">
        <f>IFERROR(__xludf.DUMMYFUNCTION("GoogleTranslate(C39, ""en"", ""kn"")"),"ರಾಡಾರ್")</f>
        <v>ರಾಡಾರ್</v>
      </c>
      <c r="AJ39" s="3" t="str">
        <f>IFERROR(__xludf.DUMMYFUNCTION("GoogleTranslate(C39, ""en"", ""km"")"),"រ៉ាដា")</f>
        <v>រ៉ាដា</v>
      </c>
      <c r="AK39" s="3" t="str">
        <f>IFERROR(__xludf.DUMMYFUNCTION("GoogleTranslate(C39, ""en"", ""ko"")"),"레이더")</f>
        <v>레이더</v>
      </c>
      <c r="AL39" s="3" t="str">
        <f>IFERROR(__xludf.DUMMYFUNCTION("GoogleTranslate(C39, ""en"", ""lo"")"),"ເຣດາ")</f>
        <v>ເຣດາ</v>
      </c>
      <c r="AM39" s="3" t="str">
        <f>IFERROR(__xludf.DUMMYFUNCTION("GoogleTranslate(C39, ""en"", ""lv"")"),"Radars")</f>
        <v>Radars</v>
      </c>
      <c r="AN39" s="3" t="str">
        <f>IFERROR(__xludf.DUMMYFUNCTION("GoogleTranslate(C39, ""en"", ""lt"")"),"Radaras")</f>
        <v>Radaras</v>
      </c>
      <c r="AO39" s="3" t="str">
        <f>IFERROR(__xludf.DUMMYFUNCTION("GoogleTranslate(C39, ""en"", ""mk"")"),"Радар")</f>
        <v>Радар</v>
      </c>
      <c r="AP39" s="3" t="str">
        <f>IFERROR(__xludf.DUMMYFUNCTION("GoogleTranslate(C39, ""en"", ""ms"")"),"Radar")</f>
        <v>Radar</v>
      </c>
      <c r="AQ39" s="3" t="str">
        <f>IFERROR(__xludf.DUMMYFUNCTION("GoogleTranslate(C39, ""en"", ""ml"")"),"റഡാർ")</f>
        <v>റഡാർ</v>
      </c>
      <c r="AR39" s="3" t="str">
        <f>IFERROR(__xludf.DUMMYFUNCTION("GoogleTranslate(C39, ""en"", ""mr"")"),"रडार")</f>
        <v>रडार</v>
      </c>
      <c r="AS39" s="3" t="str">
        <f>IFERROR(__xludf.DUMMYFUNCTION("GoogleTranslate(C39, ""en"", ""mn"")"),"Радар")</f>
        <v>Радар</v>
      </c>
      <c r="AT39" s="3" t="str">
        <f>IFERROR(__xludf.DUMMYFUNCTION("GoogleTranslate(C39, ""en"", ""ne"")"),"राडार")</f>
        <v>राडार</v>
      </c>
      <c r="AU39" s="3" t="str">
        <f>IFERROR(__xludf.DUMMYFUNCTION("GoogleTranslate(C39, ""en"", ""nb"")"),"Radar")</f>
        <v>Radar</v>
      </c>
      <c r="AV39" s="3" t="str">
        <f>IFERROR(__xludf.DUMMYFUNCTION("GoogleTranslate(C39, ""en"", ""fa"")"),"رادار")</f>
        <v>رادار</v>
      </c>
      <c r="AW39" s="3" t="str">
        <f>IFERROR(__xludf.DUMMYFUNCTION("GoogleTranslate(C39, ""en"", ""pl"")"),"Radar")</f>
        <v>Radar</v>
      </c>
      <c r="AX39" s="3" t="str">
        <f>IFERROR(__xludf.DUMMYFUNCTION("GoogleTranslate(C39, ""en"", ""pt"")"),"Radar")</f>
        <v>Radar</v>
      </c>
      <c r="AY39" s="3" t="str">
        <f>IFERROR(__xludf.DUMMYFUNCTION("GoogleTranslate(C39, ""en"", ""ro"")"),"Radar")</f>
        <v>Radar</v>
      </c>
      <c r="AZ39" s="3" t="str">
        <f>IFERROR(__xludf.DUMMYFUNCTION("GoogleTranslate(C39, ""en"", ""ru"")"),"Радар")</f>
        <v>Радар</v>
      </c>
      <c r="BA39" s="3" t="str">
        <f>IFERROR(__xludf.DUMMYFUNCTION("GoogleTranslate(C39, ""en"", ""sr"")"),"Радар")</f>
        <v>Радар</v>
      </c>
      <c r="BB39" s="3" t="str">
        <f>IFERROR(__xludf.DUMMYFUNCTION("GoogleTranslate(C39, ""en"", ""si"")"),"රේඩාර්")</f>
        <v>රේඩාර්</v>
      </c>
      <c r="BC39" s="3" t="str">
        <f>IFERROR(__xludf.DUMMYFUNCTION("GoogleTranslate(C39, ""en"", ""sk"")"),"Radar")</f>
        <v>Radar</v>
      </c>
      <c r="BD39" s="3" t="str">
        <f>IFERROR(__xludf.DUMMYFUNCTION("GoogleTranslate(C39, ""en"", ""sl"")"),"Radar")</f>
        <v>Radar</v>
      </c>
      <c r="BE39" s="3" t="str">
        <f>IFERROR(__xludf.DUMMYFUNCTION("GoogleTranslate(C39, ""en"", ""es"")"),"Radar")</f>
        <v>Radar</v>
      </c>
      <c r="BF39" s="3" t="str">
        <f>IFERROR(__xludf.DUMMYFUNCTION("GoogleTranslate(C39, ""en"", ""sw"")"),"Rada")</f>
        <v>Rada</v>
      </c>
      <c r="BG39" s="3" t="str">
        <f>IFERROR(__xludf.DUMMYFUNCTION("GoogleTranslate(C39, ""en"", ""sv"")"),"Radar")</f>
        <v>Radar</v>
      </c>
      <c r="BH39" s="3" t="str">
        <f>IFERROR(__xludf.DUMMYFUNCTION("GoogleTranslate(C39, ""en"", ""te"")"),"రాడార్")</f>
        <v>రాడార్</v>
      </c>
      <c r="BI39" s="3" t="str">
        <f>IFERROR(__xludf.DUMMYFUNCTION("GoogleTranslate(C39, ""en"", ""th"")"),"เรดาร์")</f>
        <v>เรดาร์</v>
      </c>
      <c r="BJ39" s="3" t="str">
        <f>IFERROR(__xludf.DUMMYFUNCTION("GoogleTranslate(C39, ""en"", ""tr"")"),"Radar")</f>
        <v>Radar</v>
      </c>
      <c r="BK39" s="3" t="str">
        <f>IFERROR(__xludf.DUMMYFUNCTION("GoogleTranslate(C39, ""en"", ""uk"")"),"Радар")</f>
        <v>Радар</v>
      </c>
      <c r="BL39" s="3" t="str">
        <f>IFERROR(__xludf.DUMMYFUNCTION("GoogleTranslate(C39, ""en"", ""zu"")"),"Irada")</f>
        <v>Irada</v>
      </c>
    </row>
    <row r="40">
      <c r="A40" s="1" t="str">
        <f t="shared" si="1"/>
        <v>Air_quality</v>
      </c>
      <c r="B40" s="4" t="s">
        <v>102</v>
      </c>
      <c r="C40" s="1" t="str">
        <f t="shared" si="2"/>
        <v>Air quality</v>
      </c>
      <c r="D40" s="3" t="str">
        <f>IFERROR(__xludf.DUMMYFUNCTION("GoogleTranslate(C40, ""en"", ""es"")"),"Calidad del aire")</f>
        <v>Calidad del aire</v>
      </c>
      <c r="E40" s="3" t="str">
        <f>IFERROR(__xludf.DUMMYFUNCTION("GoogleTranslate(C40, ""en"", ""ar"")"),"جودة الهواء")</f>
        <v>جودة الهواء</v>
      </c>
      <c r="F40" s="3" t="str">
        <f>IFERROR(__xludf.DUMMYFUNCTION("GoogleTranslate(C40, ""en"", ""hy"")"),"Օդի որակը")</f>
        <v>Օդի որակը</v>
      </c>
      <c r="G40" s="3" t="str">
        <f>IFERROR(__xludf.DUMMYFUNCTION("GoogleTranslate(C40, ""en"", ""vi"")"),"Chất lượng không khí")</f>
        <v>Chất lượng không khí</v>
      </c>
      <c r="H40" s="3" t="str">
        <f>IFERROR(__xludf.DUMMYFUNCTION("GoogleTranslate(C40, ""en"", ""az"")"),"Hava keyfiyyəti")</f>
        <v>Hava keyfiyyəti</v>
      </c>
      <c r="I40" s="3" t="str">
        <f>IFERROR(__xludf.DUMMYFUNCTION("GoogleTranslate(C40, ""en"", ""eu"")"),"Airearen kalitatea")</f>
        <v>Airearen kalitatea</v>
      </c>
      <c r="J40" s="3" t="str">
        <f>IFERROR(__xludf.DUMMYFUNCTION("GoogleTranslate(C40, ""en"", ""be"")"),"Якасць паветра")</f>
        <v>Якасць паветра</v>
      </c>
      <c r="K40" s="3" t="str">
        <f>IFERROR(__xludf.DUMMYFUNCTION("GoogleTranslate(C40, ""en"", ""bn"")"),"বাতাসের গুণমান")</f>
        <v>বাতাসের গুণমান</v>
      </c>
      <c r="L40" s="3" t="str">
        <f>IFERROR(__xludf.DUMMYFUNCTION("GoogleTranslate(C40, ""en"", ""bg"")"),"Качество на въздуха")</f>
        <v>Качество на въздуха</v>
      </c>
      <c r="M40" s="3" t="str">
        <f>IFERROR(__xludf.DUMMYFUNCTION("GoogleTranslate(C40, ""en"", ""my"")"),"လေအရည်အသွေး")</f>
        <v>လေအရည်အသွေး</v>
      </c>
      <c r="N40" s="3" t="str">
        <f>IFERROR(__xludf.DUMMYFUNCTION("GoogleTranslate(C40, ""en"", ""ca"")"),"Qualitat de l'aire")</f>
        <v>Qualitat de l'aire</v>
      </c>
      <c r="O40" s="3" t="str">
        <f>IFERROR(__xludf.DUMMYFUNCTION("GoogleTranslate(C40, ""en"", ""zh-cn"")"),"空气质量")</f>
        <v>空气质量</v>
      </c>
      <c r="P40" s="3" t="str">
        <f>IFERROR(__xludf.DUMMYFUNCTION("GoogleTranslate(C40, ""en"", ""zh-TW"")"),"空氣品質")</f>
        <v>空氣品質</v>
      </c>
      <c r="Q40" s="3" t="str">
        <f>IFERROR(__xludf.DUMMYFUNCTION("GoogleTranslate(C40, ""en"", ""hr"")"),"Kvaliteta zraka")</f>
        <v>Kvaliteta zraka</v>
      </c>
      <c r="R40" s="3" t="str">
        <f>IFERROR(__xludf.DUMMYFUNCTION("GoogleTranslate(C40, ""en"", ""cs"")"),"Kvalita vzduchu")</f>
        <v>Kvalita vzduchu</v>
      </c>
      <c r="S40" s="3" t="str">
        <f>IFERROR(__xludf.DUMMYFUNCTION("GoogleTranslate(C40, ""en"", ""da"")"),"Luftkvalitet")</f>
        <v>Luftkvalitet</v>
      </c>
      <c r="T40" s="3" t="str">
        <f>IFERROR(__xludf.DUMMYFUNCTION("GoogleTranslate(C40, ""en"", ""nl"")"),"Luchtkwaliteit")</f>
        <v>Luchtkwaliteit</v>
      </c>
      <c r="U40" s="3" t="str">
        <f>IFERROR(__xludf.DUMMYFUNCTION("GoogleTranslate(C40, ""en"", ""et"")"),"Õhu kvaliteet")</f>
        <v>Õhu kvaliteet</v>
      </c>
      <c r="V40" s="1" t="str">
        <f t="shared" si="3"/>
        <v>Air quality</v>
      </c>
      <c r="W40" s="3" t="str">
        <f>IFERROR(__xludf.DUMMYFUNCTION("GoogleTranslate(C40, ""en"", ""fi"")"),"Ilman laatu")</f>
        <v>Ilman laatu</v>
      </c>
      <c r="X40" s="3" t="str">
        <f>IFERROR(__xludf.DUMMYFUNCTION("GoogleTranslate(C40, ""en"", ""fr"")"),"Qualité de l'air")</f>
        <v>Qualité de l'air</v>
      </c>
      <c r="Y40" s="3" t="str">
        <f>IFERROR(__xludf.DUMMYFUNCTION("GoogleTranslate(C40, ""en"", ""de"")"),"Luftqualität")</f>
        <v>Luftqualität</v>
      </c>
      <c r="Z40" s="3" t="str">
        <f>IFERROR(__xludf.DUMMYFUNCTION("GoogleTranslate(C40, ""en"", ""el"")"),"Ποιότητα αέρα")</f>
        <v>Ποιότητα αέρα</v>
      </c>
      <c r="AA40" s="3" t="str">
        <f>IFERROR(__xludf.DUMMYFUNCTION("GoogleTranslate(C40, ""en"", ""iw"")"),"איכות אוויר")</f>
        <v>איכות אוויר</v>
      </c>
      <c r="AB40" s="3" t="str">
        <f>IFERROR(__xludf.DUMMYFUNCTION("GoogleTranslate(C40, ""en"", ""hi"")"),"वायु गुणवत्ता")</f>
        <v>वायु गुणवत्ता</v>
      </c>
      <c r="AC40" s="3" t="str">
        <f>IFERROR(__xludf.DUMMYFUNCTION("GoogleTranslate(C40, ""en"", ""hu"")"),"Levegőminőség")</f>
        <v>Levegőminőség</v>
      </c>
      <c r="AD40" s="3" t="str">
        <f>IFERROR(__xludf.DUMMYFUNCTION("GoogleTranslate(C40, ""en"", ""is"")"),"Loftgæði")</f>
        <v>Loftgæði</v>
      </c>
      <c r="AE40" s="3" t="str">
        <f>IFERROR(__xludf.DUMMYFUNCTION("GoogleTranslate(C40, ""en"", ""id"")"),"Kualitas udara")</f>
        <v>Kualitas udara</v>
      </c>
      <c r="AF40" s="3" t="str">
        <f>IFERROR(__xludf.DUMMYFUNCTION("GoogleTranslate(C40, ""en"", ""in"")"),"Kualitas udara")</f>
        <v>Kualitas udara</v>
      </c>
      <c r="AG40" s="3" t="str">
        <f>IFERROR(__xludf.DUMMYFUNCTION("GoogleTranslate(C40, ""en"", ""it"")"),"Qualità dell'aria")</f>
        <v>Qualità dell'aria</v>
      </c>
      <c r="AH40" s="3" t="str">
        <f>IFERROR(__xludf.DUMMYFUNCTION("GoogleTranslate(C40, ""en"", ""ja"")"),"空気の質")</f>
        <v>空気の質</v>
      </c>
      <c r="AI40" s="3" t="str">
        <f>IFERROR(__xludf.DUMMYFUNCTION("GoogleTranslate(C40, ""en"", ""kn"")"),"ಗಾಳಿಯ ಗುಣಮಟ್ಟ")</f>
        <v>ಗಾಳಿಯ ಗುಣಮಟ್ಟ</v>
      </c>
      <c r="AJ40" s="3" t="str">
        <f>IFERROR(__xludf.DUMMYFUNCTION("GoogleTranslate(C40, ""en"", ""km"")"),"គុណភាពខ្យល់")</f>
        <v>គុណភាពខ្យល់</v>
      </c>
      <c r="AK40" s="3" t="str">
        <f>IFERROR(__xludf.DUMMYFUNCTION("GoogleTranslate(C40, ""en"", ""ko"")"),"공기질")</f>
        <v>공기질</v>
      </c>
      <c r="AL40" s="3" t="str">
        <f>IFERROR(__xludf.DUMMYFUNCTION("GoogleTranslate(C40, ""en"", ""lo"")"),"ຄຸນນະພາບອາກາດ")</f>
        <v>ຄຸນນະພາບອາກາດ</v>
      </c>
      <c r="AM40" s="3" t="str">
        <f>IFERROR(__xludf.DUMMYFUNCTION("GoogleTranslate(C40, ""en"", ""lv"")"),"Gaisa kvalitāte")</f>
        <v>Gaisa kvalitāte</v>
      </c>
      <c r="AN40" s="3" t="str">
        <f>IFERROR(__xludf.DUMMYFUNCTION("GoogleTranslate(C40, ""en"", ""lt"")"),"Oro kokybė")</f>
        <v>Oro kokybė</v>
      </c>
      <c r="AO40" s="3" t="str">
        <f>IFERROR(__xludf.DUMMYFUNCTION("GoogleTranslate(C40, ""en"", ""mk"")"),"Квалитетот на воздухот")</f>
        <v>Квалитетот на воздухот</v>
      </c>
      <c r="AP40" s="3" t="str">
        <f>IFERROR(__xludf.DUMMYFUNCTION("GoogleTranslate(C40, ""en"", ""ms"")"),"Kualiti udara")</f>
        <v>Kualiti udara</v>
      </c>
      <c r="AQ40" s="3" t="str">
        <f>IFERROR(__xludf.DUMMYFUNCTION("GoogleTranslate(C40, ""en"", ""ml"")"),"വായു നിലവാരം")</f>
        <v>വായു നിലവാരം</v>
      </c>
      <c r="AR40" s="3" t="str">
        <f>IFERROR(__xludf.DUMMYFUNCTION("GoogleTranslate(C40, ""en"", ""mr"")"),"हवेची गुणवत्ता")</f>
        <v>हवेची गुणवत्ता</v>
      </c>
      <c r="AS40" s="3" t="str">
        <f>IFERROR(__xludf.DUMMYFUNCTION("GoogleTranslate(C40, ""en"", ""mn"")"),"Агаарын чанар")</f>
        <v>Агаарын чанар</v>
      </c>
      <c r="AT40" s="3" t="str">
        <f>IFERROR(__xludf.DUMMYFUNCTION("GoogleTranslate(C40, ""en"", ""ne"")"),"हावा गुणस्तर")</f>
        <v>हावा गुणस्तर</v>
      </c>
      <c r="AU40" s="3" t="str">
        <f>IFERROR(__xludf.DUMMYFUNCTION("GoogleTranslate(C40, ""en"", ""nb"")"),"Luftkvalitet")</f>
        <v>Luftkvalitet</v>
      </c>
      <c r="AV40" s="3" t="str">
        <f>IFERROR(__xludf.DUMMYFUNCTION("GoogleTranslate(C40, ""en"", ""fa"")"),"کیفیت هوا")</f>
        <v>کیفیت هوا</v>
      </c>
      <c r="AW40" s="3" t="str">
        <f>IFERROR(__xludf.DUMMYFUNCTION("GoogleTranslate(C40, ""en"", ""pl"")"),"Jakość powietrza")</f>
        <v>Jakość powietrza</v>
      </c>
      <c r="AX40" s="3" t="str">
        <f>IFERROR(__xludf.DUMMYFUNCTION("GoogleTranslate(C40, ""en"", ""pt"")"),"Qualidade do ar")</f>
        <v>Qualidade do ar</v>
      </c>
      <c r="AY40" s="3" t="str">
        <f>IFERROR(__xludf.DUMMYFUNCTION("GoogleTranslate(C40, ""en"", ""ro"")"),"Calitatea aerului")</f>
        <v>Calitatea aerului</v>
      </c>
      <c r="AZ40" s="3" t="str">
        <f>IFERROR(__xludf.DUMMYFUNCTION("GoogleTranslate(C40, ""en"", ""ru"")"),"Качество воздуха")</f>
        <v>Качество воздуха</v>
      </c>
      <c r="BA40" s="3" t="str">
        <f>IFERROR(__xludf.DUMMYFUNCTION("GoogleTranslate(C40, ""en"", ""sr"")"),"Квалитет ваздуха")</f>
        <v>Квалитет ваздуха</v>
      </c>
      <c r="BB40" s="3" t="str">
        <f>IFERROR(__xludf.DUMMYFUNCTION("GoogleTranslate(C40, ""en"", ""si"")"),"වාතයේ ගුණාත්මකභාවය")</f>
        <v>වාතයේ ගුණාත්මකභාවය</v>
      </c>
      <c r="BC40" s="3" t="str">
        <f>IFERROR(__xludf.DUMMYFUNCTION("GoogleTranslate(C40, ""en"", ""sk"")"),"Kvalita vzduchu")</f>
        <v>Kvalita vzduchu</v>
      </c>
      <c r="BD40" s="3" t="str">
        <f>IFERROR(__xludf.DUMMYFUNCTION("GoogleTranslate(C40, ""en"", ""sl"")"),"Kakovost zraka")</f>
        <v>Kakovost zraka</v>
      </c>
      <c r="BE40" s="3" t="str">
        <f>IFERROR(__xludf.DUMMYFUNCTION("GoogleTranslate(C40, ""en"", ""es"")"),"Calidad del aire")</f>
        <v>Calidad del aire</v>
      </c>
      <c r="BF40" s="3" t="str">
        <f>IFERROR(__xludf.DUMMYFUNCTION("GoogleTranslate(C40, ""en"", ""sw"")"),"Ubora wa hewa")</f>
        <v>Ubora wa hewa</v>
      </c>
      <c r="BG40" s="3" t="str">
        <f>IFERROR(__xludf.DUMMYFUNCTION("GoogleTranslate(C40, ""en"", ""sv"")"),"Luftkvalitet")</f>
        <v>Luftkvalitet</v>
      </c>
      <c r="BH40" s="3" t="str">
        <f>IFERROR(__xludf.DUMMYFUNCTION("GoogleTranslate(C40, ""en"", ""te"")"),"గాలి నాణ్యత")</f>
        <v>గాలి నాణ్యత</v>
      </c>
      <c r="BI40" s="3" t="str">
        <f>IFERROR(__xludf.DUMMYFUNCTION("GoogleTranslate(C40, ""en"", ""th"")"),"คุณภาพอากาศ")</f>
        <v>คุณภาพอากาศ</v>
      </c>
      <c r="BJ40" s="3" t="str">
        <f>IFERROR(__xludf.DUMMYFUNCTION("GoogleTranslate(C40, ""en"", ""tr"")"),"Hava kalitesi")</f>
        <v>Hava kalitesi</v>
      </c>
      <c r="BK40" s="3" t="str">
        <f>IFERROR(__xludf.DUMMYFUNCTION("GoogleTranslate(C40, ""en"", ""uk"")"),"Якість повітря")</f>
        <v>Якість повітря</v>
      </c>
      <c r="BL40" s="3" t="str">
        <f>IFERROR(__xludf.DUMMYFUNCTION("GoogleTranslate(C40, ""en"", ""zu"")"),"Ikhwalithi yomoya")</f>
        <v>Ikhwalithi yomoya</v>
      </c>
    </row>
    <row r="41">
      <c r="A41" s="1" t="str">
        <f t="shared" si="1"/>
        <v>Moon_phase</v>
      </c>
      <c r="B41" s="4" t="s">
        <v>103</v>
      </c>
      <c r="C41" s="1" t="str">
        <f t="shared" si="2"/>
        <v>Moon phase</v>
      </c>
      <c r="D41" s="3" t="str">
        <f>IFERROR(__xludf.DUMMYFUNCTION("GoogleTranslate(C41, ""en"", ""es"")"),"Fase lunar")</f>
        <v>Fase lunar</v>
      </c>
      <c r="E41" s="3" t="str">
        <f>IFERROR(__xludf.DUMMYFUNCTION("GoogleTranslate(C41, ""en"", ""ar"")"),"مرحلة القمر")</f>
        <v>مرحلة القمر</v>
      </c>
      <c r="F41" s="3" t="str">
        <f>IFERROR(__xludf.DUMMYFUNCTION("GoogleTranslate(C41, ""en"", ""hy"")"),"Լուսնի փուլ")</f>
        <v>Լուսնի փուլ</v>
      </c>
      <c r="G41" s="3" t="str">
        <f>IFERROR(__xludf.DUMMYFUNCTION("GoogleTranslate(C41, ""en"", ""vi"")"),"Pha mặt trăng")</f>
        <v>Pha mặt trăng</v>
      </c>
      <c r="H41" s="3" t="str">
        <f>IFERROR(__xludf.DUMMYFUNCTION("GoogleTranslate(C41, ""en"", ""az"")"),"Ay mərhələsi")</f>
        <v>Ay mərhələsi</v>
      </c>
      <c r="I41" s="3" t="str">
        <f>IFERROR(__xludf.DUMMYFUNCTION("GoogleTranslate(C41, ""en"", ""eu"")"),"Ilargi fasea")</f>
        <v>Ilargi fasea</v>
      </c>
      <c r="J41" s="3" t="str">
        <f>IFERROR(__xludf.DUMMYFUNCTION("GoogleTranslate(C41, ""en"", ""be"")"),"Фаза месяца")</f>
        <v>Фаза месяца</v>
      </c>
      <c r="K41" s="3" t="str">
        <f>IFERROR(__xludf.DUMMYFUNCTION("GoogleTranslate(C41, ""en"", ""bn"")"),"চাঁদের পর্ব")</f>
        <v>চাঁদের পর্ব</v>
      </c>
      <c r="L41" s="3" t="str">
        <f>IFERROR(__xludf.DUMMYFUNCTION("GoogleTranslate(C41, ""en"", ""bg"")"),"фаза на луната")</f>
        <v>фаза на луната</v>
      </c>
      <c r="M41" s="3" t="str">
        <f>IFERROR(__xludf.DUMMYFUNCTION("GoogleTranslate(C41, ""en"", ""my"")"),"လအဆင့်")</f>
        <v>လအဆင့်</v>
      </c>
      <c r="N41" s="3" t="str">
        <f>IFERROR(__xludf.DUMMYFUNCTION("GoogleTranslate(C41, ""en"", ""ca"")"),"Fase de lluna")</f>
        <v>Fase de lluna</v>
      </c>
      <c r="O41" s="3" t="str">
        <f>IFERROR(__xludf.DUMMYFUNCTION("GoogleTranslate(C41, ""en"", ""zh-cn"")"),"月相")</f>
        <v>月相</v>
      </c>
      <c r="P41" s="3" t="str">
        <f>IFERROR(__xludf.DUMMYFUNCTION("GoogleTranslate(C41, ""en"", ""zh-TW"")"),"月相")</f>
        <v>月相</v>
      </c>
      <c r="Q41" s="3" t="str">
        <f>IFERROR(__xludf.DUMMYFUNCTION("GoogleTranslate(C41, ""en"", ""hr"")"),"Mjesečeva mijena")</f>
        <v>Mjesečeva mijena</v>
      </c>
      <c r="R41" s="3" t="str">
        <f>IFERROR(__xludf.DUMMYFUNCTION("GoogleTranslate(C41, ""en"", ""cs"")"),"Fáze měsíce")</f>
        <v>Fáze měsíce</v>
      </c>
      <c r="S41" s="3" t="str">
        <f>IFERROR(__xludf.DUMMYFUNCTION("GoogleTranslate(C41, ""en"", ""da"")"),"Månefase")</f>
        <v>Månefase</v>
      </c>
      <c r="T41" s="3" t="str">
        <f>IFERROR(__xludf.DUMMYFUNCTION("GoogleTranslate(C41, ""en"", ""nl"")"),"Maanfase")</f>
        <v>Maanfase</v>
      </c>
      <c r="U41" s="3" t="str">
        <f>IFERROR(__xludf.DUMMYFUNCTION("GoogleTranslate(C41, ""en"", ""et"")"),"Kuu faas")</f>
        <v>Kuu faas</v>
      </c>
      <c r="V41" s="1" t="str">
        <f t="shared" si="3"/>
        <v>Moon phase</v>
      </c>
      <c r="W41" s="3" t="str">
        <f>IFERROR(__xludf.DUMMYFUNCTION("GoogleTranslate(C41, ""en"", ""fi"")"),"Kuun vaihe")</f>
        <v>Kuun vaihe</v>
      </c>
      <c r="X41" s="3" t="str">
        <f>IFERROR(__xludf.DUMMYFUNCTION("GoogleTranslate(C41, ""en"", ""fr"")"),"Phase de lune")</f>
        <v>Phase de lune</v>
      </c>
      <c r="Y41" s="3" t="str">
        <f>IFERROR(__xludf.DUMMYFUNCTION("GoogleTranslate(C41, ""en"", ""de"")"),"Mondphase")</f>
        <v>Mondphase</v>
      </c>
      <c r="Z41" s="3" t="str">
        <f>IFERROR(__xludf.DUMMYFUNCTION("GoogleTranslate(C41, ""en"", ""el"")"),"Φάση σελήνης")</f>
        <v>Φάση σελήνης</v>
      </c>
      <c r="AA41" s="3" t="str">
        <f>IFERROR(__xludf.DUMMYFUNCTION("GoogleTranslate(C41, ""en"", ""iw"")"),"שלב הירח")</f>
        <v>שלב הירח</v>
      </c>
      <c r="AB41" s="3" t="str">
        <f>IFERROR(__xludf.DUMMYFUNCTION("GoogleTranslate(C41, ""en"", ""hi"")"),"चंद्र कला")</f>
        <v>चंद्र कला</v>
      </c>
      <c r="AC41" s="3" t="str">
        <f>IFERROR(__xludf.DUMMYFUNCTION("GoogleTranslate(C41, ""en"", ""hu"")"),"Holdfázis")</f>
        <v>Holdfázis</v>
      </c>
      <c r="AD41" s="3" t="str">
        <f>IFERROR(__xludf.DUMMYFUNCTION("GoogleTranslate(C41, ""en"", ""is"")"),"Tunglfasi")</f>
        <v>Tunglfasi</v>
      </c>
      <c r="AE41" s="3" t="str">
        <f>IFERROR(__xludf.DUMMYFUNCTION("GoogleTranslate(C41, ""en"", ""id"")"),"Fase bulan")</f>
        <v>Fase bulan</v>
      </c>
      <c r="AF41" s="3" t="str">
        <f>IFERROR(__xludf.DUMMYFUNCTION("GoogleTranslate(C41, ""en"", ""in"")"),"Fase bulan")</f>
        <v>Fase bulan</v>
      </c>
      <c r="AG41" s="3" t="str">
        <f>IFERROR(__xludf.DUMMYFUNCTION("GoogleTranslate(C41, ""en"", ""it"")"),"Fase lunare")</f>
        <v>Fase lunare</v>
      </c>
      <c r="AH41" s="3" t="str">
        <f>IFERROR(__xludf.DUMMYFUNCTION("GoogleTranslate(C41, ""en"", ""ja"")"),"ムーンフェイズ")</f>
        <v>ムーンフェイズ</v>
      </c>
      <c r="AI41" s="3" t="str">
        <f>IFERROR(__xludf.DUMMYFUNCTION("GoogleTranslate(C41, ""en"", ""kn"")"),"ಚಂದ್ರನ ಹಂತ")</f>
        <v>ಚಂದ್ರನ ಹಂತ</v>
      </c>
      <c r="AJ41" s="3" t="str">
        <f>IFERROR(__xludf.DUMMYFUNCTION("GoogleTranslate(C41, ""en"", ""km"")"),"ដំណាក់កាលព្រះច័ន្ទ")</f>
        <v>ដំណាក់កាលព្រះច័ន្ទ</v>
      </c>
      <c r="AK41" s="3" t="str">
        <f>IFERROR(__xludf.DUMMYFUNCTION("GoogleTranslate(C41, ""en"", ""ko"")"),"달의 위상")</f>
        <v>달의 위상</v>
      </c>
      <c r="AL41" s="3" t="str">
        <f>IFERROR(__xludf.DUMMYFUNCTION("GoogleTranslate(C41, ""en"", ""lo"")"),"ໄລຍະວົງເດືອນ")</f>
        <v>ໄລຍະວົງເດືອນ</v>
      </c>
      <c r="AM41" s="3" t="str">
        <f>IFERROR(__xludf.DUMMYFUNCTION("GoogleTranslate(C41, ""en"", ""lv"")"),"Mēness fāze")</f>
        <v>Mēness fāze</v>
      </c>
      <c r="AN41" s="3" t="str">
        <f>IFERROR(__xludf.DUMMYFUNCTION("GoogleTranslate(C41, ""en"", ""lt"")"),"Mėnulio fazė")</f>
        <v>Mėnulio fazė</v>
      </c>
      <c r="AO41" s="3" t="str">
        <f>IFERROR(__xludf.DUMMYFUNCTION("GoogleTranslate(C41, ""en"", ""mk"")"),"Фаза на Месечината")</f>
        <v>Фаза на Месечината</v>
      </c>
      <c r="AP41" s="3" t="str">
        <f>IFERROR(__xludf.DUMMYFUNCTION("GoogleTranslate(C41, ""en"", ""ms"")"),"Fasa bulan")</f>
        <v>Fasa bulan</v>
      </c>
      <c r="AQ41" s="3" t="str">
        <f>IFERROR(__xludf.DUMMYFUNCTION("GoogleTranslate(C41, ""en"", ""ml"")"),"ചന്ദ്രൻ്റെ ഘട്ടം")</f>
        <v>ചന്ദ്രൻ്റെ ഘട്ടം</v>
      </c>
      <c r="AR41" s="3" t="str">
        <f>IFERROR(__xludf.DUMMYFUNCTION("GoogleTranslate(C41, ""en"", ""mr"")"),"चंद्राचा टप्पा")</f>
        <v>चंद्राचा टप्पा</v>
      </c>
      <c r="AS41" s="3" t="str">
        <f>IFERROR(__xludf.DUMMYFUNCTION("GoogleTranslate(C41, ""en"", ""mn"")"),"Сарны үе шат")</f>
        <v>Сарны үе шат</v>
      </c>
      <c r="AT41" s="3" t="str">
        <f>IFERROR(__xludf.DUMMYFUNCTION("GoogleTranslate(C41, ""en"", ""ne"")"),"चन्द्र चरण")</f>
        <v>चन्द्र चरण</v>
      </c>
      <c r="AU41" s="3" t="str">
        <f>IFERROR(__xludf.DUMMYFUNCTION("GoogleTranslate(C41, ""en"", ""nb"")"),"Månefase")</f>
        <v>Månefase</v>
      </c>
      <c r="AV41" s="3" t="str">
        <f>IFERROR(__xludf.DUMMYFUNCTION("GoogleTranslate(C41, ""en"", ""fa"")"),"فاز ماه")</f>
        <v>فاز ماه</v>
      </c>
      <c r="AW41" s="3" t="str">
        <f>IFERROR(__xludf.DUMMYFUNCTION("GoogleTranslate(C41, ""en"", ""pl"")"),"Faza księżyca")</f>
        <v>Faza księżyca</v>
      </c>
      <c r="AX41" s="3" t="str">
        <f>IFERROR(__xludf.DUMMYFUNCTION("GoogleTranslate(C41, ""en"", ""pt"")"),"Fase da lua")</f>
        <v>Fase da lua</v>
      </c>
      <c r="AY41" s="3" t="str">
        <f>IFERROR(__xludf.DUMMYFUNCTION("GoogleTranslate(C41, ""en"", ""ro"")"),"Faza lunii")</f>
        <v>Faza lunii</v>
      </c>
      <c r="AZ41" s="3" t="str">
        <f>IFERROR(__xludf.DUMMYFUNCTION("GoogleTranslate(C41, ""en"", ""ru"")"),"Фаза Луны")</f>
        <v>Фаза Луны</v>
      </c>
      <c r="BA41" s="3" t="str">
        <f>IFERROR(__xludf.DUMMYFUNCTION("GoogleTranslate(C41, ""en"", ""sr"")"),"Фаза месеца")</f>
        <v>Фаза месеца</v>
      </c>
      <c r="BB41" s="3" t="str">
        <f>IFERROR(__xludf.DUMMYFUNCTION("GoogleTranslate(C41, ""en"", ""si"")"),"සඳ අදියර")</f>
        <v>සඳ අදියර</v>
      </c>
      <c r="BC41" s="3" t="str">
        <f>IFERROR(__xludf.DUMMYFUNCTION("GoogleTranslate(C41, ""en"", ""sk"")"),"Fáza Mesiaca")</f>
        <v>Fáza Mesiaca</v>
      </c>
      <c r="BD41" s="3" t="str">
        <f>IFERROR(__xludf.DUMMYFUNCTION("GoogleTranslate(C41, ""en"", ""sl"")"),"Lunina faza")</f>
        <v>Lunina faza</v>
      </c>
      <c r="BE41" s="3" t="str">
        <f>IFERROR(__xludf.DUMMYFUNCTION("GoogleTranslate(C41, ""en"", ""es"")"),"Fase lunar")</f>
        <v>Fase lunar</v>
      </c>
      <c r="BF41" s="3" t="str">
        <f>IFERROR(__xludf.DUMMYFUNCTION("GoogleTranslate(C41, ""en"", ""sw"")"),"Awamu ya mwezi")</f>
        <v>Awamu ya mwezi</v>
      </c>
      <c r="BG41" s="3" t="str">
        <f>IFERROR(__xludf.DUMMYFUNCTION("GoogleTranslate(C41, ""en"", ""sv"")"),"Månfas")</f>
        <v>Månfas</v>
      </c>
      <c r="BH41" s="3" t="str">
        <f>IFERROR(__xludf.DUMMYFUNCTION("GoogleTranslate(C41, ""en"", ""te"")"),"చంద్ర దశ")</f>
        <v>చంద్ర దశ</v>
      </c>
      <c r="BI41" s="3" t="str">
        <f>IFERROR(__xludf.DUMMYFUNCTION("GoogleTranslate(C41, ""en"", ""th"")"),"ข้างขึ้นข้างแรม")</f>
        <v>ข้างขึ้นข้างแรม</v>
      </c>
      <c r="BJ41" s="3" t="str">
        <f>IFERROR(__xludf.DUMMYFUNCTION("GoogleTranslate(C41, ""en"", ""tr"")"),"Ay evresi")</f>
        <v>Ay evresi</v>
      </c>
      <c r="BK41" s="3" t="str">
        <f>IFERROR(__xludf.DUMMYFUNCTION("GoogleTranslate(C41, ""en"", ""uk"")"),"Фаза місяця")</f>
        <v>Фаза місяця</v>
      </c>
      <c r="BL41" s="3" t="str">
        <f>IFERROR(__xludf.DUMMYFUNCTION("GoogleTranslate(C41, ""en"", ""zu"")"),"Isigaba senyanga")</f>
        <v>Isigaba senyanga</v>
      </c>
    </row>
    <row r="42">
      <c r="A42" s="1" t="str">
        <f t="shared" si="1"/>
        <v>Uv_Index</v>
      </c>
      <c r="B42" s="4" t="s">
        <v>104</v>
      </c>
      <c r="C42" s="1" t="str">
        <f t="shared" si="2"/>
        <v>Uv Index</v>
      </c>
      <c r="D42" s="3" t="str">
        <f>IFERROR(__xludf.DUMMYFUNCTION("GoogleTranslate(C42, ""en"", ""es"")"),"índice ultravioleta")</f>
        <v>índice ultravioleta</v>
      </c>
      <c r="E42" s="3" t="str">
        <f>IFERROR(__xludf.DUMMYFUNCTION("GoogleTranslate(C42, ""en"", ""ar"")"),"مؤشر الأشعة فوق البنفسجية")</f>
        <v>مؤشر الأشعة فوق البنفسجية</v>
      </c>
      <c r="F42" s="3" t="str">
        <f>IFERROR(__xludf.DUMMYFUNCTION("GoogleTranslate(C42, ""en"", ""hy"")"),"Ուլտրամանուշակագույն ինդեքս")</f>
        <v>Ուլտրամանուշակագույն ինդեքս</v>
      </c>
      <c r="G42" s="3" t="str">
        <f>IFERROR(__xludf.DUMMYFUNCTION("GoogleTranslate(C42, ""en"", ""vi"")"),"Chỉ số UV")</f>
        <v>Chỉ số UV</v>
      </c>
      <c r="H42" s="3" t="str">
        <f>IFERROR(__xludf.DUMMYFUNCTION("GoogleTranslate(C42, ""en"", ""az"")"),"UV indeksi")</f>
        <v>UV indeksi</v>
      </c>
      <c r="I42" s="3" t="str">
        <f>IFERROR(__xludf.DUMMYFUNCTION("GoogleTranslate(C42, ""en"", ""eu"")"),"Uv indizea")</f>
        <v>Uv indizea</v>
      </c>
      <c r="J42" s="3" t="str">
        <f>IFERROR(__xludf.DUMMYFUNCTION("GoogleTranslate(C42, ""en"", ""be"")"),"УФ-індэкс")</f>
        <v>УФ-індэкс</v>
      </c>
      <c r="K42" s="3" t="str">
        <f>IFERROR(__xludf.DUMMYFUNCTION("GoogleTranslate(C42, ""en"", ""bn"")"),"Uv সূচক")</f>
        <v>Uv সূচক</v>
      </c>
      <c r="L42" s="3" t="str">
        <f>IFERROR(__xludf.DUMMYFUNCTION("GoogleTranslate(C42, ""en"", ""bg"")"),"Uv индекс")</f>
        <v>Uv индекс</v>
      </c>
      <c r="M42" s="3" t="str">
        <f>IFERROR(__xludf.DUMMYFUNCTION("GoogleTranslate(C42, ""en"", ""my"")"),"Uv အညွှန်း")</f>
        <v>Uv အညွှန်း</v>
      </c>
      <c r="N42" s="3" t="str">
        <f>IFERROR(__xludf.DUMMYFUNCTION("GoogleTranslate(C42, ""en"", ""ca"")"),"Índex UV")</f>
        <v>Índex UV</v>
      </c>
      <c r="O42" s="3" t="str">
        <f>IFERROR(__xludf.DUMMYFUNCTION("GoogleTranslate(C42, ""en"", ""zh-cn"")"),"紫外线指数")</f>
        <v>紫外线指数</v>
      </c>
      <c r="P42" s="3" t="str">
        <f>IFERROR(__xludf.DUMMYFUNCTION("GoogleTranslate(C42, ""en"", ""zh-TW"")"),"紫外線指數")</f>
        <v>紫外線指數</v>
      </c>
      <c r="Q42" s="3" t="str">
        <f>IFERROR(__xludf.DUMMYFUNCTION("GoogleTranslate(C42, ""en"", ""hr"")"),"Uv indeks")</f>
        <v>Uv indeks</v>
      </c>
      <c r="R42" s="3" t="str">
        <f>IFERROR(__xludf.DUMMYFUNCTION("GoogleTranslate(C42, ""en"", ""cs"")"),"UV index")</f>
        <v>UV index</v>
      </c>
      <c r="S42" s="3" t="str">
        <f>IFERROR(__xludf.DUMMYFUNCTION("GoogleTranslate(C42, ""en"", ""da"")"),"Uv-indeks")</f>
        <v>Uv-indeks</v>
      </c>
      <c r="T42" s="3" t="str">
        <f>IFERROR(__xludf.DUMMYFUNCTION("GoogleTranslate(C42, ""en"", ""nl"")"),"UV-index")</f>
        <v>UV-index</v>
      </c>
      <c r="U42" s="3" t="str">
        <f>IFERROR(__xludf.DUMMYFUNCTION("GoogleTranslate(C42, ""en"", ""et"")"),"UV-indeks")</f>
        <v>UV-indeks</v>
      </c>
      <c r="V42" s="1" t="str">
        <f t="shared" si="3"/>
        <v>Uv Index</v>
      </c>
      <c r="W42" s="3" t="str">
        <f>IFERROR(__xludf.DUMMYFUNCTION("GoogleTranslate(C42, ""en"", ""fi"")"),"UV-indeksi")</f>
        <v>UV-indeksi</v>
      </c>
      <c r="X42" s="3" t="str">
        <f>IFERROR(__xludf.DUMMYFUNCTION("GoogleTranslate(C42, ""en"", ""fr"")"),"Indice UV")</f>
        <v>Indice UV</v>
      </c>
      <c r="Y42" s="3" t="str">
        <f>IFERROR(__xludf.DUMMYFUNCTION("GoogleTranslate(C42, ""en"", ""de"")"),"UV-Index")</f>
        <v>UV-Index</v>
      </c>
      <c r="Z42" s="3" t="str">
        <f>IFERROR(__xludf.DUMMYFUNCTION("GoogleTranslate(C42, ""en"", ""el"")"),"Δείκτης UV")</f>
        <v>Δείκτης UV</v>
      </c>
      <c r="AA42" s="3" t="str">
        <f>IFERROR(__xludf.DUMMYFUNCTION("GoogleTranslate(C42, ""en"", ""iw"")"),"מדד UV")</f>
        <v>מדד UV</v>
      </c>
      <c r="AB42" s="3" t="str">
        <f>IFERROR(__xludf.DUMMYFUNCTION("GoogleTranslate(C42, ""en"", ""hi"")"),"यूवी सूचकांक")</f>
        <v>यूवी सूचकांक</v>
      </c>
      <c r="AC42" s="3" t="str">
        <f>IFERROR(__xludf.DUMMYFUNCTION("GoogleTranslate(C42, ""en"", ""hu"")"),"UV Index")</f>
        <v>UV Index</v>
      </c>
      <c r="AD42" s="3" t="str">
        <f>IFERROR(__xludf.DUMMYFUNCTION("GoogleTranslate(C42, ""en"", ""is"")"),"Uv vísitala")</f>
        <v>Uv vísitala</v>
      </c>
      <c r="AE42" s="3" t="str">
        <f>IFERROR(__xludf.DUMMYFUNCTION("GoogleTranslate(C42, ""en"", ""id"")"),"Indeks UV")</f>
        <v>Indeks UV</v>
      </c>
      <c r="AF42" s="3" t="str">
        <f>IFERROR(__xludf.DUMMYFUNCTION("GoogleTranslate(C42, ""en"", ""in"")"),"Indeks UV")</f>
        <v>Indeks UV</v>
      </c>
      <c r="AG42" s="3" t="str">
        <f>IFERROR(__xludf.DUMMYFUNCTION("GoogleTranslate(C42, ""en"", ""it"")"),"Indice UV")</f>
        <v>Indice UV</v>
      </c>
      <c r="AH42" s="3" t="str">
        <f>IFERROR(__xludf.DUMMYFUNCTION("GoogleTranslate(C42, ""en"", ""ja"")"),"紫外線指数")</f>
        <v>紫外線指数</v>
      </c>
      <c r="AI42" s="3" t="str">
        <f>IFERROR(__xludf.DUMMYFUNCTION("GoogleTranslate(C42, ""en"", ""kn"")"),"ಯುವಿ ಸೂಚ್ಯಂಕ")</f>
        <v>ಯುವಿ ಸೂಚ್ಯಂಕ</v>
      </c>
      <c r="AJ42" s="3" t="str">
        <f>IFERROR(__xludf.DUMMYFUNCTION("GoogleTranslate(C42, ""en"", ""km"")"),"សន្ទស្សន៍ Uv")</f>
        <v>សន្ទស្សន៍ Uv</v>
      </c>
      <c r="AK42" s="3" t="str">
        <f>IFERROR(__xludf.DUMMYFUNCTION("GoogleTranslate(C42, ""en"", ""ko"")"),"자외선 지수")</f>
        <v>자외선 지수</v>
      </c>
      <c r="AL42" s="3" t="str">
        <f>IFERROR(__xludf.DUMMYFUNCTION("GoogleTranslate(C42, ""en"", ""lo"")"),"ດັດຊະນີ Uv")</f>
        <v>ດັດຊະນີ Uv</v>
      </c>
      <c r="AM42" s="3" t="str">
        <f>IFERROR(__xludf.DUMMYFUNCTION("GoogleTranslate(C42, ""en"", ""lv"")"),"UV indekss")</f>
        <v>UV indekss</v>
      </c>
      <c r="AN42" s="3" t="str">
        <f>IFERROR(__xludf.DUMMYFUNCTION("GoogleTranslate(C42, ""en"", ""lt"")"),"UV indeksas")</f>
        <v>UV indeksas</v>
      </c>
      <c r="AO42" s="3" t="str">
        <f>IFERROR(__xludf.DUMMYFUNCTION("GoogleTranslate(C42, ""en"", ""mk"")"),"УВ индекс")</f>
        <v>УВ индекс</v>
      </c>
      <c r="AP42" s="3" t="str">
        <f>IFERROR(__xludf.DUMMYFUNCTION("GoogleTranslate(C42, ""en"", ""ms"")"),"Indeks Uv")</f>
        <v>Indeks Uv</v>
      </c>
      <c r="AQ42" s="3" t="str">
        <f>IFERROR(__xludf.DUMMYFUNCTION("GoogleTranslate(C42, ""en"", ""ml"")"),"യുവി സൂചിക")</f>
        <v>യുവി സൂചിക</v>
      </c>
      <c r="AR42" s="3" t="str">
        <f>IFERROR(__xludf.DUMMYFUNCTION("GoogleTranslate(C42, ""en"", ""mr"")"),"अतिनील निर्देशांक")</f>
        <v>अतिनील निर्देशांक</v>
      </c>
      <c r="AS42" s="3" t="str">
        <f>IFERROR(__xludf.DUMMYFUNCTION("GoogleTranslate(C42, ""en"", ""mn"")"),"Хэт ягаан туяаны индекс")</f>
        <v>Хэт ягаан туяаны индекс</v>
      </c>
      <c r="AT42" s="3" t="str">
        <f>IFERROR(__xludf.DUMMYFUNCTION("GoogleTranslate(C42, ""en"", ""ne"")"),"Uv सूचकांक")</f>
        <v>Uv सूचकांक</v>
      </c>
      <c r="AU42" s="3" t="str">
        <f>IFERROR(__xludf.DUMMYFUNCTION("GoogleTranslate(C42, ""en"", ""nb"")"),"Uv-indeks")</f>
        <v>Uv-indeks</v>
      </c>
      <c r="AV42" s="3" t="str">
        <f>IFERROR(__xludf.DUMMYFUNCTION("GoogleTranslate(C42, ""en"", ""fa"")"),"شاخص UV")</f>
        <v>شاخص UV</v>
      </c>
      <c r="AW42" s="3" t="str">
        <f>IFERROR(__xludf.DUMMYFUNCTION("GoogleTranslate(C42, ""en"", ""pl"")"),"Indeks UV")</f>
        <v>Indeks UV</v>
      </c>
      <c r="AX42" s="3" t="str">
        <f>IFERROR(__xludf.DUMMYFUNCTION("GoogleTranslate(C42, ""en"", ""pt"")"),"Índice UV")</f>
        <v>Índice UV</v>
      </c>
      <c r="AY42" s="3" t="str">
        <f>IFERROR(__xludf.DUMMYFUNCTION("GoogleTranslate(C42, ""en"", ""ro"")"),"Index UV")</f>
        <v>Index UV</v>
      </c>
      <c r="AZ42" s="3" t="str">
        <f>IFERROR(__xludf.DUMMYFUNCTION("GoogleTranslate(C42, ""en"", ""ru"")"),"УФ-индекс")</f>
        <v>УФ-индекс</v>
      </c>
      <c r="BA42" s="3" t="str">
        <f>IFERROR(__xludf.DUMMYFUNCTION("GoogleTranslate(C42, ""en"", ""sr"")"),"Ув индекс")</f>
        <v>Ув индекс</v>
      </c>
      <c r="BB42" s="3" t="str">
        <f>IFERROR(__xludf.DUMMYFUNCTION("GoogleTranslate(C42, ""en"", ""si"")"),"Uv දර්ශකය")</f>
        <v>Uv දර්ශකය</v>
      </c>
      <c r="BC42" s="3" t="str">
        <f>IFERROR(__xludf.DUMMYFUNCTION("GoogleTranslate(C42, ""en"", ""sk"")"),"UV index")</f>
        <v>UV index</v>
      </c>
      <c r="BD42" s="3" t="str">
        <f>IFERROR(__xludf.DUMMYFUNCTION("GoogleTranslate(C42, ""en"", ""sl"")"),"Uv indeks")</f>
        <v>Uv indeks</v>
      </c>
      <c r="BE42" s="3" t="str">
        <f>IFERROR(__xludf.DUMMYFUNCTION("GoogleTranslate(C42, ""en"", ""es"")"),"índice ultravioleta")</f>
        <v>índice ultravioleta</v>
      </c>
      <c r="BF42" s="3" t="str">
        <f>IFERROR(__xludf.DUMMYFUNCTION("GoogleTranslate(C42, ""en"", ""sw"")"),"Kielezo cha UV")</f>
        <v>Kielezo cha UV</v>
      </c>
      <c r="BG42" s="3" t="str">
        <f>IFERROR(__xludf.DUMMYFUNCTION("GoogleTranslate(C42, ""en"", ""sv"")"),"Uv-index")</f>
        <v>Uv-index</v>
      </c>
      <c r="BH42" s="3" t="str">
        <f>IFERROR(__xludf.DUMMYFUNCTION("GoogleTranslate(C42, ""en"", ""te"")"),"UV సూచిక")</f>
        <v>UV సూచిక</v>
      </c>
      <c r="BI42" s="3" t="str">
        <f>IFERROR(__xludf.DUMMYFUNCTION("GoogleTranslate(C42, ""en"", ""th"")"),"ดัชนีรังสียูวี")</f>
        <v>ดัชนีรังสียูวี</v>
      </c>
      <c r="BJ42" s="3" t="str">
        <f>IFERROR(__xludf.DUMMYFUNCTION("GoogleTranslate(C42, ""en"", ""tr"")"),"UV İndeksi")</f>
        <v>UV İndeksi</v>
      </c>
      <c r="BK42" s="3" t="str">
        <f>IFERROR(__xludf.DUMMYFUNCTION("GoogleTranslate(C42, ""en"", ""uk"")"),"УФ-індекс")</f>
        <v>УФ-індекс</v>
      </c>
      <c r="BL42" s="3" t="str">
        <f>IFERROR(__xludf.DUMMYFUNCTION("GoogleTranslate(C42, ""en"", ""zu"")"),"I-Uv Index")</f>
        <v>I-Uv Index</v>
      </c>
    </row>
    <row r="43">
      <c r="A43" s="1" t="str">
        <f t="shared" si="1"/>
        <v>Temperature_{name}</v>
      </c>
      <c r="B43" s="4" t="s">
        <v>105</v>
      </c>
      <c r="C43" s="1" t="str">
        <f t="shared" si="2"/>
        <v>Temperature {name}</v>
      </c>
      <c r="D43" s="3" t="str">
        <f>IFERROR(__xludf.DUMMYFUNCTION("GoogleTranslate(C43, ""en"", ""es"")"),"Temperatura {nombre}")</f>
        <v>Temperatura {nombre}</v>
      </c>
      <c r="E43" s="3" t="str">
        <f>IFERROR(__xludf.DUMMYFUNCTION("GoogleTranslate(C43, ""en"", ""ar"")"),"درجة الحرارة {الاسم}")</f>
        <v>درجة الحرارة {الاسم}</v>
      </c>
      <c r="F43" s="3" t="str">
        <f>IFERROR(__xludf.DUMMYFUNCTION("GoogleTranslate(C43, ""en"", ""hy"")"),"Ջերմաստիճանը {name}")</f>
        <v>Ջերմաստիճանը {name}</v>
      </c>
      <c r="G43" s="3" t="str">
        <f>IFERROR(__xludf.DUMMYFUNCTION("GoogleTranslate(C43, ""en"", ""vi"")"),"Nhiệt độ {tên}")</f>
        <v>Nhiệt độ {tên}</v>
      </c>
      <c r="H43" s="3" t="str">
        <f>IFERROR(__xludf.DUMMYFUNCTION("GoogleTranslate(C43, ""en"", ""az"")"),"Temperatur {name}")</f>
        <v>Temperatur {name}</v>
      </c>
      <c r="I43" s="3" t="str">
        <f>IFERROR(__xludf.DUMMYFUNCTION("GoogleTranslate(C43, ""en"", ""eu"")"),"Tenperatura {izena}")</f>
        <v>Tenperatura {izena}</v>
      </c>
      <c r="J43" s="3" t="str">
        <f>IFERROR(__xludf.DUMMYFUNCTION("GoogleTranslate(C43, ""en"", ""be"")"),"Тэмпература {name}")</f>
        <v>Тэмпература {name}</v>
      </c>
      <c r="K43" s="3" t="str">
        <f>IFERROR(__xludf.DUMMYFUNCTION("GoogleTranslate(C43, ""en"", ""bn"")"),"তাপমাত্রা {name}")</f>
        <v>তাপমাত্রা {name}</v>
      </c>
      <c r="L43" s="3" t="str">
        <f>IFERROR(__xludf.DUMMYFUNCTION("GoogleTranslate(C43, ""en"", ""bg"")"),"Температура {name}")</f>
        <v>Температура {name}</v>
      </c>
      <c r="M43" s="3" t="str">
        <f>IFERROR(__xludf.DUMMYFUNCTION("GoogleTranslate(C43, ""en"", ""my"")"),"အပူချိန် {အမည်}")</f>
        <v>အပူချိန် {အမည်}</v>
      </c>
      <c r="N43" s="3" t="str">
        <f>IFERROR(__xludf.DUMMYFUNCTION("GoogleTranslate(C43, ""en"", ""ca"")"),"Temperatura {name}")</f>
        <v>Temperatura {name}</v>
      </c>
      <c r="O43" s="3" t="str">
        <f>IFERROR(__xludf.DUMMYFUNCTION("GoogleTranslate(C43, ""en"", ""zh-cn"")"),"温度{名称}")</f>
        <v>温度{名称}</v>
      </c>
      <c r="P43" s="3" t="str">
        <f>IFERROR(__xludf.DUMMYFUNCTION("GoogleTranslate(C43, ""en"", ""zh-TW"")"),"溫度{名稱}")</f>
        <v>溫度{名稱}</v>
      </c>
      <c r="Q43" s="3" t="str">
        <f>IFERROR(__xludf.DUMMYFUNCTION("GoogleTranslate(C43, ""en"", ""hr"")"),"Temperatura {name}")</f>
        <v>Temperatura {name}</v>
      </c>
      <c r="R43" s="3" t="str">
        <f>IFERROR(__xludf.DUMMYFUNCTION("GoogleTranslate(C43, ""en"", ""cs"")"),"Teplota {name}")</f>
        <v>Teplota {name}</v>
      </c>
      <c r="S43" s="3" t="str">
        <f>IFERROR(__xludf.DUMMYFUNCTION("GoogleTranslate(C43, ""en"", ""da"")"),"Temperatur {navn}")</f>
        <v>Temperatur {navn}</v>
      </c>
      <c r="T43" s="3" t="str">
        <f>IFERROR(__xludf.DUMMYFUNCTION("GoogleTranslate(C43, ""en"", ""nl"")"),"Temperatuur {naam}")</f>
        <v>Temperatuur {naam}</v>
      </c>
      <c r="U43" s="3" t="str">
        <f>IFERROR(__xludf.DUMMYFUNCTION("GoogleTranslate(C43, ""en"", ""et"")"),"Temperatuur {name}")</f>
        <v>Temperatuur {name}</v>
      </c>
      <c r="V43" s="1" t="str">
        <f t="shared" si="3"/>
        <v>Temperature {name}</v>
      </c>
      <c r="W43" s="3" t="str">
        <f>IFERROR(__xludf.DUMMYFUNCTION("GoogleTranslate(C43, ""en"", ""fi"")"),"Lämpötila {name}")</f>
        <v>Lämpötila {name}</v>
      </c>
      <c r="X43" s="3" t="str">
        <f>IFERROR(__xludf.DUMMYFUNCTION("GoogleTranslate(C43, ""en"", ""fr"")"),"Température {nom}")</f>
        <v>Température {nom}</v>
      </c>
      <c r="Y43" s="3" t="str">
        <f>IFERROR(__xludf.DUMMYFUNCTION("GoogleTranslate(C43, ""en"", ""de"")"),"Temperatur {Name}")</f>
        <v>Temperatur {Name}</v>
      </c>
      <c r="Z43" s="3" t="str">
        <f>IFERROR(__xludf.DUMMYFUNCTION("GoogleTranslate(C43, ""en"", ""el"")"),"Θερμοκρασία {όνομα}")</f>
        <v>Θερμοκρασία {όνομα}</v>
      </c>
      <c r="AA43" s="3" t="str">
        <f>IFERROR(__xludf.DUMMYFUNCTION("GoogleTranslate(C43, ""en"", ""iw"")"),"טמפרטורה {name}")</f>
        <v>טמפרטורה {name}</v>
      </c>
      <c r="AB43" s="3" t="str">
        <f>IFERROR(__xludf.DUMMYFUNCTION("GoogleTranslate(C43, ""en"", ""hi"")"),"तापमान {नाम}")</f>
        <v>तापमान {नाम}</v>
      </c>
      <c r="AC43" s="3" t="str">
        <f>IFERROR(__xludf.DUMMYFUNCTION("GoogleTranslate(C43, ""en"", ""hu"")"),"Hőmérséklet {name}")</f>
        <v>Hőmérséklet {name}</v>
      </c>
      <c r="AD43" s="3" t="str">
        <f>IFERROR(__xludf.DUMMYFUNCTION("GoogleTranslate(C43, ""en"", ""is"")"),"Hitastig {name}")</f>
        <v>Hitastig {name}</v>
      </c>
      <c r="AE43" s="3" t="str">
        <f>IFERROR(__xludf.DUMMYFUNCTION("GoogleTranslate(C43, ""en"", ""id"")"),"Suhu {nama}")</f>
        <v>Suhu {nama}</v>
      </c>
      <c r="AF43" s="3" t="str">
        <f>IFERROR(__xludf.DUMMYFUNCTION("GoogleTranslate(C43, ""en"", ""in"")"),"Suhu {nama}")</f>
        <v>Suhu {nama}</v>
      </c>
      <c r="AG43" s="3" t="str">
        <f>IFERROR(__xludf.DUMMYFUNCTION("GoogleTranslate(C43, ""en"", ""it"")"),"Temperatura {nome}")</f>
        <v>Temperatura {nome}</v>
      </c>
      <c r="AH43" s="3" t="str">
        <f>IFERROR(__xludf.DUMMYFUNCTION("GoogleTranslate(C43, ""en"", ""ja"")"),"気温 {名前}")</f>
        <v>気温 {名前}</v>
      </c>
      <c r="AI43" s="3" t="str">
        <f>IFERROR(__xludf.DUMMYFUNCTION("GoogleTranslate(C43, ""en"", ""kn"")"),"ತಾಪಮಾನ {name}")</f>
        <v>ತಾಪಮಾನ {name}</v>
      </c>
      <c r="AJ43" s="3" t="str">
        <f>IFERROR(__xludf.DUMMYFUNCTION("GoogleTranslate(C43, ""en"", ""km"")"),"សីតុណ្ហភាព {ឈ្មោះ}")</f>
        <v>សីតុណ្ហភាព {ឈ្មោះ}</v>
      </c>
      <c r="AK43" s="3" t="str">
        <f>IFERROR(__xludf.DUMMYFUNCTION("GoogleTranslate(C43, ""en"", ""ko"")"),"온도 {이름}")</f>
        <v>온도 {이름}</v>
      </c>
      <c r="AL43" s="3" t="str">
        <f>IFERROR(__xludf.DUMMYFUNCTION("GoogleTranslate(C43, ""en"", ""lo"")"),"ອຸນຫະພູມ {name}")</f>
        <v>ອຸນຫະພູມ {name}</v>
      </c>
      <c r="AM43" s="3" t="str">
        <f>IFERROR(__xludf.DUMMYFUNCTION("GoogleTranslate(C43, ""en"", ""lv"")"),"Temperatūra {name}")</f>
        <v>Temperatūra {name}</v>
      </c>
      <c r="AN43" s="3" t="str">
        <f>IFERROR(__xludf.DUMMYFUNCTION("GoogleTranslate(C43, ""en"", ""lt"")"),"Temperatūra {name}")</f>
        <v>Temperatūra {name}</v>
      </c>
      <c r="AO43" s="3" t="str">
        <f>IFERROR(__xludf.DUMMYFUNCTION("GoogleTranslate(C43, ""en"", ""mk"")"),"Температура {име}")</f>
        <v>Температура {име}</v>
      </c>
      <c r="AP43" s="3" t="str">
        <f>IFERROR(__xludf.DUMMYFUNCTION("GoogleTranslate(C43, ""en"", ""ms"")"),"Suhu {name}")</f>
        <v>Suhu {name}</v>
      </c>
      <c r="AQ43" s="3" t="str">
        <f>IFERROR(__xludf.DUMMYFUNCTION("GoogleTranslate(C43, ""en"", ""ml"")"),"താപനില {name}")</f>
        <v>താപനില {name}</v>
      </c>
      <c r="AR43" s="3" t="str">
        <f>IFERROR(__xludf.DUMMYFUNCTION("GoogleTranslate(C43, ""en"", ""mr"")"),"तापमान {नाम}")</f>
        <v>तापमान {नाम}</v>
      </c>
      <c r="AS43" s="3" t="str">
        <f>IFERROR(__xludf.DUMMYFUNCTION("GoogleTranslate(C43, ""en"", ""mn"")"),"Температур {нэр}")</f>
        <v>Температур {нэр}</v>
      </c>
      <c r="AT43" s="3" t="str">
        <f>IFERROR(__xludf.DUMMYFUNCTION("GoogleTranslate(C43, ""en"", ""ne"")"),"तापमान {नाम}")</f>
        <v>तापमान {नाम}</v>
      </c>
      <c r="AU43" s="3" t="str">
        <f>IFERROR(__xludf.DUMMYFUNCTION("GoogleTranslate(C43, ""en"", ""nb"")"),"Temperatur {navn}")</f>
        <v>Temperatur {navn}</v>
      </c>
      <c r="AV43" s="3" t="str">
        <f>IFERROR(__xludf.DUMMYFUNCTION("GoogleTranslate(C43, ""en"", ""fa"")"),"دما {name}")</f>
        <v>دما {name}</v>
      </c>
      <c r="AW43" s="3" t="str">
        <f>IFERROR(__xludf.DUMMYFUNCTION("GoogleTranslate(C43, ""en"", ""pl"")"),"Temperatura {nazwa}")</f>
        <v>Temperatura {nazwa}</v>
      </c>
      <c r="AX43" s="3" t="str">
        <f>IFERROR(__xludf.DUMMYFUNCTION("GoogleTranslate(C43, ""en"", ""pt"")"),"Temperatura {nome}")</f>
        <v>Temperatura {nome}</v>
      </c>
      <c r="AY43" s="3" t="str">
        <f>IFERROR(__xludf.DUMMYFUNCTION("GoogleTranslate(C43, ""en"", ""ro"")"),"Temperatura {name}")</f>
        <v>Temperatura {name}</v>
      </c>
      <c r="AZ43" s="3" t="str">
        <f>IFERROR(__xludf.DUMMYFUNCTION("GoogleTranslate(C43, ""en"", ""ru"")"),"Температура {имя}")</f>
        <v>Температура {имя}</v>
      </c>
      <c r="BA43" s="3" t="str">
        <f>IFERROR(__xludf.DUMMYFUNCTION("GoogleTranslate(C43, ""en"", ""sr"")"),"Температура {наме}")</f>
        <v>Температура {наме}</v>
      </c>
      <c r="BB43" s="3" t="str">
        <f>IFERROR(__xludf.DUMMYFUNCTION("GoogleTranslate(C43, ""en"", ""si"")"),"උෂ්ණත්වය {name}")</f>
        <v>උෂ්ණත්වය {name}</v>
      </c>
      <c r="BC43" s="3" t="str">
        <f>IFERROR(__xludf.DUMMYFUNCTION("GoogleTranslate(C43, ""en"", ""sk"")"),"Teplota {name}")</f>
        <v>Teplota {name}</v>
      </c>
      <c r="BD43" s="3" t="str">
        <f>IFERROR(__xludf.DUMMYFUNCTION("GoogleTranslate(C43, ""en"", ""sl"")"),"Temperatura {name}")</f>
        <v>Temperatura {name}</v>
      </c>
      <c r="BE43" s="3" t="str">
        <f>IFERROR(__xludf.DUMMYFUNCTION("GoogleTranslate(C43, ""en"", ""es"")"),"Temperatura {nombre}")</f>
        <v>Temperatura {nombre}</v>
      </c>
      <c r="BF43" s="3" t="str">
        <f>IFERROR(__xludf.DUMMYFUNCTION("GoogleTranslate(C43, ""en"", ""sw"")"),"Halijoto {name}")</f>
        <v>Halijoto {name}</v>
      </c>
      <c r="BG43" s="3" t="str">
        <f>IFERROR(__xludf.DUMMYFUNCTION("GoogleTranslate(C43, ""en"", ""sv"")"),"Temperatur {name}")</f>
        <v>Temperatur {name}</v>
      </c>
      <c r="BH43" s="3" t="str">
        <f>IFERROR(__xludf.DUMMYFUNCTION("GoogleTranslate(C43, ""en"", ""te"")"),"ఉష్ణోగ్రత {name}")</f>
        <v>ఉష్ణోగ్రత {name}</v>
      </c>
      <c r="BI43" s="3" t="str">
        <f>IFERROR(__xludf.DUMMYFUNCTION("GoogleTranslate(C43, ""en"", ""th"")"),"อุณหภูมิ {ชื่อ}")</f>
        <v>อุณหภูมิ {ชื่อ}</v>
      </c>
      <c r="BJ43" s="3" t="str">
        <f>IFERROR(__xludf.DUMMYFUNCTION("GoogleTranslate(C43, ""en"", ""tr"")"),"Sıcaklık {isim}")</f>
        <v>Sıcaklık {isim}</v>
      </c>
      <c r="BK43" s="3" t="str">
        <f>IFERROR(__xludf.DUMMYFUNCTION("GoogleTranslate(C43, ""en"", ""uk"")"),"Температура {name}")</f>
        <v>Температура {name}</v>
      </c>
      <c r="BL43" s="3" t="str">
        <f>IFERROR(__xludf.DUMMYFUNCTION("GoogleTranslate(C43, ""en"", ""zu"")"),"Izinga lokushisa {name}")</f>
        <v>Izinga lokushisa {name}</v>
      </c>
    </row>
    <row r="44">
      <c r="A44" s="1" t="str">
        <f t="shared" si="1"/>
        <v>Low</v>
      </c>
      <c r="B44" s="4" t="s">
        <v>106</v>
      </c>
      <c r="C44" s="1" t="str">
        <f t="shared" si="2"/>
        <v>Low</v>
      </c>
      <c r="D44" s="3" t="str">
        <f>IFERROR(__xludf.DUMMYFUNCTION("GoogleTranslate(C44, ""en"", ""es"")"),"Bajo")</f>
        <v>Bajo</v>
      </c>
      <c r="E44" s="3" t="str">
        <f>IFERROR(__xludf.DUMMYFUNCTION("GoogleTranslate(C44, ""en"", ""ar"")"),"قليل")</f>
        <v>قليل</v>
      </c>
      <c r="F44" s="3" t="str">
        <f>IFERROR(__xludf.DUMMYFUNCTION("GoogleTranslate(C44, ""en"", ""hy"")"),"Ցածր")</f>
        <v>Ցածր</v>
      </c>
      <c r="G44" s="3" t="str">
        <f>IFERROR(__xludf.DUMMYFUNCTION("GoogleTranslate(C44, ""en"", ""vi"")"),"Thấp")</f>
        <v>Thấp</v>
      </c>
      <c r="H44" s="3" t="str">
        <f>IFERROR(__xludf.DUMMYFUNCTION("GoogleTranslate(C44, ""en"", ""az"")"),"Aşağı")</f>
        <v>Aşağı</v>
      </c>
      <c r="I44" s="3" t="str">
        <f>IFERROR(__xludf.DUMMYFUNCTION("GoogleTranslate(C44, ""en"", ""eu"")"),"Baxua")</f>
        <v>Baxua</v>
      </c>
      <c r="J44" s="3" t="str">
        <f>IFERROR(__xludf.DUMMYFUNCTION("GoogleTranslate(C44, ""en"", ""be"")"),"Нізкі")</f>
        <v>Нізкі</v>
      </c>
      <c r="K44" s="3" t="str">
        <f>IFERROR(__xludf.DUMMYFUNCTION("GoogleTranslate(C44, ""en"", ""bn"")"),"কম")</f>
        <v>কম</v>
      </c>
      <c r="L44" s="3" t="str">
        <f>IFERROR(__xludf.DUMMYFUNCTION("GoogleTranslate(C44, ""en"", ""bg"")"),"ниско")</f>
        <v>ниско</v>
      </c>
      <c r="M44" s="3" t="str">
        <f>IFERROR(__xludf.DUMMYFUNCTION("GoogleTranslate(C44, ""en"", ""my"")"),"နိမ့်သည်။")</f>
        <v>နိမ့်သည်။</v>
      </c>
      <c r="N44" s="3" t="str">
        <f>IFERROR(__xludf.DUMMYFUNCTION("GoogleTranslate(C44, ""en"", ""ca"")"),"Baixa")</f>
        <v>Baixa</v>
      </c>
      <c r="O44" s="3" t="str">
        <f>IFERROR(__xludf.DUMMYFUNCTION("GoogleTranslate(C44, ""en"", ""zh-cn"")"),"低的")</f>
        <v>低的</v>
      </c>
      <c r="P44" s="3" t="str">
        <f>IFERROR(__xludf.DUMMYFUNCTION("GoogleTranslate(C44, ""en"", ""zh-TW"")"),"低的")</f>
        <v>低的</v>
      </c>
      <c r="Q44" s="3" t="str">
        <f>IFERROR(__xludf.DUMMYFUNCTION("GoogleTranslate(C44, ""en"", ""hr"")"),"Niska")</f>
        <v>Niska</v>
      </c>
      <c r="R44" s="3" t="str">
        <f>IFERROR(__xludf.DUMMYFUNCTION("GoogleTranslate(C44, ""en"", ""cs"")"),"Nízký")</f>
        <v>Nízký</v>
      </c>
      <c r="S44" s="3" t="str">
        <f>IFERROR(__xludf.DUMMYFUNCTION("GoogleTranslate(C44, ""en"", ""da"")"),"Lav")</f>
        <v>Lav</v>
      </c>
      <c r="T44" s="3" t="str">
        <f>IFERROR(__xludf.DUMMYFUNCTION("GoogleTranslate(C44, ""en"", ""nl"")"),"Laag")</f>
        <v>Laag</v>
      </c>
      <c r="U44" s="3" t="str">
        <f>IFERROR(__xludf.DUMMYFUNCTION("GoogleTranslate(C44, ""en"", ""et"")"),"Madal")</f>
        <v>Madal</v>
      </c>
      <c r="V44" s="1" t="str">
        <f t="shared" si="3"/>
        <v>Low</v>
      </c>
      <c r="W44" s="3" t="str">
        <f>IFERROR(__xludf.DUMMYFUNCTION("GoogleTranslate(C44, ""en"", ""fi"")"),"Matala")</f>
        <v>Matala</v>
      </c>
      <c r="X44" s="3" t="str">
        <f>IFERROR(__xludf.DUMMYFUNCTION("GoogleTranslate(C44, ""en"", ""fr"")"),"Faible")</f>
        <v>Faible</v>
      </c>
      <c r="Y44" s="3" t="str">
        <f>IFERROR(__xludf.DUMMYFUNCTION("GoogleTranslate(C44, ""en"", ""de"")"),"Niedrig")</f>
        <v>Niedrig</v>
      </c>
      <c r="Z44" s="3" t="str">
        <f>IFERROR(__xludf.DUMMYFUNCTION("GoogleTranslate(C44, ""en"", ""el"")"),"Χαμηλός")</f>
        <v>Χαμηλός</v>
      </c>
      <c r="AA44" s="3" t="str">
        <f>IFERROR(__xludf.DUMMYFUNCTION("GoogleTranslate(C44, ""en"", ""iw"")"),"נָמוּך")</f>
        <v>נָמוּך</v>
      </c>
      <c r="AB44" s="3" t="str">
        <f>IFERROR(__xludf.DUMMYFUNCTION("GoogleTranslate(C44, ""en"", ""hi"")"),"कम")</f>
        <v>कम</v>
      </c>
      <c r="AC44" s="3" t="str">
        <f>IFERROR(__xludf.DUMMYFUNCTION("GoogleTranslate(C44, ""en"", ""hu"")"),"Alacsony")</f>
        <v>Alacsony</v>
      </c>
      <c r="AD44" s="3" t="str">
        <f>IFERROR(__xludf.DUMMYFUNCTION("GoogleTranslate(C44, ""en"", ""is"")"),"Lágt")</f>
        <v>Lágt</v>
      </c>
      <c r="AE44" s="3" t="str">
        <f>IFERROR(__xludf.DUMMYFUNCTION("GoogleTranslate(C44, ""en"", ""id"")"),"Rendah")</f>
        <v>Rendah</v>
      </c>
      <c r="AF44" s="3" t="str">
        <f>IFERROR(__xludf.DUMMYFUNCTION("GoogleTranslate(C44, ""en"", ""in"")"),"Rendah")</f>
        <v>Rendah</v>
      </c>
      <c r="AG44" s="3" t="str">
        <f>IFERROR(__xludf.DUMMYFUNCTION("GoogleTranslate(C44, ""en"", ""it"")"),"Basso")</f>
        <v>Basso</v>
      </c>
      <c r="AH44" s="3" t="str">
        <f>IFERROR(__xludf.DUMMYFUNCTION("GoogleTranslate(C44, ""en"", ""ja"")"),"低い")</f>
        <v>低い</v>
      </c>
      <c r="AI44" s="3" t="str">
        <f>IFERROR(__xludf.DUMMYFUNCTION("GoogleTranslate(C44, ""en"", ""kn"")"),"ಕಡಿಮೆ")</f>
        <v>ಕಡಿಮೆ</v>
      </c>
      <c r="AJ44" s="3" t="str">
        <f>IFERROR(__xludf.DUMMYFUNCTION("GoogleTranslate(C44, ""en"", ""km"")"),"ទាប")</f>
        <v>ទាប</v>
      </c>
      <c r="AK44" s="3" t="str">
        <f>IFERROR(__xludf.DUMMYFUNCTION("GoogleTranslate(C44, ""en"", ""ko"")"),"낮은")</f>
        <v>낮은</v>
      </c>
      <c r="AL44" s="3" t="str">
        <f>IFERROR(__xludf.DUMMYFUNCTION("GoogleTranslate(C44, ""en"", ""lo"")"),"ຕໍ່າ")</f>
        <v>ຕໍ່າ</v>
      </c>
      <c r="AM44" s="3" t="str">
        <f>IFERROR(__xludf.DUMMYFUNCTION("GoogleTranslate(C44, ""en"", ""lv"")"),"Zems")</f>
        <v>Zems</v>
      </c>
      <c r="AN44" s="3" t="str">
        <f>IFERROR(__xludf.DUMMYFUNCTION("GoogleTranslate(C44, ""en"", ""lt"")"),"Žemas")</f>
        <v>Žemas</v>
      </c>
      <c r="AO44" s="3" t="str">
        <f>IFERROR(__xludf.DUMMYFUNCTION("GoogleTranslate(C44, ""en"", ""mk"")"),"Ниско")</f>
        <v>Ниско</v>
      </c>
      <c r="AP44" s="3" t="str">
        <f>IFERROR(__xludf.DUMMYFUNCTION("GoogleTranslate(C44, ""en"", ""ms"")"),"rendah")</f>
        <v>rendah</v>
      </c>
      <c r="AQ44" s="3" t="str">
        <f>IFERROR(__xludf.DUMMYFUNCTION("GoogleTranslate(C44, ""en"", ""ml"")"),"താഴ്ന്നത്")</f>
        <v>താഴ്ന്നത്</v>
      </c>
      <c r="AR44" s="3" t="str">
        <f>IFERROR(__xludf.DUMMYFUNCTION("GoogleTranslate(C44, ""en"", ""mr"")"),"कमी")</f>
        <v>कमी</v>
      </c>
      <c r="AS44" s="3" t="str">
        <f>IFERROR(__xludf.DUMMYFUNCTION("GoogleTranslate(C44, ""en"", ""mn"")"),"Бага")</f>
        <v>Бага</v>
      </c>
      <c r="AT44" s="3" t="str">
        <f>IFERROR(__xludf.DUMMYFUNCTION("GoogleTranslate(C44, ""en"", ""ne"")"),"कम")</f>
        <v>कम</v>
      </c>
      <c r="AU44" s="3" t="str">
        <f>IFERROR(__xludf.DUMMYFUNCTION("GoogleTranslate(C44, ""en"", ""nb"")"),"Lav")</f>
        <v>Lav</v>
      </c>
      <c r="AV44" s="3" t="str">
        <f>IFERROR(__xludf.DUMMYFUNCTION("GoogleTranslate(C44, ""en"", ""fa"")"),"پایین")</f>
        <v>پایین</v>
      </c>
      <c r="AW44" s="3" t="str">
        <f>IFERROR(__xludf.DUMMYFUNCTION("GoogleTranslate(C44, ""en"", ""pl"")"),"Niski")</f>
        <v>Niski</v>
      </c>
      <c r="AX44" s="3" t="str">
        <f>IFERROR(__xludf.DUMMYFUNCTION("GoogleTranslate(C44, ""en"", ""pt"")"),"Baixo")</f>
        <v>Baixo</v>
      </c>
      <c r="AY44" s="3" t="str">
        <f>IFERROR(__xludf.DUMMYFUNCTION("GoogleTranslate(C44, ""en"", ""ro"")"),"Scăzut")</f>
        <v>Scăzut</v>
      </c>
      <c r="AZ44" s="3" t="str">
        <f>IFERROR(__xludf.DUMMYFUNCTION("GoogleTranslate(C44, ""en"", ""ru"")"),"Низкий")</f>
        <v>Низкий</v>
      </c>
      <c r="BA44" s="3" t="str">
        <f>IFERROR(__xludf.DUMMYFUNCTION("GoogleTranslate(C44, ""en"", ""sr"")"),"Ниско")</f>
        <v>Ниско</v>
      </c>
      <c r="BB44" s="3" t="str">
        <f>IFERROR(__xludf.DUMMYFUNCTION("GoogleTranslate(C44, ""en"", ""si"")"),"අඩුයි")</f>
        <v>අඩුයි</v>
      </c>
      <c r="BC44" s="3" t="str">
        <f>IFERROR(__xludf.DUMMYFUNCTION("GoogleTranslate(C44, ""en"", ""sk"")"),"Nízka")</f>
        <v>Nízka</v>
      </c>
      <c r="BD44" s="3" t="str">
        <f>IFERROR(__xludf.DUMMYFUNCTION("GoogleTranslate(C44, ""en"", ""sl"")"),"Nizka")</f>
        <v>Nizka</v>
      </c>
      <c r="BE44" s="3" t="str">
        <f>IFERROR(__xludf.DUMMYFUNCTION("GoogleTranslate(C44, ""en"", ""es"")"),"Bajo")</f>
        <v>Bajo</v>
      </c>
      <c r="BF44" s="3" t="str">
        <f>IFERROR(__xludf.DUMMYFUNCTION("GoogleTranslate(C44, ""en"", ""sw"")"),"Chini")</f>
        <v>Chini</v>
      </c>
      <c r="BG44" s="3" t="str">
        <f>IFERROR(__xludf.DUMMYFUNCTION("GoogleTranslate(C44, ""en"", ""sv"")"),"Låg")</f>
        <v>Låg</v>
      </c>
      <c r="BH44" s="3" t="str">
        <f>IFERROR(__xludf.DUMMYFUNCTION("GoogleTranslate(C44, ""en"", ""te"")"),"తక్కువ")</f>
        <v>తక్కువ</v>
      </c>
      <c r="BI44" s="3" t="str">
        <f>IFERROR(__xludf.DUMMYFUNCTION("GoogleTranslate(C44, ""en"", ""th"")"),"ต่ำ")</f>
        <v>ต่ำ</v>
      </c>
      <c r="BJ44" s="3" t="str">
        <f>IFERROR(__xludf.DUMMYFUNCTION("GoogleTranslate(C44, ""en"", ""tr"")"),"Düşük")</f>
        <v>Düşük</v>
      </c>
      <c r="BK44" s="3" t="str">
        <f>IFERROR(__xludf.DUMMYFUNCTION("GoogleTranslate(C44, ""en"", ""uk"")"),"Низький")</f>
        <v>Низький</v>
      </c>
      <c r="BL44" s="3" t="str">
        <f>IFERROR(__xludf.DUMMYFUNCTION("GoogleTranslate(C44, ""en"", ""zu"")"),"Phansi")</f>
        <v>Phansi</v>
      </c>
    </row>
    <row r="45">
      <c r="A45" s="1" t="str">
        <f t="shared" si="1"/>
        <v>High</v>
      </c>
      <c r="B45" s="4" t="s">
        <v>107</v>
      </c>
      <c r="C45" s="1" t="str">
        <f t="shared" si="2"/>
        <v>High</v>
      </c>
      <c r="D45" s="3" t="str">
        <f>IFERROR(__xludf.DUMMYFUNCTION("GoogleTranslate(C45, ""en"", ""es"")"),"Alto")</f>
        <v>Alto</v>
      </c>
      <c r="E45" s="3" t="str">
        <f>IFERROR(__xludf.DUMMYFUNCTION("GoogleTranslate(C45, ""en"", ""ar"")"),"عالي")</f>
        <v>عالي</v>
      </c>
      <c r="F45" s="3" t="str">
        <f>IFERROR(__xludf.DUMMYFUNCTION("GoogleTranslate(C45, ""en"", ""hy"")"),"Բարձր")</f>
        <v>Բարձր</v>
      </c>
      <c r="G45" s="3" t="str">
        <f>IFERROR(__xludf.DUMMYFUNCTION("GoogleTranslate(C45, ""en"", ""vi"")"),"Cao")</f>
        <v>Cao</v>
      </c>
      <c r="H45" s="3" t="str">
        <f>IFERROR(__xludf.DUMMYFUNCTION("GoogleTranslate(C45, ""en"", ""az"")"),"Yüksək")</f>
        <v>Yüksək</v>
      </c>
      <c r="I45" s="3" t="str">
        <f>IFERROR(__xludf.DUMMYFUNCTION("GoogleTranslate(C45, ""en"", ""eu"")"),"Alta")</f>
        <v>Alta</v>
      </c>
      <c r="J45" s="3" t="str">
        <f>IFERROR(__xludf.DUMMYFUNCTION("GoogleTranslate(C45, ""en"", ""be"")"),"Высокі")</f>
        <v>Высокі</v>
      </c>
      <c r="K45" s="3" t="str">
        <f>IFERROR(__xludf.DUMMYFUNCTION("GoogleTranslate(C45, ""en"", ""bn"")"),"উচ্চ")</f>
        <v>উচ্চ</v>
      </c>
      <c r="L45" s="3" t="str">
        <f>IFERROR(__xludf.DUMMYFUNCTION("GoogleTranslate(C45, ""en"", ""bg"")"),"високо")</f>
        <v>високо</v>
      </c>
      <c r="M45" s="3" t="str">
        <f>IFERROR(__xludf.DUMMYFUNCTION("GoogleTranslate(C45, ""en"", ""my"")"),"မြင့်သည်။")</f>
        <v>မြင့်သည်။</v>
      </c>
      <c r="N45" s="3" t="str">
        <f>IFERROR(__xludf.DUMMYFUNCTION("GoogleTranslate(C45, ""en"", ""ca"")"),"Alt")</f>
        <v>Alt</v>
      </c>
      <c r="O45" s="3" t="str">
        <f>IFERROR(__xludf.DUMMYFUNCTION("GoogleTranslate(C45, ""en"", ""zh-cn"")"),"高的")</f>
        <v>高的</v>
      </c>
      <c r="P45" s="3" t="str">
        <f>IFERROR(__xludf.DUMMYFUNCTION("GoogleTranslate(C45, ""en"", ""zh-TW"")"),"高的")</f>
        <v>高的</v>
      </c>
      <c r="Q45" s="3" t="str">
        <f>IFERROR(__xludf.DUMMYFUNCTION("GoogleTranslate(C45, ""en"", ""hr"")"),"visoko")</f>
        <v>visoko</v>
      </c>
      <c r="R45" s="3" t="str">
        <f>IFERROR(__xludf.DUMMYFUNCTION("GoogleTranslate(C45, ""en"", ""cs"")"),"Vysoký")</f>
        <v>Vysoký</v>
      </c>
      <c r="S45" s="3" t="str">
        <f>IFERROR(__xludf.DUMMYFUNCTION("GoogleTranslate(C45, ""en"", ""da"")"),"Høj")</f>
        <v>Høj</v>
      </c>
      <c r="T45" s="3" t="str">
        <f>IFERROR(__xludf.DUMMYFUNCTION("GoogleTranslate(C45, ""en"", ""nl"")"),"Hoog")</f>
        <v>Hoog</v>
      </c>
      <c r="U45" s="3" t="str">
        <f>IFERROR(__xludf.DUMMYFUNCTION("GoogleTranslate(C45, ""en"", ""et"")"),"Kõrge")</f>
        <v>Kõrge</v>
      </c>
      <c r="V45" s="1" t="str">
        <f t="shared" si="3"/>
        <v>High</v>
      </c>
      <c r="W45" s="3" t="str">
        <f>IFERROR(__xludf.DUMMYFUNCTION("GoogleTranslate(C45, ""en"", ""fi"")"),"Korkea")</f>
        <v>Korkea</v>
      </c>
      <c r="X45" s="3" t="str">
        <f>IFERROR(__xludf.DUMMYFUNCTION("GoogleTranslate(C45, ""en"", ""fr"")"),"Haut")</f>
        <v>Haut</v>
      </c>
      <c r="Y45" s="3" t="str">
        <f>IFERROR(__xludf.DUMMYFUNCTION("GoogleTranslate(C45, ""en"", ""de"")"),"Hoch")</f>
        <v>Hoch</v>
      </c>
      <c r="Z45" s="3" t="str">
        <f>IFERROR(__xludf.DUMMYFUNCTION("GoogleTranslate(C45, ""en"", ""el"")"),"Ψηλά")</f>
        <v>Ψηλά</v>
      </c>
      <c r="AA45" s="3" t="str">
        <f>IFERROR(__xludf.DUMMYFUNCTION("GoogleTranslate(C45, ""en"", ""iw"")"),"גָבוֹהַ")</f>
        <v>גָבוֹהַ</v>
      </c>
      <c r="AB45" s="3" t="str">
        <f>IFERROR(__xludf.DUMMYFUNCTION("GoogleTranslate(C45, ""en"", ""hi"")"),"उच्च")</f>
        <v>उच्च</v>
      </c>
      <c r="AC45" s="3" t="str">
        <f>IFERROR(__xludf.DUMMYFUNCTION("GoogleTranslate(C45, ""en"", ""hu"")"),"Magas")</f>
        <v>Magas</v>
      </c>
      <c r="AD45" s="3" t="str">
        <f>IFERROR(__xludf.DUMMYFUNCTION("GoogleTranslate(C45, ""en"", ""is"")"),"Hátt")</f>
        <v>Hátt</v>
      </c>
      <c r="AE45" s="3" t="str">
        <f>IFERROR(__xludf.DUMMYFUNCTION("GoogleTranslate(C45, ""en"", ""id"")"),"Tinggi")</f>
        <v>Tinggi</v>
      </c>
      <c r="AF45" s="3" t="str">
        <f>IFERROR(__xludf.DUMMYFUNCTION("GoogleTranslate(C45, ""en"", ""in"")"),"Tinggi")</f>
        <v>Tinggi</v>
      </c>
      <c r="AG45" s="3" t="str">
        <f>IFERROR(__xludf.DUMMYFUNCTION("GoogleTranslate(C45, ""en"", ""it"")"),"Alto")</f>
        <v>Alto</v>
      </c>
      <c r="AH45" s="3" t="str">
        <f>IFERROR(__xludf.DUMMYFUNCTION("GoogleTranslate(C45, ""en"", ""ja"")"),"高い")</f>
        <v>高い</v>
      </c>
      <c r="AI45" s="3" t="str">
        <f>IFERROR(__xludf.DUMMYFUNCTION("GoogleTranslate(C45, ""en"", ""kn"")"),"ಹೆಚ್ಚು")</f>
        <v>ಹೆಚ್ಚು</v>
      </c>
      <c r="AJ45" s="3" t="str">
        <f>IFERROR(__xludf.DUMMYFUNCTION("GoogleTranslate(C45, ""en"", ""km"")"),"ខ្ពស់។")</f>
        <v>ខ្ពស់។</v>
      </c>
      <c r="AK45" s="3" t="str">
        <f>IFERROR(__xludf.DUMMYFUNCTION("GoogleTranslate(C45, ""en"", ""ko"")"),"높은")</f>
        <v>높은</v>
      </c>
      <c r="AL45" s="3" t="str">
        <f>IFERROR(__xludf.DUMMYFUNCTION("GoogleTranslate(C45, ""en"", ""lo"")"),"ສູງ")</f>
        <v>ສູງ</v>
      </c>
      <c r="AM45" s="3" t="str">
        <f>IFERROR(__xludf.DUMMYFUNCTION("GoogleTranslate(C45, ""en"", ""lv"")"),"Augsts")</f>
        <v>Augsts</v>
      </c>
      <c r="AN45" s="3" t="str">
        <f>IFERROR(__xludf.DUMMYFUNCTION("GoogleTranslate(C45, ""en"", ""lt"")"),"Aukštas")</f>
        <v>Aukštas</v>
      </c>
      <c r="AO45" s="3" t="str">
        <f>IFERROR(__xludf.DUMMYFUNCTION("GoogleTranslate(C45, ""en"", ""mk"")"),"Високо")</f>
        <v>Високо</v>
      </c>
      <c r="AP45" s="3" t="str">
        <f>IFERROR(__xludf.DUMMYFUNCTION("GoogleTranslate(C45, ""en"", ""ms"")"),"tinggi")</f>
        <v>tinggi</v>
      </c>
      <c r="AQ45" s="3" t="str">
        <f>IFERROR(__xludf.DUMMYFUNCTION("GoogleTranslate(C45, ""en"", ""ml"")"),"ഉയർന്നത്")</f>
        <v>ഉയർന്നത്</v>
      </c>
      <c r="AR45" s="3" t="str">
        <f>IFERROR(__xludf.DUMMYFUNCTION("GoogleTranslate(C45, ""en"", ""mr"")"),"उच्च")</f>
        <v>उच्च</v>
      </c>
      <c r="AS45" s="3" t="str">
        <f>IFERROR(__xludf.DUMMYFUNCTION("GoogleTranslate(C45, ""en"", ""mn"")"),"Өндөр")</f>
        <v>Өндөр</v>
      </c>
      <c r="AT45" s="3" t="str">
        <f>IFERROR(__xludf.DUMMYFUNCTION("GoogleTranslate(C45, ""en"", ""ne"")"),"उच्च")</f>
        <v>उच्च</v>
      </c>
      <c r="AU45" s="3" t="str">
        <f>IFERROR(__xludf.DUMMYFUNCTION("GoogleTranslate(C45, ""en"", ""nb"")"),"Høy")</f>
        <v>Høy</v>
      </c>
      <c r="AV45" s="3" t="str">
        <f>IFERROR(__xludf.DUMMYFUNCTION("GoogleTranslate(C45, ""en"", ""fa"")"),"بالا")</f>
        <v>بالا</v>
      </c>
      <c r="AW45" s="3" t="str">
        <f>IFERROR(__xludf.DUMMYFUNCTION("GoogleTranslate(C45, ""en"", ""pl"")"),"Wysoki")</f>
        <v>Wysoki</v>
      </c>
      <c r="AX45" s="3" t="str">
        <f>IFERROR(__xludf.DUMMYFUNCTION("GoogleTranslate(C45, ""en"", ""pt"")"),"Alto")</f>
        <v>Alto</v>
      </c>
      <c r="AY45" s="3" t="str">
        <f>IFERROR(__xludf.DUMMYFUNCTION("GoogleTranslate(C45, ""en"", ""ro"")"),"Ridicat")</f>
        <v>Ridicat</v>
      </c>
      <c r="AZ45" s="3" t="str">
        <f>IFERROR(__xludf.DUMMYFUNCTION("GoogleTranslate(C45, ""en"", ""ru"")"),"Высокий")</f>
        <v>Высокий</v>
      </c>
      <c r="BA45" s="3" t="str">
        <f>IFERROR(__xludf.DUMMYFUNCTION("GoogleTranslate(C45, ""en"", ""sr"")"),"Високо")</f>
        <v>Високо</v>
      </c>
      <c r="BB45" s="3" t="str">
        <f>IFERROR(__xludf.DUMMYFUNCTION("GoogleTranslate(C45, ""en"", ""si"")"),"ඉහළ")</f>
        <v>ඉහළ</v>
      </c>
      <c r="BC45" s="3" t="str">
        <f>IFERROR(__xludf.DUMMYFUNCTION("GoogleTranslate(C45, ""en"", ""sk"")"),"Vysoká")</f>
        <v>Vysoká</v>
      </c>
      <c r="BD45" s="3" t="str">
        <f>IFERROR(__xludf.DUMMYFUNCTION("GoogleTranslate(C45, ""en"", ""sl"")"),"visoko")</f>
        <v>visoko</v>
      </c>
      <c r="BE45" s="3" t="str">
        <f>IFERROR(__xludf.DUMMYFUNCTION("GoogleTranslate(C45, ""en"", ""es"")"),"Alto")</f>
        <v>Alto</v>
      </c>
      <c r="BF45" s="3" t="str">
        <f>IFERROR(__xludf.DUMMYFUNCTION("GoogleTranslate(C45, ""en"", ""sw"")"),"Juu")</f>
        <v>Juu</v>
      </c>
      <c r="BG45" s="3" t="str">
        <f>IFERROR(__xludf.DUMMYFUNCTION("GoogleTranslate(C45, ""en"", ""sv"")"),"Hög")</f>
        <v>Hög</v>
      </c>
      <c r="BH45" s="3" t="str">
        <f>IFERROR(__xludf.DUMMYFUNCTION("GoogleTranslate(C45, ""en"", ""te"")"),"అధిక")</f>
        <v>అధిక</v>
      </c>
      <c r="BI45" s="3" t="str">
        <f>IFERROR(__xludf.DUMMYFUNCTION("GoogleTranslate(C45, ""en"", ""th"")"),"สูง")</f>
        <v>สูง</v>
      </c>
      <c r="BJ45" s="3" t="str">
        <f>IFERROR(__xludf.DUMMYFUNCTION("GoogleTranslate(C45, ""en"", ""tr"")"),"Yüksek")</f>
        <v>Yüksek</v>
      </c>
      <c r="BK45" s="3" t="str">
        <f>IFERROR(__xludf.DUMMYFUNCTION("GoogleTranslate(C45, ""en"", ""uk"")"),"Високий")</f>
        <v>Високий</v>
      </c>
      <c r="BL45" s="3" t="str">
        <f>IFERROR(__xludf.DUMMYFUNCTION("GoogleTranslate(C45, ""en"", ""zu"")"),"Phezulu")</f>
        <v>Phezulu</v>
      </c>
    </row>
    <row r="46">
      <c r="A46" s="1" t="str">
        <f t="shared" si="1"/>
        <v>Humidity</v>
      </c>
      <c r="B46" s="4" t="s">
        <v>108</v>
      </c>
      <c r="C46" s="1" t="str">
        <f t="shared" si="2"/>
        <v>Humidity</v>
      </c>
      <c r="D46" s="3" t="str">
        <f>IFERROR(__xludf.DUMMYFUNCTION("GoogleTranslate(C46, ""en"", ""es"")"),"Humedad")</f>
        <v>Humedad</v>
      </c>
      <c r="E46" s="3" t="str">
        <f>IFERROR(__xludf.DUMMYFUNCTION("GoogleTranslate(C46, ""en"", ""ar"")"),"رطوبة")</f>
        <v>رطوبة</v>
      </c>
      <c r="F46" s="3" t="str">
        <f>IFERROR(__xludf.DUMMYFUNCTION("GoogleTranslate(C46, ""en"", ""hy"")"),"Խոնավություն")</f>
        <v>Խոնավություն</v>
      </c>
      <c r="G46" s="3" t="str">
        <f>IFERROR(__xludf.DUMMYFUNCTION("GoogleTranslate(C46, ""en"", ""vi"")"),"Độ ẩm")</f>
        <v>Độ ẩm</v>
      </c>
      <c r="H46" s="3" t="str">
        <f>IFERROR(__xludf.DUMMYFUNCTION("GoogleTranslate(C46, ""en"", ""az"")"),"Rütubət")</f>
        <v>Rütubət</v>
      </c>
      <c r="I46" s="3" t="str">
        <f>IFERROR(__xludf.DUMMYFUNCTION("GoogleTranslate(C46, ""en"", ""eu"")"),"Hezetasuna")</f>
        <v>Hezetasuna</v>
      </c>
      <c r="J46" s="3" t="str">
        <f>IFERROR(__xludf.DUMMYFUNCTION("GoogleTranslate(C46, ""en"", ""be"")"),"Вільготнасць")</f>
        <v>Вільготнасць</v>
      </c>
      <c r="K46" s="3" t="str">
        <f>IFERROR(__xludf.DUMMYFUNCTION("GoogleTranslate(C46, ""en"", ""bn"")"),"আর্দ্রতা")</f>
        <v>আর্দ্রতা</v>
      </c>
      <c r="L46" s="3" t="str">
        <f>IFERROR(__xludf.DUMMYFUNCTION("GoogleTranslate(C46, ""en"", ""bg"")"),"Влажност")</f>
        <v>Влажност</v>
      </c>
      <c r="M46" s="3" t="str">
        <f>IFERROR(__xludf.DUMMYFUNCTION("GoogleTranslate(C46, ""en"", ""my"")"),"စိုထိုင်းဆ")</f>
        <v>စိုထိုင်းဆ</v>
      </c>
      <c r="N46" s="3" t="str">
        <f>IFERROR(__xludf.DUMMYFUNCTION("GoogleTranslate(C46, ""en"", ""ca"")"),"Humitat")</f>
        <v>Humitat</v>
      </c>
      <c r="O46" s="3" t="str">
        <f>IFERROR(__xludf.DUMMYFUNCTION("GoogleTranslate(C46, ""en"", ""zh-cn"")"),"湿度")</f>
        <v>湿度</v>
      </c>
      <c r="P46" s="3" t="str">
        <f>IFERROR(__xludf.DUMMYFUNCTION("GoogleTranslate(C46, ""en"", ""zh-TW"")"),"濕度")</f>
        <v>濕度</v>
      </c>
      <c r="Q46" s="3" t="str">
        <f>IFERROR(__xludf.DUMMYFUNCTION("GoogleTranslate(C46, ""en"", ""hr"")"),"Vlažnost")</f>
        <v>Vlažnost</v>
      </c>
      <c r="R46" s="3" t="str">
        <f>IFERROR(__xludf.DUMMYFUNCTION("GoogleTranslate(C46, ""en"", ""cs"")"),"Vlhkost")</f>
        <v>Vlhkost</v>
      </c>
      <c r="S46" s="3" t="str">
        <f>IFERROR(__xludf.DUMMYFUNCTION("GoogleTranslate(C46, ""en"", ""da"")"),"Fugtighed")</f>
        <v>Fugtighed</v>
      </c>
      <c r="T46" s="3" t="str">
        <f>IFERROR(__xludf.DUMMYFUNCTION("GoogleTranslate(C46, ""en"", ""nl"")"),"Vochtigheid")</f>
        <v>Vochtigheid</v>
      </c>
      <c r="U46" s="3" t="str">
        <f>IFERROR(__xludf.DUMMYFUNCTION("GoogleTranslate(C46, ""en"", ""et"")"),"Niiskus")</f>
        <v>Niiskus</v>
      </c>
      <c r="V46" s="1" t="str">
        <f t="shared" si="3"/>
        <v>Humidity</v>
      </c>
      <c r="W46" s="3" t="str">
        <f>IFERROR(__xludf.DUMMYFUNCTION("GoogleTranslate(C46, ""en"", ""fi"")"),"Kosteus")</f>
        <v>Kosteus</v>
      </c>
      <c r="X46" s="3" t="str">
        <f>IFERROR(__xludf.DUMMYFUNCTION("GoogleTranslate(C46, ""en"", ""fr"")"),"Humidité")</f>
        <v>Humidité</v>
      </c>
      <c r="Y46" s="3" t="str">
        <f>IFERROR(__xludf.DUMMYFUNCTION("GoogleTranslate(C46, ""en"", ""de"")"),"Luftfeuchtigkeit")</f>
        <v>Luftfeuchtigkeit</v>
      </c>
      <c r="Z46" s="3" t="str">
        <f>IFERROR(__xludf.DUMMYFUNCTION("GoogleTranslate(C46, ""en"", ""el"")"),"Υγρασία")</f>
        <v>Υγρασία</v>
      </c>
      <c r="AA46" s="3" t="str">
        <f>IFERROR(__xludf.DUMMYFUNCTION("GoogleTranslate(C46, ""en"", ""iw"")"),"לַחוּת")</f>
        <v>לַחוּת</v>
      </c>
      <c r="AB46" s="3" t="str">
        <f>IFERROR(__xludf.DUMMYFUNCTION("GoogleTranslate(C46, ""en"", ""hi"")"),"नमी")</f>
        <v>नमी</v>
      </c>
      <c r="AC46" s="3" t="str">
        <f>IFERROR(__xludf.DUMMYFUNCTION("GoogleTranslate(C46, ""en"", ""hu"")"),"Nedvesség")</f>
        <v>Nedvesség</v>
      </c>
      <c r="AD46" s="3" t="str">
        <f>IFERROR(__xludf.DUMMYFUNCTION("GoogleTranslate(C46, ""en"", ""is"")"),"Raki")</f>
        <v>Raki</v>
      </c>
      <c r="AE46" s="3" t="str">
        <f>IFERROR(__xludf.DUMMYFUNCTION("GoogleTranslate(C46, ""en"", ""id"")"),"Kelembaban")</f>
        <v>Kelembaban</v>
      </c>
      <c r="AF46" s="3" t="str">
        <f>IFERROR(__xludf.DUMMYFUNCTION("GoogleTranslate(C46, ""en"", ""in"")"),"Kelembaban")</f>
        <v>Kelembaban</v>
      </c>
      <c r="AG46" s="3" t="str">
        <f>IFERROR(__xludf.DUMMYFUNCTION("GoogleTranslate(C46, ""en"", ""it"")"),"Umidità")</f>
        <v>Umidità</v>
      </c>
      <c r="AH46" s="3" t="str">
        <f>IFERROR(__xludf.DUMMYFUNCTION("GoogleTranslate(C46, ""en"", ""ja"")"),"湿度")</f>
        <v>湿度</v>
      </c>
      <c r="AI46" s="3" t="str">
        <f>IFERROR(__xludf.DUMMYFUNCTION("GoogleTranslate(C46, ""en"", ""kn"")"),"ಆರ್ದ್ರತೆ")</f>
        <v>ಆರ್ದ್ರತೆ</v>
      </c>
      <c r="AJ46" s="3" t="str">
        <f>IFERROR(__xludf.DUMMYFUNCTION("GoogleTranslate(C46, ""en"", ""km"")"),"សំណើម")</f>
        <v>សំណើម</v>
      </c>
      <c r="AK46" s="3" t="str">
        <f>IFERROR(__xludf.DUMMYFUNCTION("GoogleTranslate(C46, ""en"", ""ko"")"),"습기")</f>
        <v>습기</v>
      </c>
      <c r="AL46" s="3" t="str">
        <f>IFERROR(__xludf.DUMMYFUNCTION("GoogleTranslate(C46, ""en"", ""lo"")"),"ຄວາມຊຸ່ມຊື່ນ")</f>
        <v>ຄວາມຊຸ່ມຊື່ນ</v>
      </c>
      <c r="AM46" s="3" t="str">
        <f>IFERROR(__xludf.DUMMYFUNCTION("GoogleTranslate(C46, ""en"", ""lv"")"),"Mitrums")</f>
        <v>Mitrums</v>
      </c>
      <c r="AN46" s="3" t="str">
        <f>IFERROR(__xludf.DUMMYFUNCTION("GoogleTranslate(C46, ""en"", ""lt"")"),"Drėgmė")</f>
        <v>Drėgmė</v>
      </c>
      <c r="AO46" s="3" t="str">
        <f>IFERROR(__xludf.DUMMYFUNCTION("GoogleTranslate(C46, ""en"", ""mk"")"),"Влажност")</f>
        <v>Влажност</v>
      </c>
      <c r="AP46" s="3" t="str">
        <f>IFERROR(__xludf.DUMMYFUNCTION("GoogleTranslate(C46, ""en"", ""ms"")"),"Kelembapan")</f>
        <v>Kelembapan</v>
      </c>
      <c r="AQ46" s="3" t="str">
        <f>IFERROR(__xludf.DUMMYFUNCTION("GoogleTranslate(C46, ""en"", ""ml"")"),"ഈർപ്പം")</f>
        <v>ഈർപ്പം</v>
      </c>
      <c r="AR46" s="3" t="str">
        <f>IFERROR(__xludf.DUMMYFUNCTION("GoogleTranslate(C46, ""en"", ""mr"")"),"आर्द्रता")</f>
        <v>आर्द्रता</v>
      </c>
      <c r="AS46" s="3" t="str">
        <f>IFERROR(__xludf.DUMMYFUNCTION("GoogleTranslate(C46, ""en"", ""mn"")"),"Чийгшил")</f>
        <v>Чийгшил</v>
      </c>
      <c r="AT46" s="3" t="str">
        <f>IFERROR(__xludf.DUMMYFUNCTION("GoogleTranslate(C46, ""en"", ""ne"")"),"आर्द्रता")</f>
        <v>आर्द्रता</v>
      </c>
      <c r="AU46" s="3" t="str">
        <f>IFERROR(__xludf.DUMMYFUNCTION("GoogleTranslate(C46, ""en"", ""nb"")"),"Fuktighet")</f>
        <v>Fuktighet</v>
      </c>
      <c r="AV46" s="3" t="str">
        <f>IFERROR(__xludf.DUMMYFUNCTION("GoogleTranslate(C46, ""en"", ""fa"")"),"رطوبت")</f>
        <v>رطوبت</v>
      </c>
      <c r="AW46" s="3" t="str">
        <f>IFERROR(__xludf.DUMMYFUNCTION("GoogleTranslate(C46, ""en"", ""pl"")"),"Wilgotność")</f>
        <v>Wilgotność</v>
      </c>
      <c r="AX46" s="3" t="str">
        <f>IFERROR(__xludf.DUMMYFUNCTION("GoogleTranslate(C46, ""en"", ""pt"")"),"Umidade")</f>
        <v>Umidade</v>
      </c>
      <c r="AY46" s="3" t="str">
        <f>IFERROR(__xludf.DUMMYFUNCTION("GoogleTranslate(C46, ""en"", ""ro"")"),"Umiditate")</f>
        <v>Umiditate</v>
      </c>
      <c r="AZ46" s="3" t="str">
        <f>IFERROR(__xludf.DUMMYFUNCTION("GoogleTranslate(C46, ""en"", ""ru"")"),"Влажность")</f>
        <v>Влажность</v>
      </c>
      <c r="BA46" s="3" t="str">
        <f>IFERROR(__xludf.DUMMYFUNCTION("GoogleTranslate(C46, ""en"", ""sr"")"),"Влажност")</f>
        <v>Влажност</v>
      </c>
      <c r="BB46" s="3" t="str">
        <f>IFERROR(__xludf.DUMMYFUNCTION("GoogleTranslate(C46, ""en"", ""si"")"),"ආර්ද්රතාවය")</f>
        <v>ආර්ද්රතාවය</v>
      </c>
      <c r="BC46" s="3" t="str">
        <f>IFERROR(__xludf.DUMMYFUNCTION("GoogleTranslate(C46, ""en"", ""sk"")"),"Vlhkosť")</f>
        <v>Vlhkosť</v>
      </c>
      <c r="BD46" s="3" t="str">
        <f>IFERROR(__xludf.DUMMYFUNCTION("GoogleTranslate(C46, ""en"", ""sl"")"),"Vlažnost")</f>
        <v>Vlažnost</v>
      </c>
      <c r="BE46" s="3" t="str">
        <f>IFERROR(__xludf.DUMMYFUNCTION("GoogleTranslate(C46, ""en"", ""es"")"),"Humedad")</f>
        <v>Humedad</v>
      </c>
      <c r="BF46" s="3" t="str">
        <f>IFERROR(__xludf.DUMMYFUNCTION("GoogleTranslate(C46, ""en"", ""sw"")"),"Unyevu")</f>
        <v>Unyevu</v>
      </c>
      <c r="BG46" s="3" t="str">
        <f>IFERROR(__xludf.DUMMYFUNCTION("GoogleTranslate(C46, ""en"", ""sv"")"),"Fuktighet")</f>
        <v>Fuktighet</v>
      </c>
      <c r="BH46" s="3" t="str">
        <f>IFERROR(__xludf.DUMMYFUNCTION("GoogleTranslate(C46, ""en"", ""te"")"),"తేమ")</f>
        <v>తేమ</v>
      </c>
      <c r="BI46" s="3" t="str">
        <f>IFERROR(__xludf.DUMMYFUNCTION("GoogleTranslate(C46, ""en"", ""th"")"),"ความชื้น")</f>
        <v>ความชื้น</v>
      </c>
      <c r="BJ46" s="3" t="str">
        <f>IFERROR(__xludf.DUMMYFUNCTION("GoogleTranslate(C46, ""en"", ""tr"")"),"Nem")</f>
        <v>Nem</v>
      </c>
      <c r="BK46" s="3" t="str">
        <f>IFERROR(__xludf.DUMMYFUNCTION("GoogleTranslate(C46, ""en"", ""uk"")"),"Вологість")</f>
        <v>Вологість</v>
      </c>
      <c r="BL46" s="3" t="str">
        <f>IFERROR(__xludf.DUMMYFUNCTION("GoogleTranslate(C46, ""en"", ""zu"")"),"Umswakama")</f>
        <v>Umswakama</v>
      </c>
    </row>
    <row r="47">
      <c r="A47" s="1" t="str">
        <f t="shared" si="1"/>
        <v>Pressure</v>
      </c>
      <c r="B47" s="4" t="s">
        <v>109</v>
      </c>
      <c r="C47" s="1" t="str">
        <f t="shared" si="2"/>
        <v>Pressure</v>
      </c>
      <c r="D47" s="3" t="str">
        <f>IFERROR(__xludf.DUMMYFUNCTION("GoogleTranslate(C47, ""en"", ""es"")"),"Presión")</f>
        <v>Presión</v>
      </c>
      <c r="E47" s="3" t="str">
        <f>IFERROR(__xludf.DUMMYFUNCTION("GoogleTranslate(C47, ""en"", ""ar"")"),"ضغط")</f>
        <v>ضغط</v>
      </c>
      <c r="F47" s="3" t="str">
        <f>IFERROR(__xludf.DUMMYFUNCTION("GoogleTranslate(C47, ""en"", ""hy"")"),"Ճնշում")</f>
        <v>Ճնշում</v>
      </c>
      <c r="G47" s="3" t="str">
        <f>IFERROR(__xludf.DUMMYFUNCTION("GoogleTranslate(C47, ""en"", ""vi"")"),"Áp lực")</f>
        <v>Áp lực</v>
      </c>
      <c r="H47" s="3" t="str">
        <f>IFERROR(__xludf.DUMMYFUNCTION("GoogleTranslate(C47, ""en"", ""az"")"),"Təzyiq")</f>
        <v>Təzyiq</v>
      </c>
      <c r="I47" s="3" t="str">
        <f>IFERROR(__xludf.DUMMYFUNCTION("GoogleTranslate(C47, ""en"", ""eu"")"),"Presioa")</f>
        <v>Presioa</v>
      </c>
      <c r="J47" s="3" t="str">
        <f>IFERROR(__xludf.DUMMYFUNCTION("GoogleTranslate(C47, ""en"", ""be"")"),"Ціск")</f>
        <v>Ціск</v>
      </c>
      <c r="K47" s="3" t="str">
        <f>IFERROR(__xludf.DUMMYFUNCTION("GoogleTranslate(C47, ""en"", ""bn"")"),"চাপ")</f>
        <v>চাপ</v>
      </c>
      <c r="L47" s="3" t="str">
        <f>IFERROR(__xludf.DUMMYFUNCTION("GoogleTranslate(C47, ""en"", ""bg"")"),"налягане")</f>
        <v>налягане</v>
      </c>
      <c r="M47" s="3" t="str">
        <f>IFERROR(__xludf.DUMMYFUNCTION("GoogleTranslate(C47, ""en"", ""my"")"),"ဖိအား")</f>
        <v>ဖိအား</v>
      </c>
      <c r="N47" s="3" t="str">
        <f>IFERROR(__xludf.DUMMYFUNCTION("GoogleTranslate(C47, ""en"", ""ca"")"),"Pressió")</f>
        <v>Pressió</v>
      </c>
      <c r="O47" s="3" t="str">
        <f>IFERROR(__xludf.DUMMYFUNCTION("GoogleTranslate(C47, ""en"", ""zh-cn"")"),"压力")</f>
        <v>压力</v>
      </c>
      <c r="P47" s="3" t="str">
        <f>IFERROR(__xludf.DUMMYFUNCTION("GoogleTranslate(C47, ""en"", ""zh-TW"")"),"壓力")</f>
        <v>壓力</v>
      </c>
      <c r="Q47" s="3" t="str">
        <f>IFERROR(__xludf.DUMMYFUNCTION("GoogleTranslate(C47, ""en"", ""hr"")"),"Pritisak")</f>
        <v>Pritisak</v>
      </c>
      <c r="R47" s="3" t="str">
        <f>IFERROR(__xludf.DUMMYFUNCTION("GoogleTranslate(C47, ""en"", ""cs"")"),"Tlak")</f>
        <v>Tlak</v>
      </c>
      <c r="S47" s="3" t="str">
        <f>IFERROR(__xludf.DUMMYFUNCTION("GoogleTranslate(C47, ""en"", ""da"")"),"Tryk")</f>
        <v>Tryk</v>
      </c>
      <c r="T47" s="3" t="str">
        <f>IFERROR(__xludf.DUMMYFUNCTION("GoogleTranslate(C47, ""en"", ""nl"")"),"Druk")</f>
        <v>Druk</v>
      </c>
      <c r="U47" s="3" t="str">
        <f>IFERROR(__xludf.DUMMYFUNCTION("GoogleTranslate(C47, ""en"", ""et"")"),"Surve")</f>
        <v>Surve</v>
      </c>
      <c r="V47" s="1" t="str">
        <f t="shared" si="3"/>
        <v>Pressure</v>
      </c>
      <c r="W47" s="3" t="str">
        <f>IFERROR(__xludf.DUMMYFUNCTION("GoogleTranslate(C47, ""en"", ""fi"")"),"Paine")</f>
        <v>Paine</v>
      </c>
      <c r="X47" s="3" t="str">
        <f>IFERROR(__xludf.DUMMYFUNCTION("GoogleTranslate(C47, ""en"", ""fr"")"),"Pression")</f>
        <v>Pression</v>
      </c>
      <c r="Y47" s="3" t="str">
        <f>IFERROR(__xludf.DUMMYFUNCTION("GoogleTranslate(C47, ""en"", ""de"")"),"Druck")</f>
        <v>Druck</v>
      </c>
      <c r="Z47" s="3" t="str">
        <f>IFERROR(__xludf.DUMMYFUNCTION("GoogleTranslate(C47, ""en"", ""el"")"),"Πίεση")</f>
        <v>Πίεση</v>
      </c>
      <c r="AA47" s="3" t="str">
        <f>IFERROR(__xludf.DUMMYFUNCTION("GoogleTranslate(C47, ""en"", ""iw"")"),"לַחַץ")</f>
        <v>לַחַץ</v>
      </c>
      <c r="AB47" s="3" t="str">
        <f>IFERROR(__xludf.DUMMYFUNCTION("GoogleTranslate(C47, ""en"", ""hi"")"),"दबाव")</f>
        <v>दबाव</v>
      </c>
      <c r="AC47" s="3" t="str">
        <f>IFERROR(__xludf.DUMMYFUNCTION("GoogleTranslate(C47, ""en"", ""hu"")"),"Nyomás")</f>
        <v>Nyomás</v>
      </c>
      <c r="AD47" s="3" t="str">
        <f>IFERROR(__xludf.DUMMYFUNCTION("GoogleTranslate(C47, ""en"", ""is"")"),"Þrýstingur")</f>
        <v>Þrýstingur</v>
      </c>
      <c r="AE47" s="3" t="str">
        <f>IFERROR(__xludf.DUMMYFUNCTION("GoogleTranslate(C47, ""en"", ""id"")"),"Tekanan")</f>
        <v>Tekanan</v>
      </c>
      <c r="AF47" s="3" t="str">
        <f>IFERROR(__xludf.DUMMYFUNCTION("GoogleTranslate(C47, ""en"", ""in"")"),"Tekanan")</f>
        <v>Tekanan</v>
      </c>
      <c r="AG47" s="3" t="str">
        <f>IFERROR(__xludf.DUMMYFUNCTION("GoogleTranslate(C47, ""en"", ""it"")"),"Pressione")</f>
        <v>Pressione</v>
      </c>
      <c r="AH47" s="3" t="str">
        <f>IFERROR(__xludf.DUMMYFUNCTION("GoogleTranslate(C47, ""en"", ""ja"")"),"プレッシャー")</f>
        <v>プレッシャー</v>
      </c>
      <c r="AI47" s="3" t="str">
        <f>IFERROR(__xludf.DUMMYFUNCTION("GoogleTranslate(C47, ""en"", ""kn"")"),"ಒತ್ತಡ")</f>
        <v>ಒತ್ತಡ</v>
      </c>
      <c r="AJ47" s="3" t="str">
        <f>IFERROR(__xludf.DUMMYFUNCTION("GoogleTranslate(C47, ""en"", ""km"")"),"សម្ពាធ")</f>
        <v>សម្ពាធ</v>
      </c>
      <c r="AK47" s="3" t="str">
        <f>IFERROR(__xludf.DUMMYFUNCTION("GoogleTranslate(C47, ""en"", ""ko"")"),"압력")</f>
        <v>압력</v>
      </c>
      <c r="AL47" s="3" t="str">
        <f>IFERROR(__xludf.DUMMYFUNCTION("GoogleTranslate(C47, ""en"", ""lo"")"),"ຄວາມກົດດັນ")</f>
        <v>ຄວາມກົດດັນ</v>
      </c>
      <c r="AM47" s="3" t="str">
        <f>IFERROR(__xludf.DUMMYFUNCTION("GoogleTranslate(C47, ""en"", ""lv"")"),"Spiediens")</f>
        <v>Spiediens</v>
      </c>
      <c r="AN47" s="3" t="str">
        <f>IFERROR(__xludf.DUMMYFUNCTION("GoogleTranslate(C47, ""en"", ""lt"")"),"Slėgis")</f>
        <v>Slėgis</v>
      </c>
      <c r="AO47" s="3" t="str">
        <f>IFERROR(__xludf.DUMMYFUNCTION("GoogleTranslate(C47, ""en"", ""mk"")"),"Притисок")</f>
        <v>Притисок</v>
      </c>
      <c r="AP47" s="3" t="str">
        <f>IFERROR(__xludf.DUMMYFUNCTION("GoogleTranslate(C47, ""en"", ""ms"")"),"Tekanan")</f>
        <v>Tekanan</v>
      </c>
      <c r="AQ47" s="3" t="str">
        <f>IFERROR(__xludf.DUMMYFUNCTION("GoogleTranslate(C47, ""en"", ""ml"")"),"സമ്മർദ്ദം")</f>
        <v>സമ്മർദ്ദം</v>
      </c>
      <c r="AR47" s="3" t="str">
        <f>IFERROR(__xludf.DUMMYFUNCTION("GoogleTranslate(C47, ""en"", ""mr"")"),"दाब")</f>
        <v>दाब</v>
      </c>
      <c r="AS47" s="3" t="str">
        <f>IFERROR(__xludf.DUMMYFUNCTION("GoogleTranslate(C47, ""en"", ""mn"")"),"Даралт")</f>
        <v>Даралт</v>
      </c>
      <c r="AT47" s="3" t="str">
        <f>IFERROR(__xludf.DUMMYFUNCTION("GoogleTranslate(C47, ""en"", ""ne"")"),"दबाब")</f>
        <v>दबाब</v>
      </c>
      <c r="AU47" s="3" t="str">
        <f>IFERROR(__xludf.DUMMYFUNCTION("GoogleTranslate(C47, ""en"", ""nb"")"),"Trykk")</f>
        <v>Trykk</v>
      </c>
      <c r="AV47" s="3" t="str">
        <f>IFERROR(__xludf.DUMMYFUNCTION("GoogleTranslate(C47, ""en"", ""fa"")"),"فشار")</f>
        <v>فشار</v>
      </c>
      <c r="AW47" s="3" t="str">
        <f>IFERROR(__xludf.DUMMYFUNCTION("GoogleTranslate(C47, ""en"", ""pl"")"),"Ciśnienie")</f>
        <v>Ciśnienie</v>
      </c>
      <c r="AX47" s="3" t="str">
        <f>IFERROR(__xludf.DUMMYFUNCTION("GoogleTranslate(C47, ""en"", ""pt"")"),"Pressão")</f>
        <v>Pressão</v>
      </c>
      <c r="AY47" s="3" t="str">
        <f>IFERROR(__xludf.DUMMYFUNCTION("GoogleTranslate(C47, ""en"", ""ro"")"),"Presiune")</f>
        <v>Presiune</v>
      </c>
      <c r="AZ47" s="3" t="str">
        <f>IFERROR(__xludf.DUMMYFUNCTION("GoogleTranslate(C47, ""en"", ""ru"")"),"Давление")</f>
        <v>Давление</v>
      </c>
      <c r="BA47" s="3" t="str">
        <f>IFERROR(__xludf.DUMMYFUNCTION("GoogleTranslate(C47, ""en"", ""sr"")"),"Притисак")</f>
        <v>Притисак</v>
      </c>
      <c r="BB47" s="3" t="str">
        <f>IFERROR(__xludf.DUMMYFUNCTION("GoogleTranslate(C47, ""en"", ""si"")"),"පීඩනය")</f>
        <v>පීඩනය</v>
      </c>
      <c r="BC47" s="3" t="str">
        <f>IFERROR(__xludf.DUMMYFUNCTION("GoogleTranslate(C47, ""en"", ""sk"")"),"Tlak")</f>
        <v>Tlak</v>
      </c>
      <c r="BD47" s="3" t="str">
        <f>IFERROR(__xludf.DUMMYFUNCTION("GoogleTranslate(C47, ""en"", ""sl"")"),"Pritisk")</f>
        <v>Pritisk</v>
      </c>
      <c r="BE47" s="3" t="str">
        <f>IFERROR(__xludf.DUMMYFUNCTION("GoogleTranslate(C47, ""en"", ""es"")"),"Presión")</f>
        <v>Presión</v>
      </c>
      <c r="BF47" s="3" t="str">
        <f>IFERROR(__xludf.DUMMYFUNCTION("GoogleTranslate(C47, ""en"", ""sw"")"),"Shinikizo")</f>
        <v>Shinikizo</v>
      </c>
      <c r="BG47" s="3" t="str">
        <f>IFERROR(__xludf.DUMMYFUNCTION("GoogleTranslate(C47, ""en"", ""sv"")"),"Tryck")</f>
        <v>Tryck</v>
      </c>
      <c r="BH47" s="3" t="str">
        <f>IFERROR(__xludf.DUMMYFUNCTION("GoogleTranslate(C47, ""en"", ""te"")"),"ఒత్తిడి")</f>
        <v>ఒత్తిడి</v>
      </c>
      <c r="BI47" s="3" t="str">
        <f>IFERROR(__xludf.DUMMYFUNCTION("GoogleTranslate(C47, ""en"", ""th"")"),"ความดัน")</f>
        <v>ความดัน</v>
      </c>
      <c r="BJ47" s="3" t="str">
        <f>IFERROR(__xludf.DUMMYFUNCTION("GoogleTranslate(C47, ""en"", ""tr"")"),"Basınç")</f>
        <v>Basınç</v>
      </c>
      <c r="BK47" s="3" t="str">
        <f>IFERROR(__xludf.DUMMYFUNCTION("GoogleTranslate(C47, ""en"", ""uk"")"),"Тиск")</f>
        <v>Тиск</v>
      </c>
      <c r="BL47" s="3" t="str">
        <f>IFERROR(__xludf.DUMMYFUNCTION("GoogleTranslate(C47, ""en"", ""zu"")"),"Ingcindezi")</f>
        <v>Ingcindezi</v>
      </c>
    </row>
    <row r="48">
      <c r="A48" s="1" t="str">
        <f t="shared" si="1"/>
        <v>Sunrise</v>
      </c>
      <c r="B48" s="4" t="s">
        <v>110</v>
      </c>
      <c r="C48" s="1" t="str">
        <f t="shared" si="2"/>
        <v>Sunrise</v>
      </c>
      <c r="D48" s="3" t="str">
        <f>IFERROR(__xludf.DUMMYFUNCTION("GoogleTranslate(C48, ""en"", ""es"")"),"Amanecer")</f>
        <v>Amanecer</v>
      </c>
      <c r="E48" s="3" t="str">
        <f>IFERROR(__xludf.DUMMYFUNCTION("GoogleTranslate(C48, ""en"", ""ar"")"),"شروق الشمس")</f>
        <v>شروق الشمس</v>
      </c>
      <c r="F48" s="3" t="str">
        <f>IFERROR(__xludf.DUMMYFUNCTION("GoogleTranslate(C48, ""en"", ""hy"")"),"Արեւածագ")</f>
        <v>Արեւածագ</v>
      </c>
      <c r="G48" s="3" t="str">
        <f>IFERROR(__xludf.DUMMYFUNCTION("GoogleTranslate(C48, ""en"", ""vi"")"),"Bình minh")</f>
        <v>Bình minh</v>
      </c>
      <c r="H48" s="3" t="str">
        <f>IFERROR(__xludf.DUMMYFUNCTION("GoogleTranslate(C48, ""en"", ""az"")"),"Günəşin doğuşu")</f>
        <v>Günəşin doğuşu</v>
      </c>
      <c r="I48" s="3" t="str">
        <f>IFERROR(__xludf.DUMMYFUNCTION("GoogleTranslate(C48, ""en"", ""eu"")"),"Egunsentia")</f>
        <v>Egunsentia</v>
      </c>
      <c r="J48" s="3" t="str">
        <f>IFERROR(__xludf.DUMMYFUNCTION("GoogleTranslate(C48, ""en"", ""be"")"),"Усход сонца")</f>
        <v>Усход сонца</v>
      </c>
      <c r="K48" s="3" t="str">
        <f>IFERROR(__xludf.DUMMYFUNCTION("GoogleTranslate(C48, ""en"", ""bn"")"),"সূর্যোদয়")</f>
        <v>সূর্যোদয়</v>
      </c>
      <c r="L48" s="3" t="str">
        <f>IFERROR(__xludf.DUMMYFUNCTION("GoogleTranslate(C48, ""en"", ""bg"")"),"Изгрев")</f>
        <v>Изгрев</v>
      </c>
      <c r="M48" s="3" t="str">
        <f>IFERROR(__xludf.DUMMYFUNCTION("GoogleTranslate(C48, ""en"", ""my"")"),"နေထွက်")</f>
        <v>နေထွက်</v>
      </c>
      <c r="N48" s="3" t="str">
        <f>IFERROR(__xludf.DUMMYFUNCTION("GoogleTranslate(C48, ""en"", ""ca"")"),"Sortida del sol")</f>
        <v>Sortida del sol</v>
      </c>
      <c r="O48" s="3" t="str">
        <f>IFERROR(__xludf.DUMMYFUNCTION("GoogleTranslate(C48, ""en"", ""zh-cn"")"),"日出")</f>
        <v>日出</v>
      </c>
      <c r="P48" s="3" t="str">
        <f>IFERROR(__xludf.DUMMYFUNCTION("GoogleTranslate(C48, ""en"", ""zh-TW"")"),"日出")</f>
        <v>日出</v>
      </c>
      <c r="Q48" s="3" t="str">
        <f>IFERROR(__xludf.DUMMYFUNCTION("GoogleTranslate(C48, ""en"", ""hr"")"),"Izlazak sunca")</f>
        <v>Izlazak sunca</v>
      </c>
      <c r="R48" s="3" t="str">
        <f>IFERROR(__xludf.DUMMYFUNCTION("GoogleTranslate(C48, ""en"", ""cs"")"),"Východ slunce")</f>
        <v>Východ slunce</v>
      </c>
      <c r="S48" s="3" t="str">
        <f>IFERROR(__xludf.DUMMYFUNCTION("GoogleTranslate(C48, ""en"", ""da"")"),"Solopgang")</f>
        <v>Solopgang</v>
      </c>
      <c r="T48" s="3" t="str">
        <f>IFERROR(__xludf.DUMMYFUNCTION("GoogleTranslate(C48, ""en"", ""nl"")"),"Zonsopgang")</f>
        <v>Zonsopgang</v>
      </c>
      <c r="U48" s="3" t="str">
        <f>IFERROR(__xludf.DUMMYFUNCTION("GoogleTranslate(C48, ""en"", ""et"")"),"Päikesetõus")</f>
        <v>Päikesetõus</v>
      </c>
      <c r="V48" s="1" t="str">
        <f t="shared" si="3"/>
        <v>Sunrise</v>
      </c>
      <c r="W48" s="3" t="str">
        <f>IFERROR(__xludf.DUMMYFUNCTION("GoogleTranslate(C48, ""en"", ""fi"")"),"Auringonnousu")</f>
        <v>Auringonnousu</v>
      </c>
      <c r="X48" s="3" t="str">
        <f>IFERROR(__xludf.DUMMYFUNCTION("GoogleTranslate(C48, ""en"", ""fr"")"),"Lever du soleil")</f>
        <v>Lever du soleil</v>
      </c>
      <c r="Y48" s="3" t="str">
        <f>IFERROR(__xludf.DUMMYFUNCTION("GoogleTranslate(C48, ""en"", ""de"")"),"Sonnenaufgang")</f>
        <v>Sonnenaufgang</v>
      </c>
      <c r="Z48" s="3" t="str">
        <f>IFERROR(__xludf.DUMMYFUNCTION("GoogleTranslate(C48, ""en"", ""el"")"),"Ανατολή ηλίου")</f>
        <v>Ανατολή ηλίου</v>
      </c>
      <c r="AA48" s="3" t="str">
        <f>IFERROR(__xludf.DUMMYFUNCTION("GoogleTranslate(C48, ""en"", ""iw"")"),"זְרִיחָה")</f>
        <v>זְרִיחָה</v>
      </c>
      <c r="AB48" s="3" t="str">
        <f>IFERROR(__xludf.DUMMYFUNCTION("GoogleTranslate(C48, ""en"", ""hi"")"),"सूर्योदय")</f>
        <v>सूर्योदय</v>
      </c>
      <c r="AC48" s="3" t="str">
        <f>IFERROR(__xludf.DUMMYFUNCTION("GoogleTranslate(C48, ""en"", ""hu"")"),"Napkelte")</f>
        <v>Napkelte</v>
      </c>
      <c r="AD48" s="3" t="str">
        <f>IFERROR(__xludf.DUMMYFUNCTION("GoogleTranslate(C48, ""en"", ""is"")"),"Sólarupprás")</f>
        <v>Sólarupprás</v>
      </c>
      <c r="AE48" s="3" t="str">
        <f>IFERROR(__xludf.DUMMYFUNCTION("GoogleTranslate(C48, ""en"", ""id"")"),"Matahari terbit")</f>
        <v>Matahari terbit</v>
      </c>
      <c r="AF48" s="3" t="str">
        <f>IFERROR(__xludf.DUMMYFUNCTION("GoogleTranslate(C48, ""en"", ""in"")"),"Matahari terbit")</f>
        <v>Matahari terbit</v>
      </c>
      <c r="AG48" s="3" t="str">
        <f>IFERROR(__xludf.DUMMYFUNCTION("GoogleTranslate(C48, ""en"", ""it"")"),"Alba")</f>
        <v>Alba</v>
      </c>
      <c r="AH48" s="3" t="str">
        <f>IFERROR(__xludf.DUMMYFUNCTION("GoogleTranslate(C48, ""en"", ""ja"")"),"日の出")</f>
        <v>日の出</v>
      </c>
      <c r="AI48" s="3" t="str">
        <f>IFERROR(__xludf.DUMMYFUNCTION("GoogleTranslate(C48, ""en"", ""kn"")"),"ಸೂರ್ಯೋದಯ")</f>
        <v>ಸೂರ್ಯೋದಯ</v>
      </c>
      <c r="AJ48" s="3" t="str">
        <f>IFERROR(__xludf.DUMMYFUNCTION("GoogleTranslate(C48, ""en"", ""km"")"),"ព្រះអាទិត្យរះ")</f>
        <v>ព្រះអាទិត្យរះ</v>
      </c>
      <c r="AK48" s="3" t="str">
        <f>IFERROR(__xludf.DUMMYFUNCTION("GoogleTranslate(C48, ""en"", ""ko"")"),"해돋이")</f>
        <v>해돋이</v>
      </c>
      <c r="AL48" s="3" t="str">
        <f>IFERROR(__xludf.DUMMYFUNCTION("GoogleTranslate(C48, ""en"", ""lo"")"),"ຕາເວັນຂຶ້ນ")</f>
        <v>ຕາເວັນຂຶ້ນ</v>
      </c>
      <c r="AM48" s="3" t="str">
        <f>IFERROR(__xludf.DUMMYFUNCTION("GoogleTranslate(C48, ""en"", ""lv"")"),"Saullēkts")</f>
        <v>Saullēkts</v>
      </c>
      <c r="AN48" s="3" t="str">
        <f>IFERROR(__xludf.DUMMYFUNCTION("GoogleTranslate(C48, ""en"", ""lt"")"),"Saulėtekis")</f>
        <v>Saulėtekis</v>
      </c>
      <c r="AO48" s="3" t="str">
        <f>IFERROR(__xludf.DUMMYFUNCTION("GoogleTranslate(C48, ""en"", ""mk"")"),"Изгрејсонце")</f>
        <v>Изгрејсонце</v>
      </c>
      <c r="AP48" s="3" t="str">
        <f>IFERROR(__xludf.DUMMYFUNCTION("GoogleTranslate(C48, ""en"", ""ms"")"),"matahari terbit")</f>
        <v>matahari terbit</v>
      </c>
      <c r="AQ48" s="3" t="str">
        <f>IFERROR(__xludf.DUMMYFUNCTION("GoogleTranslate(C48, ""en"", ""ml"")"),"സൂര്യോദയം")</f>
        <v>സൂര്യോദയം</v>
      </c>
      <c r="AR48" s="3" t="str">
        <f>IFERROR(__xludf.DUMMYFUNCTION("GoogleTranslate(C48, ""en"", ""mr"")"),"सूर्योदय")</f>
        <v>सूर्योदय</v>
      </c>
      <c r="AS48" s="3" t="str">
        <f>IFERROR(__xludf.DUMMYFUNCTION("GoogleTranslate(C48, ""en"", ""mn"")"),"Нар мандах")</f>
        <v>Нар мандах</v>
      </c>
      <c r="AT48" s="3" t="str">
        <f>IFERROR(__xludf.DUMMYFUNCTION("GoogleTranslate(C48, ""en"", ""ne"")"),"सूर्योदय")</f>
        <v>सूर्योदय</v>
      </c>
      <c r="AU48" s="3" t="str">
        <f>IFERROR(__xludf.DUMMYFUNCTION("GoogleTranslate(C48, ""en"", ""nb"")"),"Soloppgang")</f>
        <v>Soloppgang</v>
      </c>
      <c r="AV48" s="3" t="str">
        <f>IFERROR(__xludf.DUMMYFUNCTION("GoogleTranslate(C48, ""en"", ""fa"")"),"طلوع آفتاب")</f>
        <v>طلوع آفتاب</v>
      </c>
      <c r="AW48" s="3" t="str">
        <f>IFERROR(__xludf.DUMMYFUNCTION("GoogleTranslate(C48, ""en"", ""pl"")"),"Wschód słońca")</f>
        <v>Wschód słońca</v>
      </c>
      <c r="AX48" s="3" t="str">
        <f>IFERROR(__xludf.DUMMYFUNCTION("GoogleTranslate(C48, ""en"", ""pt"")"),"Nascer do sol")</f>
        <v>Nascer do sol</v>
      </c>
      <c r="AY48" s="3" t="str">
        <f>IFERROR(__xludf.DUMMYFUNCTION("GoogleTranslate(C48, ""en"", ""ro"")"),"Răsărit de soare")</f>
        <v>Răsărit de soare</v>
      </c>
      <c r="AZ48" s="3" t="str">
        <f>IFERROR(__xludf.DUMMYFUNCTION("GoogleTranslate(C48, ""en"", ""ru"")"),"Восход")</f>
        <v>Восход</v>
      </c>
      <c r="BA48" s="3" t="str">
        <f>IFERROR(__xludf.DUMMYFUNCTION("GoogleTranslate(C48, ""en"", ""sr"")"),"Излазак сунца")</f>
        <v>Излазак сунца</v>
      </c>
      <c r="BB48" s="3" t="str">
        <f>IFERROR(__xludf.DUMMYFUNCTION("GoogleTranslate(C48, ""en"", ""si"")"),"හිරු උදාව")</f>
        <v>හිරු උදාව</v>
      </c>
      <c r="BC48" s="3" t="str">
        <f>IFERROR(__xludf.DUMMYFUNCTION("GoogleTranslate(C48, ""en"", ""sk"")"),"Východ slnka")</f>
        <v>Východ slnka</v>
      </c>
      <c r="BD48" s="3" t="str">
        <f>IFERROR(__xludf.DUMMYFUNCTION("GoogleTranslate(C48, ""en"", ""sl"")"),"sončni vzhod")</f>
        <v>sončni vzhod</v>
      </c>
      <c r="BE48" s="3" t="str">
        <f>IFERROR(__xludf.DUMMYFUNCTION("GoogleTranslate(C48, ""en"", ""es"")"),"Amanecer")</f>
        <v>Amanecer</v>
      </c>
      <c r="BF48" s="3" t="str">
        <f>IFERROR(__xludf.DUMMYFUNCTION("GoogleTranslate(C48, ""en"", ""sw"")"),"Kuchomoza kwa jua")</f>
        <v>Kuchomoza kwa jua</v>
      </c>
      <c r="BG48" s="3" t="str">
        <f>IFERROR(__xludf.DUMMYFUNCTION("GoogleTranslate(C48, ""en"", ""sv"")"),"Soluppgång")</f>
        <v>Soluppgång</v>
      </c>
      <c r="BH48" s="3" t="str">
        <f>IFERROR(__xludf.DUMMYFUNCTION("GoogleTranslate(C48, ""en"", ""te"")"),"సూర్యోదయం")</f>
        <v>సూర్యోదయం</v>
      </c>
      <c r="BI48" s="3" t="str">
        <f>IFERROR(__xludf.DUMMYFUNCTION("GoogleTranslate(C48, ""en"", ""th"")"),"พระอาทิตย์ขึ้น")</f>
        <v>พระอาทิตย์ขึ้น</v>
      </c>
      <c r="BJ48" s="3" t="str">
        <f>IFERROR(__xludf.DUMMYFUNCTION("GoogleTranslate(C48, ""en"", ""tr"")"),"Gündoğumu")</f>
        <v>Gündoğumu</v>
      </c>
      <c r="BK48" s="3" t="str">
        <f>IFERROR(__xludf.DUMMYFUNCTION("GoogleTranslate(C48, ""en"", ""uk"")"),"Схід сонця")</f>
        <v>Схід сонця</v>
      </c>
      <c r="BL48" s="3" t="str">
        <f>IFERROR(__xludf.DUMMYFUNCTION("GoogleTranslate(C48, ""en"", ""zu"")"),"Ukuphuma kwelanga")</f>
        <v>Ukuphuma kwelanga</v>
      </c>
    </row>
    <row r="49">
      <c r="A49" s="1" t="str">
        <f t="shared" si="1"/>
        <v>Sunset</v>
      </c>
      <c r="B49" s="4" t="s">
        <v>111</v>
      </c>
      <c r="C49" s="1" t="str">
        <f t="shared" si="2"/>
        <v>Sunset</v>
      </c>
      <c r="D49" s="3" t="str">
        <f>IFERROR(__xludf.DUMMYFUNCTION("GoogleTranslate(C49, ""en"", ""es"")"),"Atardecer")</f>
        <v>Atardecer</v>
      </c>
      <c r="E49" s="3" t="str">
        <f>IFERROR(__xludf.DUMMYFUNCTION("GoogleTranslate(C49, ""en"", ""ar"")"),"غروب")</f>
        <v>غروب</v>
      </c>
      <c r="F49" s="3" t="str">
        <f>IFERROR(__xludf.DUMMYFUNCTION("GoogleTranslate(C49, ""en"", ""hy"")"),"Մայրամուտ")</f>
        <v>Մայրամուտ</v>
      </c>
      <c r="G49" s="3" t="str">
        <f>IFERROR(__xludf.DUMMYFUNCTION("GoogleTranslate(C49, ""en"", ""vi"")"),"Hoàng hôn")</f>
        <v>Hoàng hôn</v>
      </c>
      <c r="H49" s="3" t="str">
        <f>IFERROR(__xludf.DUMMYFUNCTION("GoogleTranslate(C49, ""en"", ""az"")"),"Gün batımı")</f>
        <v>Gün batımı</v>
      </c>
      <c r="I49" s="3" t="str">
        <f>IFERROR(__xludf.DUMMYFUNCTION("GoogleTranslate(C49, ""en"", ""eu"")"),"Ilunabarra")</f>
        <v>Ilunabarra</v>
      </c>
      <c r="J49" s="3" t="str">
        <f>IFERROR(__xludf.DUMMYFUNCTION("GoogleTranslate(C49, ""en"", ""be"")"),"Закат")</f>
        <v>Закат</v>
      </c>
      <c r="K49" s="3" t="str">
        <f>IFERROR(__xludf.DUMMYFUNCTION("GoogleTranslate(C49, ""en"", ""bn"")"),"সূর্যাস্ত")</f>
        <v>সূর্যাস্ত</v>
      </c>
      <c r="L49" s="3" t="str">
        <f>IFERROR(__xludf.DUMMYFUNCTION("GoogleTranslate(C49, ""en"", ""bg"")"),"Залез")</f>
        <v>Залез</v>
      </c>
      <c r="M49" s="3" t="str">
        <f>IFERROR(__xludf.DUMMYFUNCTION("GoogleTranslate(C49, ""en"", ""my"")"),"နေဝင်ချိန်")</f>
        <v>နေဝင်ချိန်</v>
      </c>
      <c r="N49" s="3" t="str">
        <f>IFERROR(__xludf.DUMMYFUNCTION("GoogleTranslate(C49, ""en"", ""ca"")"),"Posta de sol")</f>
        <v>Posta de sol</v>
      </c>
      <c r="O49" s="3" t="str">
        <f>IFERROR(__xludf.DUMMYFUNCTION("GoogleTranslate(C49, ""en"", ""zh-cn"")"),"日落")</f>
        <v>日落</v>
      </c>
      <c r="P49" s="3" t="str">
        <f>IFERROR(__xludf.DUMMYFUNCTION("GoogleTranslate(C49, ""en"", ""zh-TW"")"),"日落")</f>
        <v>日落</v>
      </c>
      <c r="Q49" s="3" t="str">
        <f>IFERROR(__xludf.DUMMYFUNCTION("GoogleTranslate(C49, ""en"", ""hr"")"),"Zalazak sunca")</f>
        <v>Zalazak sunca</v>
      </c>
      <c r="R49" s="3" t="str">
        <f>IFERROR(__xludf.DUMMYFUNCTION("GoogleTranslate(C49, ""en"", ""cs"")"),"Západ slunce")</f>
        <v>Západ slunce</v>
      </c>
      <c r="S49" s="3" t="str">
        <f>IFERROR(__xludf.DUMMYFUNCTION("GoogleTranslate(C49, ""en"", ""da"")"),"Solnedgang")</f>
        <v>Solnedgang</v>
      </c>
      <c r="T49" s="3" t="str">
        <f>IFERROR(__xludf.DUMMYFUNCTION("GoogleTranslate(C49, ""en"", ""nl"")"),"Zonsondergang")</f>
        <v>Zonsondergang</v>
      </c>
      <c r="U49" s="3" t="str">
        <f>IFERROR(__xludf.DUMMYFUNCTION("GoogleTranslate(C49, ""en"", ""et"")"),"Päikeseloojang")</f>
        <v>Päikeseloojang</v>
      </c>
      <c r="V49" s="1" t="str">
        <f t="shared" si="3"/>
        <v>Sunset</v>
      </c>
      <c r="W49" s="3" t="str">
        <f>IFERROR(__xludf.DUMMYFUNCTION("GoogleTranslate(C49, ""en"", ""fi"")"),"Auringonlasku")</f>
        <v>Auringonlasku</v>
      </c>
      <c r="X49" s="3" t="str">
        <f>IFERROR(__xludf.DUMMYFUNCTION("GoogleTranslate(C49, ""en"", ""fr"")"),"Coucher de soleil")</f>
        <v>Coucher de soleil</v>
      </c>
      <c r="Y49" s="3" t="str">
        <f>IFERROR(__xludf.DUMMYFUNCTION("GoogleTranslate(C49, ""en"", ""de"")"),"Sonnenuntergang")</f>
        <v>Sonnenuntergang</v>
      </c>
      <c r="Z49" s="3" t="str">
        <f>IFERROR(__xludf.DUMMYFUNCTION("GoogleTranslate(C49, ""en"", ""el"")"),"Ηλιοβασίλεμα")</f>
        <v>Ηλιοβασίλεμα</v>
      </c>
      <c r="AA49" s="3" t="str">
        <f>IFERROR(__xludf.DUMMYFUNCTION("GoogleTranslate(C49, ""en"", ""iw"")"),"שְׁקִיעַת הַשֶׁמֶשׁ")</f>
        <v>שְׁקִיעַת הַשֶׁמֶשׁ</v>
      </c>
      <c r="AB49" s="3" t="str">
        <f>IFERROR(__xludf.DUMMYFUNCTION("GoogleTranslate(C49, ""en"", ""hi"")"),"सूर्यास्त")</f>
        <v>सूर्यास्त</v>
      </c>
      <c r="AC49" s="3" t="str">
        <f>IFERROR(__xludf.DUMMYFUNCTION("GoogleTranslate(C49, ""en"", ""hu"")"),"Napnyugta")</f>
        <v>Napnyugta</v>
      </c>
      <c r="AD49" s="3" t="str">
        <f>IFERROR(__xludf.DUMMYFUNCTION("GoogleTranslate(C49, ""en"", ""is"")"),"Sólsetur")</f>
        <v>Sólsetur</v>
      </c>
      <c r="AE49" s="3" t="str">
        <f>IFERROR(__xludf.DUMMYFUNCTION("GoogleTranslate(C49, ""en"", ""id"")"),"Matahari terbenam")</f>
        <v>Matahari terbenam</v>
      </c>
      <c r="AF49" s="3" t="str">
        <f>IFERROR(__xludf.DUMMYFUNCTION("GoogleTranslate(C49, ""en"", ""in"")"),"Matahari terbenam")</f>
        <v>Matahari terbenam</v>
      </c>
      <c r="AG49" s="3" t="str">
        <f>IFERROR(__xludf.DUMMYFUNCTION("GoogleTranslate(C49, ""en"", ""it"")"),"Tramonto")</f>
        <v>Tramonto</v>
      </c>
      <c r="AH49" s="3" t="str">
        <f>IFERROR(__xludf.DUMMYFUNCTION("GoogleTranslate(C49, ""en"", ""ja"")"),"日没")</f>
        <v>日没</v>
      </c>
      <c r="AI49" s="3" t="str">
        <f>IFERROR(__xludf.DUMMYFUNCTION("GoogleTranslate(C49, ""en"", ""kn"")"),"ಸೂರ್ಯಾಸ್ತ")</f>
        <v>ಸೂರ್ಯಾಸ್ತ</v>
      </c>
      <c r="AJ49" s="3" t="str">
        <f>IFERROR(__xludf.DUMMYFUNCTION("GoogleTranslate(C49, ""en"", ""km"")"),"ថ្ងៃលិច")</f>
        <v>ថ្ងៃលិច</v>
      </c>
      <c r="AK49" s="3" t="str">
        <f>IFERROR(__xludf.DUMMYFUNCTION("GoogleTranslate(C49, ""en"", ""ko"")"),"일몰")</f>
        <v>일몰</v>
      </c>
      <c r="AL49" s="3" t="str">
        <f>IFERROR(__xludf.DUMMYFUNCTION("GoogleTranslate(C49, ""en"", ""lo"")"),"ຕາເວັນຕົກ")</f>
        <v>ຕາເວັນຕົກ</v>
      </c>
      <c r="AM49" s="3" t="str">
        <f>IFERROR(__xludf.DUMMYFUNCTION("GoogleTranslate(C49, ""en"", ""lv"")"),"Saulriets")</f>
        <v>Saulriets</v>
      </c>
      <c r="AN49" s="3" t="str">
        <f>IFERROR(__xludf.DUMMYFUNCTION("GoogleTranslate(C49, ""en"", ""lt"")"),"Saulėlydis")</f>
        <v>Saulėlydis</v>
      </c>
      <c r="AO49" s="3" t="str">
        <f>IFERROR(__xludf.DUMMYFUNCTION("GoogleTranslate(C49, ""en"", ""mk"")"),"Зајдисонце")</f>
        <v>Зајдисонце</v>
      </c>
      <c r="AP49" s="3" t="str">
        <f>IFERROR(__xludf.DUMMYFUNCTION("GoogleTranslate(C49, ""en"", ""ms"")"),"matahari terbenam")</f>
        <v>matahari terbenam</v>
      </c>
      <c r="AQ49" s="3" t="str">
        <f>IFERROR(__xludf.DUMMYFUNCTION("GoogleTranslate(C49, ""en"", ""ml"")"),"സൂര്യാസ്തമയം")</f>
        <v>സൂര്യാസ്തമയം</v>
      </c>
      <c r="AR49" s="3" t="str">
        <f>IFERROR(__xludf.DUMMYFUNCTION("GoogleTranslate(C49, ""en"", ""mr"")"),"सूर्यास्त")</f>
        <v>सूर्यास्त</v>
      </c>
      <c r="AS49" s="3" t="str">
        <f>IFERROR(__xludf.DUMMYFUNCTION("GoogleTranslate(C49, ""en"", ""mn"")"),"Нар жаргах")</f>
        <v>Нар жаргах</v>
      </c>
      <c r="AT49" s="3" t="str">
        <f>IFERROR(__xludf.DUMMYFUNCTION("GoogleTranslate(C49, ""en"", ""ne"")"),"सूर्यास्त")</f>
        <v>सूर्यास्त</v>
      </c>
      <c r="AU49" s="3" t="str">
        <f>IFERROR(__xludf.DUMMYFUNCTION("GoogleTranslate(C49, ""en"", ""nb"")"),"Solnedgang")</f>
        <v>Solnedgang</v>
      </c>
      <c r="AV49" s="3" t="str">
        <f>IFERROR(__xludf.DUMMYFUNCTION("GoogleTranslate(C49, ""en"", ""fa"")"),"غروب آفتاب")</f>
        <v>غروب آفتاب</v>
      </c>
      <c r="AW49" s="3" t="str">
        <f>IFERROR(__xludf.DUMMYFUNCTION("GoogleTranslate(C49, ""en"", ""pl"")"),"Zachód słońca")</f>
        <v>Zachód słońca</v>
      </c>
      <c r="AX49" s="3" t="str">
        <f>IFERROR(__xludf.DUMMYFUNCTION("GoogleTranslate(C49, ""en"", ""pt"")"),"Pôr do sol")</f>
        <v>Pôr do sol</v>
      </c>
      <c r="AY49" s="3" t="str">
        <f>IFERROR(__xludf.DUMMYFUNCTION("GoogleTranslate(C49, ""en"", ""ro"")"),"Apus de soare")</f>
        <v>Apus de soare</v>
      </c>
      <c r="AZ49" s="3" t="str">
        <f>IFERROR(__xludf.DUMMYFUNCTION("GoogleTranslate(C49, ""en"", ""ru"")"),"Закат")</f>
        <v>Закат</v>
      </c>
      <c r="BA49" s="3" t="str">
        <f>IFERROR(__xludf.DUMMYFUNCTION("GoogleTranslate(C49, ""en"", ""sr"")"),"Залазак сунца")</f>
        <v>Залазак сунца</v>
      </c>
      <c r="BB49" s="3" t="str">
        <f>IFERROR(__xludf.DUMMYFUNCTION("GoogleTranslate(C49, ""en"", ""si"")"),"හිරු බැස යෑම")</f>
        <v>හිරු බැස යෑම</v>
      </c>
      <c r="BC49" s="3" t="str">
        <f>IFERROR(__xludf.DUMMYFUNCTION("GoogleTranslate(C49, ""en"", ""sk"")"),"Západ slnka")</f>
        <v>Západ slnka</v>
      </c>
      <c r="BD49" s="3" t="str">
        <f>IFERROR(__xludf.DUMMYFUNCTION("GoogleTranslate(C49, ""en"", ""sl"")"),"sončni zahod")</f>
        <v>sončni zahod</v>
      </c>
      <c r="BE49" s="3" t="str">
        <f>IFERROR(__xludf.DUMMYFUNCTION("GoogleTranslate(C49, ""en"", ""es"")"),"Atardecer")</f>
        <v>Atardecer</v>
      </c>
      <c r="BF49" s="3" t="str">
        <f>IFERROR(__xludf.DUMMYFUNCTION("GoogleTranslate(C49, ""en"", ""sw"")"),"machweo")</f>
        <v>machweo</v>
      </c>
      <c r="BG49" s="3" t="str">
        <f>IFERROR(__xludf.DUMMYFUNCTION("GoogleTranslate(C49, ""en"", ""sv"")"),"Solnedgång")</f>
        <v>Solnedgång</v>
      </c>
      <c r="BH49" s="3" t="str">
        <f>IFERROR(__xludf.DUMMYFUNCTION("GoogleTranslate(C49, ""en"", ""te"")"),"సూర్యాస్తమయం")</f>
        <v>సూర్యాస్తమయం</v>
      </c>
      <c r="BI49" s="3" t="str">
        <f>IFERROR(__xludf.DUMMYFUNCTION("GoogleTranslate(C49, ""en"", ""th"")"),"พระอาทิตย์ตก")</f>
        <v>พระอาทิตย์ตก</v>
      </c>
      <c r="BJ49" s="3" t="str">
        <f>IFERROR(__xludf.DUMMYFUNCTION("GoogleTranslate(C49, ""en"", ""tr"")"),"Gün batımı")</f>
        <v>Gün batımı</v>
      </c>
      <c r="BK49" s="3" t="str">
        <f>IFERROR(__xludf.DUMMYFUNCTION("GoogleTranslate(C49, ""en"", ""uk"")"),"Захід сонця")</f>
        <v>Захід сонця</v>
      </c>
      <c r="BL49" s="3" t="str">
        <f>IFERROR(__xludf.DUMMYFUNCTION("GoogleTranslate(C49, ""en"", ""zu"")"),"Ukushona kwelanga")</f>
        <v>Ukushona kwelanga</v>
      </c>
    </row>
    <row r="50">
      <c r="A50" s="1" t="str">
        <f t="shared" si="1"/>
        <v>Day</v>
      </c>
      <c r="B50" s="4" t="s">
        <v>112</v>
      </c>
      <c r="C50" s="1" t="str">
        <f t="shared" si="2"/>
        <v>Day</v>
      </c>
      <c r="D50" s="3" t="str">
        <f>IFERROR(__xludf.DUMMYFUNCTION("GoogleTranslate(C50, ""en"", ""es"")"),"Día")</f>
        <v>Día</v>
      </c>
      <c r="E50" s="3" t="str">
        <f>IFERROR(__xludf.DUMMYFUNCTION("GoogleTranslate(C50, ""en"", ""ar"")"),"يوم")</f>
        <v>يوم</v>
      </c>
      <c r="F50" s="3" t="str">
        <f>IFERROR(__xludf.DUMMYFUNCTION("GoogleTranslate(C50, ""en"", ""hy"")"),"Օր")</f>
        <v>Օր</v>
      </c>
      <c r="G50" s="3" t="str">
        <f>IFERROR(__xludf.DUMMYFUNCTION("GoogleTranslate(C50, ""en"", ""vi"")"),"Ngày")</f>
        <v>Ngày</v>
      </c>
      <c r="H50" s="3" t="str">
        <f>IFERROR(__xludf.DUMMYFUNCTION("GoogleTranslate(C50, ""en"", ""az"")"),"gün")</f>
        <v>gün</v>
      </c>
      <c r="I50" s="3" t="str">
        <f>IFERROR(__xludf.DUMMYFUNCTION("GoogleTranslate(C50, ""en"", ""eu"")"),"Eguna")</f>
        <v>Eguna</v>
      </c>
      <c r="J50" s="3" t="str">
        <f>IFERROR(__xludf.DUMMYFUNCTION("GoogleTranslate(C50, ""en"", ""be"")"),"Дзень")</f>
        <v>Дзень</v>
      </c>
      <c r="K50" s="3" t="str">
        <f>IFERROR(__xludf.DUMMYFUNCTION("GoogleTranslate(C50, ""en"", ""bn"")"),"দিন")</f>
        <v>দিন</v>
      </c>
      <c r="L50" s="3" t="str">
        <f>IFERROR(__xludf.DUMMYFUNCTION("GoogleTranslate(C50, ""en"", ""bg"")"),"ден")</f>
        <v>ден</v>
      </c>
      <c r="M50" s="3" t="str">
        <f>IFERROR(__xludf.DUMMYFUNCTION("GoogleTranslate(C50, ""en"", ""my"")"),"နေ့")</f>
        <v>နေ့</v>
      </c>
      <c r="N50" s="3" t="str">
        <f>IFERROR(__xludf.DUMMYFUNCTION("GoogleTranslate(C50, ""en"", ""ca"")"),"Dia")</f>
        <v>Dia</v>
      </c>
      <c r="O50" s="3" t="str">
        <f>IFERROR(__xludf.DUMMYFUNCTION("GoogleTranslate(C50, ""en"", ""zh-cn"")"),"天")</f>
        <v>天</v>
      </c>
      <c r="P50" s="3" t="str">
        <f>IFERROR(__xludf.DUMMYFUNCTION("GoogleTranslate(C50, ""en"", ""zh-TW"")"),"天")</f>
        <v>天</v>
      </c>
      <c r="Q50" s="3" t="str">
        <f>IFERROR(__xludf.DUMMYFUNCTION("GoogleTranslate(C50, ""en"", ""hr"")"),"Dan")</f>
        <v>Dan</v>
      </c>
      <c r="R50" s="3" t="str">
        <f>IFERROR(__xludf.DUMMYFUNCTION("GoogleTranslate(C50, ""en"", ""cs"")"),"Den")</f>
        <v>Den</v>
      </c>
      <c r="S50" s="3" t="str">
        <f>IFERROR(__xludf.DUMMYFUNCTION("GoogleTranslate(C50, ""en"", ""da"")"),"Dag")</f>
        <v>Dag</v>
      </c>
      <c r="T50" s="3" t="str">
        <f>IFERROR(__xludf.DUMMYFUNCTION("GoogleTranslate(C50, ""en"", ""nl"")"),"Dag")</f>
        <v>Dag</v>
      </c>
      <c r="U50" s="3" t="str">
        <f>IFERROR(__xludf.DUMMYFUNCTION("GoogleTranslate(C50, ""en"", ""et"")"),"päev")</f>
        <v>päev</v>
      </c>
      <c r="V50" s="1" t="str">
        <f t="shared" si="3"/>
        <v>Day</v>
      </c>
      <c r="W50" s="3" t="str">
        <f>IFERROR(__xludf.DUMMYFUNCTION("GoogleTranslate(C50, ""en"", ""fi"")"),"Päivä")</f>
        <v>Päivä</v>
      </c>
      <c r="X50" s="3" t="str">
        <f>IFERROR(__xludf.DUMMYFUNCTION("GoogleTranslate(C50, ""en"", ""fr"")"),"Jour")</f>
        <v>Jour</v>
      </c>
      <c r="Y50" s="3" t="str">
        <f>IFERROR(__xludf.DUMMYFUNCTION("GoogleTranslate(C50, ""en"", ""de"")"),"Tag")</f>
        <v>Tag</v>
      </c>
      <c r="Z50" s="3" t="str">
        <f>IFERROR(__xludf.DUMMYFUNCTION("GoogleTranslate(C50, ""en"", ""el"")"),"Ημέρα")</f>
        <v>Ημέρα</v>
      </c>
      <c r="AA50" s="3" t="str">
        <f>IFERROR(__xludf.DUMMYFUNCTION("GoogleTranslate(C50, ""en"", ""iw"")"),"יְוֹם")</f>
        <v>יְוֹם</v>
      </c>
      <c r="AB50" s="3" t="str">
        <f>IFERROR(__xludf.DUMMYFUNCTION("GoogleTranslate(C50, ""en"", ""hi"")"),"दिन")</f>
        <v>दिन</v>
      </c>
      <c r="AC50" s="3" t="str">
        <f>IFERROR(__xludf.DUMMYFUNCTION("GoogleTranslate(C50, ""en"", ""hu"")"),"Nap")</f>
        <v>Nap</v>
      </c>
      <c r="AD50" s="3" t="str">
        <f>IFERROR(__xludf.DUMMYFUNCTION("GoogleTranslate(C50, ""en"", ""is"")"),"Dagur")</f>
        <v>Dagur</v>
      </c>
      <c r="AE50" s="3" t="str">
        <f>IFERROR(__xludf.DUMMYFUNCTION("GoogleTranslate(C50, ""en"", ""id"")"),"Hari")</f>
        <v>Hari</v>
      </c>
      <c r="AF50" s="3" t="str">
        <f>IFERROR(__xludf.DUMMYFUNCTION("GoogleTranslate(C50, ""en"", ""in"")"),"Hari")</f>
        <v>Hari</v>
      </c>
      <c r="AG50" s="3" t="str">
        <f>IFERROR(__xludf.DUMMYFUNCTION("GoogleTranslate(C50, ""en"", ""it"")"),"Giorno")</f>
        <v>Giorno</v>
      </c>
      <c r="AH50" s="3" t="str">
        <f>IFERROR(__xludf.DUMMYFUNCTION("GoogleTranslate(C50, ""en"", ""ja"")"),"日")</f>
        <v>日</v>
      </c>
      <c r="AI50" s="3" t="str">
        <f>IFERROR(__xludf.DUMMYFUNCTION("GoogleTranslate(C50, ""en"", ""kn"")"),"ದಿನ")</f>
        <v>ದಿನ</v>
      </c>
      <c r="AJ50" s="3" t="str">
        <f>IFERROR(__xludf.DUMMYFUNCTION("GoogleTranslate(C50, ""en"", ""km"")"),"ថ្ងៃ")</f>
        <v>ថ្ងៃ</v>
      </c>
      <c r="AK50" s="3" t="str">
        <f>IFERROR(__xludf.DUMMYFUNCTION("GoogleTranslate(C50, ""en"", ""ko"")"),"낮")</f>
        <v>낮</v>
      </c>
      <c r="AL50" s="3" t="str">
        <f>IFERROR(__xludf.DUMMYFUNCTION("GoogleTranslate(C50, ""en"", ""lo"")"),"ມື້")</f>
        <v>ມື້</v>
      </c>
      <c r="AM50" s="3" t="str">
        <f>IFERROR(__xludf.DUMMYFUNCTION("GoogleTranslate(C50, ""en"", ""lv"")"),"diena")</f>
        <v>diena</v>
      </c>
      <c r="AN50" s="3" t="str">
        <f>IFERROR(__xludf.DUMMYFUNCTION("GoogleTranslate(C50, ""en"", ""lt"")"),"Diena")</f>
        <v>Diena</v>
      </c>
      <c r="AO50" s="3" t="str">
        <f>IFERROR(__xludf.DUMMYFUNCTION("GoogleTranslate(C50, ""en"", ""mk"")"),"Ден")</f>
        <v>Ден</v>
      </c>
      <c r="AP50" s="3" t="str">
        <f>IFERROR(__xludf.DUMMYFUNCTION("GoogleTranslate(C50, ""en"", ""ms"")"),"Hari")</f>
        <v>Hari</v>
      </c>
      <c r="AQ50" s="3" t="str">
        <f>IFERROR(__xludf.DUMMYFUNCTION("GoogleTranslate(C50, ""en"", ""ml"")"),"ദിവസം")</f>
        <v>ദിവസം</v>
      </c>
      <c r="AR50" s="3" t="str">
        <f>IFERROR(__xludf.DUMMYFUNCTION("GoogleTranslate(C50, ""en"", ""mr"")"),"दिवस")</f>
        <v>दिवस</v>
      </c>
      <c r="AS50" s="3" t="str">
        <f>IFERROR(__xludf.DUMMYFUNCTION("GoogleTranslate(C50, ""en"", ""mn"")"),"Өдөр")</f>
        <v>Өдөр</v>
      </c>
      <c r="AT50" s="3" t="str">
        <f>IFERROR(__xludf.DUMMYFUNCTION("GoogleTranslate(C50, ""en"", ""ne"")"),"दिन")</f>
        <v>दिन</v>
      </c>
      <c r="AU50" s="3" t="str">
        <f>IFERROR(__xludf.DUMMYFUNCTION("GoogleTranslate(C50, ""en"", ""nb"")"),"Dag")</f>
        <v>Dag</v>
      </c>
      <c r="AV50" s="3" t="str">
        <f>IFERROR(__xludf.DUMMYFUNCTION("GoogleTranslate(C50, ""en"", ""fa"")"),"روز")</f>
        <v>روز</v>
      </c>
      <c r="AW50" s="3" t="str">
        <f>IFERROR(__xludf.DUMMYFUNCTION("GoogleTranslate(C50, ""en"", ""pl"")"),"Dzień")</f>
        <v>Dzień</v>
      </c>
      <c r="AX50" s="3" t="str">
        <f>IFERROR(__xludf.DUMMYFUNCTION("GoogleTranslate(C50, ""en"", ""pt"")"),"Dia")</f>
        <v>Dia</v>
      </c>
      <c r="AY50" s="3" t="str">
        <f>IFERROR(__xludf.DUMMYFUNCTION("GoogleTranslate(C50, ""en"", ""ro"")"),"Zi")</f>
        <v>Zi</v>
      </c>
      <c r="AZ50" s="3" t="str">
        <f>IFERROR(__xludf.DUMMYFUNCTION("GoogleTranslate(C50, ""en"", ""ru"")"),"День")</f>
        <v>День</v>
      </c>
      <c r="BA50" s="3" t="str">
        <f>IFERROR(__xludf.DUMMYFUNCTION("GoogleTranslate(C50, ""en"", ""sr"")"),"Дан")</f>
        <v>Дан</v>
      </c>
      <c r="BB50" s="3" t="str">
        <f>IFERROR(__xludf.DUMMYFUNCTION("GoogleTranslate(C50, ""en"", ""si"")"),"දවස")</f>
        <v>දවස</v>
      </c>
      <c r="BC50" s="3" t="str">
        <f>IFERROR(__xludf.DUMMYFUNCTION("GoogleTranslate(C50, ""en"", ""sk"")"),"deň")</f>
        <v>deň</v>
      </c>
      <c r="BD50" s="3" t="str">
        <f>IFERROR(__xludf.DUMMYFUNCTION("GoogleTranslate(C50, ""en"", ""sl"")"),"Dan")</f>
        <v>Dan</v>
      </c>
      <c r="BE50" s="3" t="str">
        <f>IFERROR(__xludf.DUMMYFUNCTION("GoogleTranslate(C50, ""en"", ""es"")"),"Día")</f>
        <v>Día</v>
      </c>
      <c r="BF50" s="3" t="str">
        <f>IFERROR(__xludf.DUMMYFUNCTION("GoogleTranslate(C50, ""en"", ""sw"")"),"Siku")</f>
        <v>Siku</v>
      </c>
      <c r="BG50" s="3" t="str">
        <f>IFERROR(__xludf.DUMMYFUNCTION("GoogleTranslate(C50, ""en"", ""sv"")"),"Dag")</f>
        <v>Dag</v>
      </c>
      <c r="BH50" s="3" t="str">
        <f>IFERROR(__xludf.DUMMYFUNCTION("GoogleTranslate(C50, ""en"", ""te"")"),"రోజు")</f>
        <v>రోజు</v>
      </c>
      <c r="BI50" s="3" t="str">
        <f>IFERROR(__xludf.DUMMYFUNCTION("GoogleTranslate(C50, ""en"", ""th"")"),"วัน")</f>
        <v>วัน</v>
      </c>
      <c r="BJ50" s="3" t="str">
        <f>IFERROR(__xludf.DUMMYFUNCTION("GoogleTranslate(C50, ""en"", ""tr"")"),"Gün")</f>
        <v>Gün</v>
      </c>
      <c r="BK50" s="3" t="str">
        <f>IFERROR(__xludf.DUMMYFUNCTION("GoogleTranslate(C50, ""en"", ""uk"")"),"День")</f>
        <v>День</v>
      </c>
      <c r="BL50" s="3" t="str">
        <f>IFERROR(__xludf.DUMMYFUNCTION("GoogleTranslate(C50, ""en"", ""zu"")"),"Usuku")</f>
        <v>Usuku</v>
      </c>
    </row>
    <row r="51">
      <c r="A51" s="1" t="str">
        <f t="shared" si="1"/>
        <v>Night</v>
      </c>
      <c r="B51" s="4" t="s">
        <v>113</v>
      </c>
      <c r="C51" s="1" t="str">
        <f t="shared" si="2"/>
        <v>Night</v>
      </c>
      <c r="D51" s="3" t="str">
        <f>IFERROR(__xludf.DUMMYFUNCTION("GoogleTranslate(C51, ""en"", ""es"")"),"Noche")</f>
        <v>Noche</v>
      </c>
      <c r="E51" s="3" t="str">
        <f>IFERROR(__xludf.DUMMYFUNCTION("GoogleTranslate(C51, ""en"", ""ar"")"),"ليلة")</f>
        <v>ليلة</v>
      </c>
      <c r="F51" s="3" t="str">
        <f>IFERROR(__xludf.DUMMYFUNCTION("GoogleTranslate(C51, ""en"", ""hy"")"),"Գիշեր")</f>
        <v>Գիշեր</v>
      </c>
      <c r="G51" s="3" t="str">
        <f>IFERROR(__xludf.DUMMYFUNCTION("GoogleTranslate(C51, ""en"", ""vi"")"),"Đêm")</f>
        <v>Đêm</v>
      </c>
      <c r="H51" s="3" t="str">
        <f>IFERROR(__xludf.DUMMYFUNCTION("GoogleTranslate(C51, ""en"", ""az"")"),"Gecə")</f>
        <v>Gecə</v>
      </c>
      <c r="I51" s="3" t="str">
        <f>IFERROR(__xludf.DUMMYFUNCTION("GoogleTranslate(C51, ""en"", ""eu"")"),"Gaua")</f>
        <v>Gaua</v>
      </c>
      <c r="J51" s="3" t="str">
        <f>IFERROR(__xludf.DUMMYFUNCTION("GoogleTranslate(C51, ""en"", ""be"")"),"Ноч")</f>
        <v>Ноч</v>
      </c>
      <c r="K51" s="3" t="str">
        <f>IFERROR(__xludf.DUMMYFUNCTION("GoogleTranslate(C51, ""en"", ""bn"")"),"রাত্রি")</f>
        <v>রাত্রি</v>
      </c>
      <c r="L51" s="3" t="str">
        <f>IFERROR(__xludf.DUMMYFUNCTION("GoogleTranslate(C51, ""en"", ""bg"")"),"нощ")</f>
        <v>нощ</v>
      </c>
      <c r="M51" s="3" t="str">
        <f>IFERROR(__xludf.DUMMYFUNCTION("GoogleTranslate(C51, ""en"", ""my"")"),"ည")</f>
        <v>ည</v>
      </c>
      <c r="N51" s="3" t="str">
        <f>IFERROR(__xludf.DUMMYFUNCTION("GoogleTranslate(C51, ""en"", ""ca"")"),"Nit")</f>
        <v>Nit</v>
      </c>
      <c r="O51" s="3" t="str">
        <f>IFERROR(__xludf.DUMMYFUNCTION("GoogleTranslate(C51, ""en"", ""zh-cn"")"),"夜晚")</f>
        <v>夜晚</v>
      </c>
      <c r="P51" s="3" t="str">
        <f>IFERROR(__xludf.DUMMYFUNCTION("GoogleTranslate(C51, ""en"", ""zh-TW"")"),"夜晚")</f>
        <v>夜晚</v>
      </c>
      <c r="Q51" s="3" t="str">
        <f>IFERROR(__xludf.DUMMYFUNCTION("GoogleTranslate(C51, ""en"", ""hr"")"),"Noć")</f>
        <v>Noć</v>
      </c>
      <c r="R51" s="3" t="str">
        <f>IFERROR(__xludf.DUMMYFUNCTION("GoogleTranslate(C51, ""en"", ""cs"")"),"Noc")</f>
        <v>Noc</v>
      </c>
      <c r="S51" s="3" t="str">
        <f>IFERROR(__xludf.DUMMYFUNCTION("GoogleTranslate(C51, ""en"", ""da"")"),"Nat")</f>
        <v>Nat</v>
      </c>
      <c r="T51" s="3" t="str">
        <f>IFERROR(__xludf.DUMMYFUNCTION("GoogleTranslate(C51, ""en"", ""nl"")"),"Nacht")</f>
        <v>Nacht</v>
      </c>
      <c r="U51" s="3" t="str">
        <f>IFERROR(__xludf.DUMMYFUNCTION("GoogleTranslate(C51, ""en"", ""et"")"),"Öö")</f>
        <v>Öö</v>
      </c>
      <c r="V51" s="1" t="str">
        <f t="shared" si="3"/>
        <v>Night</v>
      </c>
      <c r="W51" s="3" t="str">
        <f>IFERROR(__xludf.DUMMYFUNCTION("GoogleTranslate(C51, ""en"", ""fi"")"),"Yö")</f>
        <v>Yö</v>
      </c>
      <c r="X51" s="3" t="str">
        <f>IFERROR(__xludf.DUMMYFUNCTION("GoogleTranslate(C51, ""en"", ""fr"")"),"Nuit")</f>
        <v>Nuit</v>
      </c>
      <c r="Y51" s="3" t="str">
        <f>IFERROR(__xludf.DUMMYFUNCTION("GoogleTranslate(C51, ""en"", ""de"")"),"Nacht")</f>
        <v>Nacht</v>
      </c>
      <c r="Z51" s="3" t="str">
        <f>IFERROR(__xludf.DUMMYFUNCTION("GoogleTranslate(C51, ""en"", ""el"")"),"Νύχτα")</f>
        <v>Νύχτα</v>
      </c>
      <c r="AA51" s="3" t="str">
        <f>IFERROR(__xludf.DUMMYFUNCTION("GoogleTranslate(C51, ""en"", ""iw"")"),"לַיְלָה")</f>
        <v>לַיְלָה</v>
      </c>
      <c r="AB51" s="3" t="str">
        <f>IFERROR(__xludf.DUMMYFUNCTION("GoogleTranslate(C51, ""en"", ""hi"")"),"रात")</f>
        <v>रात</v>
      </c>
      <c r="AC51" s="3" t="str">
        <f>IFERROR(__xludf.DUMMYFUNCTION("GoogleTranslate(C51, ""en"", ""hu"")"),"Éjszaka")</f>
        <v>Éjszaka</v>
      </c>
      <c r="AD51" s="3" t="str">
        <f>IFERROR(__xludf.DUMMYFUNCTION("GoogleTranslate(C51, ""en"", ""is"")"),"Nótt")</f>
        <v>Nótt</v>
      </c>
      <c r="AE51" s="3" t="str">
        <f>IFERROR(__xludf.DUMMYFUNCTION("GoogleTranslate(C51, ""en"", ""id"")"),"Malam")</f>
        <v>Malam</v>
      </c>
      <c r="AF51" s="3" t="str">
        <f>IFERROR(__xludf.DUMMYFUNCTION("GoogleTranslate(C51, ""en"", ""in"")"),"Malam")</f>
        <v>Malam</v>
      </c>
      <c r="AG51" s="3" t="str">
        <f>IFERROR(__xludf.DUMMYFUNCTION("GoogleTranslate(C51, ""en"", ""it"")"),"Notte")</f>
        <v>Notte</v>
      </c>
      <c r="AH51" s="3" t="str">
        <f>IFERROR(__xludf.DUMMYFUNCTION("GoogleTranslate(C51, ""en"", ""ja"")"),"夜")</f>
        <v>夜</v>
      </c>
      <c r="AI51" s="3" t="str">
        <f>IFERROR(__xludf.DUMMYFUNCTION("GoogleTranslate(C51, ""en"", ""kn"")"),"ರಾತ್ರಿ")</f>
        <v>ರಾತ್ರಿ</v>
      </c>
      <c r="AJ51" s="3" t="str">
        <f>IFERROR(__xludf.DUMMYFUNCTION("GoogleTranslate(C51, ""en"", ""km"")"),"យប់")</f>
        <v>យប់</v>
      </c>
      <c r="AK51" s="3" t="str">
        <f>IFERROR(__xludf.DUMMYFUNCTION("GoogleTranslate(C51, ""en"", ""ko"")"),"밤")</f>
        <v>밤</v>
      </c>
      <c r="AL51" s="3" t="str">
        <f>IFERROR(__xludf.DUMMYFUNCTION("GoogleTranslate(C51, ""en"", ""lo"")"),"ກາງຄືນ")</f>
        <v>ກາງຄືນ</v>
      </c>
      <c r="AM51" s="3" t="str">
        <f>IFERROR(__xludf.DUMMYFUNCTION("GoogleTranslate(C51, ""en"", ""lv"")"),"Nakts")</f>
        <v>Nakts</v>
      </c>
      <c r="AN51" s="3" t="str">
        <f>IFERROR(__xludf.DUMMYFUNCTION("GoogleTranslate(C51, ""en"", ""lt"")"),"Naktis")</f>
        <v>Naktis</v>
      </c>
      <c r="AO51" s="3" t="str">
        <f>IFERROR(__xludf.DUMMYFUNCTION("GoogleTranslate(C51, ""en"", ""mk"")"),"Ноќ")</f>
        <v>Ноќ</v>
      </c>
      <c r="AP51" s="3" t="str">
        <f>IFERROR(__xludf.DUMMYFUNCTION("GoogleTranslate(C51, ""en"", ""ms"")"),"Malam")</f>
        <v>Malam</v>
      </c>
      <c r="AQ51" s="3" t="str">
        <f>IFERROR(__xludf.DUMMYFUNCTION("GoogleTranslate(C51, ""en"", ""ml"")"),"രാത്രി")</f>
        <v>രാത്രി</v>
      </c>
      <c r="AR51" s="3" t="str">
        <f>IFERROR(__xludf.DUMMYFUNCTION("GoogleTranslate(C51, ""en"", ""mr"")"),"रात्री")</f>
        <v>रात्री</v>
      </c>
      <c r="AS51" s="3" t="str">
        <f>IFERROR(__xludf.DUMMYFUNCTION("GoogleTranslate(C51, ""en"", ""mn"")"),"Шөнө")</f>
        <v>Шөнө</v>
      </c>
      <c r="AT51" s="3" t="str">
        <f>IFERROR(__xludf.DUMMYFUNCTION("GoogleTranslate(C51, ""en"", ""ne"")"),"रात")</f>
        <v>रात</v>
      </c>
      <c r="AU51" s="3" t="str">
        <f>IFERROR(__xludf.DUMMYFUNCTION("GoogleTranslate(C51, ""en"", ""nb"")"),"Natt")</f>
        <v>Natt</v>
      </c>
      <c r="AV51" s="3" t="str">
        <f>IFERROR(__xludf.DUMMYFUNCTION("GoogleTranslate(C51, ""en"", ""fa"")"),"شب")</f>
        <v>شب</v>
      </c>
      <c r="AW51" s="3" t="str">
        <f>IFERROR(__xludf.DUMMYFUNCTION("GoogleTranslate(C51, ""en"", ""pl"")"),"Noc")</f>
        <v>Noc</v>
      </c>
      <c r="AX51" s="3" t="str">
        <f>IFERROR(__xludf.DUMMYFUNCTION("GoogleTranslate(C51, ""en"", ""pt"")"),"Noite")</f>
        <v>Noite</v>
      </c>
      <c r="AY51" s="3" t="str">
        <f>IFERROR(__xludf.DUMMYFUNCTION("GoogleTranslate(C51, ""en"", ""ro"")"),"Noapte")</f>
        <v>Noapte</v>
      </c>
      <c r="AZ51" s="3" t="str">
        <f>IFERROR(__xludf.DUMMYFUNCTION("GoogleTranslate(C51, ""en"", ""ru"")"),"Ночь")</f>
        <v>Ночь</v>
      </c>
      <c r="BA51" s="3" t="str">
        <f>IFERROR(__xludf.DUMMYFUNCTION("GoogleTranslate(C51, ""en"", ""sr"")"),"Ноћ")</f>
        <v>Ноћ</v>
      </c>
      <c r="BB51" s="3" t="str">
        <f>IFERROR(__xludf.DUMMYFUNCTION("GoogleTranslate(C51, ""en"", ""si"")"),"රාත්රිය")</f>
        <v>රාත්රිය</v>
      </c>
      <c r="BC51" s="3" t="str">
        <f>IFERROR(__xludf.DUMMYFUNCTION("GoogleTranslate(C51, ""en"", ""sk"")"),"Noc")</f>
        <v>Noc</v>
      </c>
      <c r="BD51" s="3" t="str">
        <f>IFERROR(__xludf.DUMMYFUNCTION("GoogleTranslate(C51, ""en"", ""sl"")"),"Noč")</f>
        <v>Noč</v>
      </c>
      <c r="BE51" s="3" t="str">
        <f>IFERROR(__xludf.DUMMYFUNCTION("GoogleTranslate(C51, ""en"", ""es"")"),"Noche")</f>
        <v>Noche</v>
      </c>
      <c r="BF51" s="3" t="str">
        <f>IFERROR(__xludf.DUMMYFUNCTION("GoogleTranslate(C51, ""en"", ""sw"")"),"Usiku")</f>
        <v>Usiku</v>
      </c>
      <c r="BG51" s="3" t="str">
        <f>IFERROR(__xludf.DUMMYFUNCTION("GoogleTranslate(C51, ""en"", ""sv"")"),"Natt")</f>
        <v>Natt</v>
      </c>
      <c r="BH51" s="3" t="str">
        <f>IFERROR(__xludf.DUMMYFUNCTION("GoogleTranslate(C51, ""en"", ""te"")"),"రాత్రి")</f>
        <v>రాత్రి</v>
      </c>
      <c r="BI51" s="3" t="str">
        <f>IFERROR(__xludf.DUMMYFUNCTION("GoogleTranslate(C51, ""en"", ""th"")"),"กลางคืน")</f>
        <v>กลางคืน</v>
      </c>
      <c r="BJ51" s="3" t="str">
        <f>IFERROR(__xludf.DUMMYFUNCTION("GoogleTranslate(C51, ""en"", ""tr"")"),"Gece")</f>
        <v>Gece</v>
      </c>
      <c r="BK51" s="3" t="str">
        <f>IFERROR(__xludf.DUMMYFUNCTION("GoogleTranslate(C51, ""en"", ""uk"")"),"ніч")</f>
        <v>ніч</v>
      </c>
      <c r="BL51" s="3" t="str">
        <f>IFERROR(__xludf.DUMMYFUNCTION("GoogleTranslate(C51, ""en"", ""zu"")"),"Ebusuku")</f>
        <v>Ebusuku</v>
      </c>
    </row>
    <row r="52">
      <c r="A52" s="1" t="str">
        <f t="shared" si="1"/>
        <v>Bright</v>
      </c>
      <c r="B52" s="4" t="s">
        <v>114</v>
      </c>
      <c r="C52" s="1" t="str">
        <f t="shared" si="2"/>
        <v>Bright</v>
      </c>
      <c r="D52" s="3" t="str">
        <f>IFERROR(__xludf.DUMMYFUNCTION("GoogleTranslate(C52, ""en"", ""es"")"),"Brillante")</f>
        <v>Brillante</v>
      </c>
      <c r="E52" s="3" t="str">
        <f>IFERROR(__xludf.DUMMYFUNCTION("GoogleTranslate(C52, ""en"", ""ar"")"),"ساطع")</f>
        <v>ساطع</v>
      </c>
      <c r="F52" s="3" t="str">
        <f>IFERROR(__xludf.DUMMYFUNCTION("GoogleTranslate(C52, ""en"", ""hy"")"),"Պայծառ")</f>
        <v>Պայծառ</v>
      </c>
      <c r="G52" s="3" t="str">
        <f>IFERROR(__xludf.DUMMYFUNCTION("GoogleTranslate(C52, ""en"", ""vi"")"),"Sáng")</f>
        <v>Sáng</v>
      </c>
      <c r="H52" s="3" t="str">
        <f>IFERROR(__xludf.DUMMYFUNCTION("GoogleTranslate(C52, ""en"", ""az"")"),"Parlaq")</f>
        <v>Parlaq</v>
      </c>
      <c r="I52" s="3" t="str">
        <f>IFERROR(__xludf.DUMMYFUNCTION("GoogleTranslate(C52, ""en"", ""eu"")"),"Distiratsua")</f>
        <v>Distiratsua</v>
      </c>
      <c r="J52" s="3" t="str">
        <f>IFERROR(__xludf.DUMMYFUNCTION("GoogleTranslate(C52, ""en"", ""be"")"),"Яркая")</f>
        <v>Яркая</v>
      </c>
      <c r="K52" s="3" t="str">
        <f>IFERROR(__xludf.DUMMYFUNCTION("GoogleTranslate(C52, ""en"", ""bn"")"),"উজ্জ্বল")</f>
        <v>উজ্জ্বল</v>
      </c>
      <c r="L52" s="3" t="str">
        <f>IFERROR(__xludf.DUMMYFUNCTION("GoogleTranslate(C52, ""en"", ""bg"")"),"Ярък")</f>
        <v>Ярък</v>
      </c>
      <c r="M52" s="3" t="str">
        <f>IFERROR(__xludf.DUMMYFUNCTION("GoogleTranslate(C52, ""en"", ""my"")"),"တောက်ပ")</f>
        <v>တောက်ပ</v>
      </c>
      <c r="N52" s="3" t="str">
        <f>IFERROR(__xludf.DUMMYFUNCTION("GoogleTranslate(C52, ""en"", ""ca"")"),"Lluminós")</f>
        <v>Lluminós</v>
      </c>
      <c r="O52" s="3" t="str">
        <f>IFERROR(__xludf.DUMMYFUNCTION("GoogleTranslate(C52, ""en"", ""zh-cn"")"),"明亮的")</f>
        <v>明亮的</v>
      </c>
      <c r="P52" s="3" t="str">
        <f>IFERROR(__xludf.DUMMYFUNCTION("GoogleTranslate(C52, ""en"", ""zh-TW"")"),"明亮的")</f>
        <v>明亮的</v>
      </c>
      <c r="Q52" s="3" t="str">
        <f>IFERROR(__xludf.DUMMYFUNCTION("GoogleTranslate(C52, ""en"", ""hr"")"),"Svijetla")</f>
        <v>Svijetla</v>
      </c>
      <c r="R52" s="3" t="str">
        <f>IFERROR(__xludf.DUMMYFUNCTION("GoogleTranslate(C52, ""en"", ""cs"")"),"Jasný")</f>
        <v>Jasný</v>
      </c>
      <c r="S52" s="3" t="str">
        <f>IFERROR(__xludf.DUMMYFUNCTION("GoogleTranslate(C52, ""en"", ""da"")"),"Lyse")</f>
        <v>Lyse</v>
      </c>
      <c r="T52" s="3" t="str">
        <f>IFERROR(__xludf.DUMMYFUNCTION("GoogleTranslate(C52, ""en"", ""nl"")"),"Helder")</f>
        <v>Helder</v>
      </c>
      <c r="U52" s="3" t="str">
        <f>IFERROR(__xludf.DUMMYFUNCTION("GoogleTranslate(C52, ""en"", ""et"")"),"Hele")</f>
        <v>Hele</v>
      </c>
      <c r="V52" s="1" t="str">
        <f t="shared" si="3"/>
        <v>Bright</v>
      </c>
      <c r="W52" s="3" t="str">
        <f>IFERROR(__xludf.DUMMYFUNCTION("GoogleTranslate(C52, ""en"", ""fi"")"),"Kirkas")</f>
        <v>Kirkas</v>
      </c>
      <c r="X52" s="3" t="str">
        <f>IFERROR(__xludf.DUMMYFUNCTION("GoogleTranslate(C52, ""en"", ""fr"")"),"Brillant")</f>
        <v>Brillant</v>
      </c>
      <c r="Y52" s="3" t="str">
        <f>IFERROR(__xludf.DUMMYFUNCTION("GoogleTranslate(C52, ""en"", ""de"")"),"Hell")</f>
        <v>Hell</v>
      </c>
      <c r="Z52" s="3" t="str">
        <f>IFERROR(__xludf.DUMMYFUNCTION("GoogleTranslate(C52, ""en"", ""el"")"),"Ευφυής")</f>
        <v>Ευφυής</v>
      </c>
      <c r="AA52" s="3" t="str">
        <f>IFERROR(__xludf.DUMMYFUNCTION("GoogleTranslate(C52, ""en"", ""iw"")"),"בָּהִיר")</f>
        <v>בָּהִיר</v>
      </c>
      <c r="AB52" s="3" t="str">
        <f>IFERROR(__xludf.DUMMYFUNCTION("GoogleTranslate(C52, ""en"", ""hi"")"),"चमकदार")</f>
        <v>चमकदार</v>
      </c>
      <c r="AC52" s="3" t="str">
        <f>IFERROR(__xludf.DUMMYFUNCTION("GoogleTranslate(C52, ""en"", ""hu"")"),"Fényes")</f>
        <v>Fényes</v>
      </c>
      <c r="AD52" s="3" t="str">
        <f>IFERROR(__xludf.DUMMYFUNCTION("GoogleTranslate(C52, ""en"", ""is"")"),"Björt")</f>
        <v>Björt</v>
      </c>
      <c r="AE52" s="3" t="str">
        <f>IFERROR(__xludf.DUMMYFUNCTION("GoogleTranslate(C52, ""en"", ""id"")"),"Terang")</f>
        <v>Terang</v>
      </c>
      <c r="AF52" s="3" t="str">
        <f>IFERROR(__xludf.DUMMYFUNCTION("GoogleTranslate(C52, ""en"", ""in"")"),"Terang")</f>
        <v>Terang</v>
      </c>
      <c r="AG52" s="3" t="str">
        <f>IFERROR(__xludf.DUMMYFUNCTION("GoogleTranslate(C52, ""en"", ""it"")"),"Luminoso")</f>
        <v>Luminoso</v>
      </c>
      <c r="AH52" s="3" t="str">
        <f>IFERROR(__xludf.DUMMYFUNCTION("GoogleTranslate(C52, ""en"", ""ja"")"),"明るい")</f>
        <v>明るい</v>
      </c>
      <c r="AI52" s="3" t="str">
        <f>IFERROR(__xludf.DUMMYFUNCTION("GoogleTranslate(C52, ""en"", ""kn"")"),"ಬ್ರೈಟ್")</f>
        <v>ಬ್ರೈಟ್</v>
      </c>
      <c r="AJ52" s="3" t="str">
        <f>IFERROR(__xludf.DUMMYFUNCTION("GoogleTranslate(C52, ""en"", ""km"")"),"ភ្លឺ")</f>
        <v>ភ្លឺ</v>
      </c>
      <c r="AK52" s="3" t="str">
        <f>IFERROR(__xludf.DUMMYFUNCTION("GoogleTranslate(C52, ""en"", ""ko"")"),"밝은")</f>
        <v>밝은</v>
      </c>
      <c r="AL52" s="3" t="str">
        <f>IFERROR(__xludf.DUMMYFUNCTION("GoogleTranslate(C52, ""en"", ""lo"")"),"ສົດໃສ")</f>
        <v>ສົດໃສ</v>
      </c>
      <c r="AM52" s="3" t="str">
        <f>IFERROR(__xludf.DUMMYFUNCTION("GoogleTranslate(C52, ""en"", ""lv"")"),"Gaišs")</f>
        <v>Gaišs</v>
      </c>
      <c r="AN52" s="3" t="str">
        <f>IFERROR(__xludf.DUMMYFUNCTION("GoogleTranslate(C52, ""en"", ""lt"")"),"Ryškus")</f>
        <v>Ryškus</v>
      </c>
      <c r="AO52" s="3" t="str">
        <f>IFERROR(__xludf.DUMMYFUNCTION("GoogleTranslate(C52, ""en"", ""mk"")"),"Светла")</f>
        <v>Светла</v>
      </c>
      <c r="AP52" s="3" t="str">
        <f>IFERROR(__xludf.DUMMYFUNCTION("GoogleTranslate(C52, ""en"", ""ms"")"),"Terang")</f>
        <v>Terang</v>
      </c>
      <c r="AQ52" s="3" t="str">
        <f>IFERROR(__xludf.DUMMYFUNCTION("GoogleTranslate(C52, ""en"", ""ml"")"),"തിളക്കമുള്ളത്")</f>
        <v>തിളക്കമുള്ളത്</v>
      </c>
      <c r="AR52" s="3" t="str">
        <f>IFERROR(__xludf.DUMMYFUNCTION("GoogleTranslate(C52, ""en"", ""mr"")"),"तेजस्वी")</f>
        <v>तेजस्वी</v>
      </c>
      <c r="AS52" s="3" t="str">
        <f>IFERROR(__xludf.DUMMYFUNCTION("GoogleTranslate(C52, ""en"", ""mn"")"),"Гэрэлт")</f>
        <v>Гэрэлт</v>
      </c>
      <c r="AT52" s="3" t="str">
        <f>IFERROR(__xludf.DUMMYFUNCTION("GoogleTranslate(C52, ""en"", ""ne"")"),"उज्यालो")</f>
        <v>उज्यालो</v>
      </c>
      <c r="AU52" s="3" t="str">
        <f>IFERROR(__xludf.DUMMYFUNCTION("GoogleTranslate(C52, ""en"", ""nb"")"),"Lys")</f>
        <v>Lys</v>
      </c>
      <c r="AV52" s="3" t="str">
        <f>IFERROR(__xludf.DUMMYFUNCTION("GoogleTranslate(C52, ""en"", ""fa"")"),"روشن")</f>
        <v>روشن</v>
      </c>
      <c r="AW52" s="3" t="str">
        <f>IFERROR(__xludf.DUMMYFUNCTION("GoogleTranslate(C52, ""en"", ""pl"")"),"Jasny")</f>
        <v>Jasny</v>
      </c>
      <c r="AX52" s="3" t="str">
        <f>IFERROR(__xludf.DUMMYFUNCTION("GoogleTranslate(C52, ""en"", ""pt"")"),"Brilhante")</f>
        <v>Brilhante</v>
      </c>
      <c r="AY52" s="3" t="str">
        <f>IFERROR(__xludf.DUMMYFUNCTION("GoogleTranslate(C52, ""en"", ""ro"")"),"Luminos")</f>
        <v>Luminos</v>
      </c>
      <c r="AZ52" s="3" t="str">
        <f>IFERROR(__xludf.DUMMYFUNCTION("GoogleTranslate(C52, ""en"", ""ru"")"),"Яркий")</f>
        <v>Яркий</v>
      </c>
      <c r="BA52" s="3" t="str">
        <f>IFERROR(__xludf.DUMMYFUNCTION("GoogleTranslate(C52, ""en"", ""sr"")"),"Бригхт")</f>
        <v>Бригхт</v>
      </c>
      <c r="BB52" s="3" t="str">
        <f>IFERROR(__xludf.DUMMYFUNCTION("GoogleTranslate(C52, ""en"", ""si"")"),"දීප්තිමත්")</f>
        <v>දීප්තිමත්</v>
      </c>
      <c r="BC52" s="3" t="str">
        <f>IFERROR(__xludf.DUMMYFUNCTION("GoogleTranslate(C52, ""en"", ""sk"")"),"Svetlý")</f>
        <v>Svetlý</v>
      </c>
      <c r="BD52" s="3" t="str">
        <f>IFERROR(__xludf.DUMMYFUNCTION("GoogleTranslate(C52, ""en"", ""sl"")"),"Svetlo")</f>
        <v>Svetlo</v>
      </c>
      <c r="BE52" s="3" t="str">
        <f>IFERROR(__xludf.DUMMYFUNCTION("GoogleTranslate(C52, ""en"", ""es"")"),"Brillante")</f>
        <v>Brillante</v>
      </c>
      <c r="BF52" s="3" t="str">
        <f>IFERROR(__xludf.DUMMYFUNCTION("GoogleTranslate(C52, ""en"", ""sw"")"),"Mkali")</f>
        <v>Mkali</v>
      </c>
      <c r="BG52" s="3" t="str">
        <f>IFERROR(__xludf.DUMMYFUNCTION("GoogleTranslate(C52, ""en"", ""sv"")"),"Ljus")</f>
        <v>Ljus</v>
      </c>
      <c r="BH52" s="3" t="str">
        <f>IFERROR(__xludf.DUMMYFUNCTION("GoogleTranslate(C52, ""en"", ""te"")"),"ప్రకాశవంతమైన")</f>
        <v>ప్రకాశవంతమైన</v>
      </c>
      <c r="BI52" s="3" t="str">
        <f>IFERROR(__xludf.DUMMYFUNCTION("GoogleTranslate(C52, ""en"", ""th"")"),"สว่าง")</f>
        <v>สว่าง</v>
      </c>
      <c r="BJ52" s="3" t="str">
        <f>IFERROR(__xludf.DUMMYFUNCTION("GoogleTranslate(C52, ""en"", ""tr"")"),"Parlak")</f>
        <v>Parlak</v>
      </c>
      <c r="BK52" s="3" t="str">
        <f>IFERROR(__xludf.DUMMYFUNCTION("GoogleTranslate(C52, ""en"", ""uk"")"),"Яскравий")</f>
        <v>Яскравий</v>
      </c>
      <c r="BL52" s="3" t="str">
        <f>IFERROR(__xludf.DUMMYFUNCTION("GoogleTranslate(C52, ""en"", ""zu"")"),"Okugqamile")</f>
        <v>Okugqamile</v>
      </c>
    </row>
    <row r="53">
      <c r="A53" s="1" t="str">
        <f t="shared" si="1"/>
        <v>Dark</v>
      </c>
      <c r="B53" s="4" t="s">
        <v>115</v>
      </c>
      <c r="C53" s="1" t="str">
        <f t="shared" si="2"/>
        <v>Dark</v>
      </c>
      <c r="D53" s="3" t="str">
        <f>IFERROR(__xludf.DUMMYFUNCTION("GoogleTranslate(C53, ""en"", ""es"")"),"Oscuro")</f>
        <v>Oscuro</v>
      </c>
      <c r="E53" s="3" t="str">
        <f>IFERROR(__xludf.DUMMYFUNCTION("GoogleTranslate(C53, ""en"", ""ar"")"),"مظلم")</f>
        <v>مظلم</v>
      </c>
      <c r="F53" s="3" t="str">
        <f>IFERROR(__xludf.DUMMYFUNCTION("GoogleTranslate(C53, ""en"", ""hy"")"),"Մութ")</f>
        <v>Մութ</v>
      </c>
      <c r="G53" s="3" t="str">
        <f>IFERROR(__xludf.DUMMYFUNCTION("GoogleTranslate(C53, ""en"", ""vi"")"),"Tối tăm")</f>
        <v>Tối tăm</v>
      </c>
      <c r="H53" s="3" t="str">
        <f>IFERROR(__xludf.DUMMYFUNCTION("GoogleTranslate(C53, ""en"", ""az"")"),"Qaranlıq")</f>
        <v>Qaranlıq</v>
      </c>
      <c r="I53" s="3" t="str">
        <f>IFERROR(__xludf.DUMMYFUNCTION("GoogleTranslate(C53, ""en"", ""eu"")"),"Iluna")</f>
        <v>Iluna</v>
      </c>
      <c r="J53" s="3" t="str">
        <f>IFERROR(__xludf.DUMMYFUNCTION("GoogleTranslate(C53, ""en"", ""be"")"),"Цёмны")</f>
        <v>Цёмны</v>
      </c>
      <c r="K53" s="3" t="str">
        <f>IFERROR(__xludf.DUMMYFUNCTION("GoogleTranslate(C53, ""en"", ""bn"")"),"অন্ধকার")</f>
        <v>অন্ধকার</v>
      </c>
      <c r="L53" s="3" t="str">
        <f>IFERROR(__xludf.DUMMYFUNCTION("GoogleTranslate(C53, ""en"", ""bg"")"),"Тъмно")</f>
        <v>Тъмно</v>
      </c>
      <c r="M53" s="3" t="str">
        <f>IFERROR(__xludf.DUMMYFUNCTION("GoogleTranslate(C53, ""en"", ""my"")"),"အမှောင်")</f>
        <v>အမှောင်</v>
      </c>
      <c r="N53" s="3" t="str">
        <f>IFERROR(__xludf.DUMMYFUNCTION("GoogleTranslate(C53, ""en"", ""ca"")"),"Fosc")</f>
        <v>Fosc</v>
      </c>
      <c r="O53" s="3" t="str">
        <f>IFERROR(__xludf.DUMMYFUNCTION("GoogleTranslate(C53, ""en"", ""zh-cn"")"),"黑暗的")</f>
        <v>黑暗的</v>
      </c>
      <c r="P53" s="3" t="str">
        <f>IFERROR(__xludf.DUMMYFUNCTION("GoogleTranslate(C53, ""en"", ""zh-TW"")"),"黑暗的")</f>
        <v>黑暗的</v>
      </c>
      <c r="Q53" s="3" t="str">
        <f>IFERROR(__xludf.DUMMYFUNCTION("GoogleTranslate(C53, ""en"", ""hr"")"),"tamno")</f>
        <v>tamno</v>
      </c>
      <c r="R53" s="3" t="str">
        <f>IFERROR(__xludf.DUMMYFUNCTION("GoogleTranslate(C53, ""en"", ""cs"")"),"Tmavý")</f>
        <v>Tmavý</v>
      </c>
      <c r="S53" s="3" t="str">
        <f>IFERROR(__xludf.DUMMYFUNCTION("GoogleTranslate(C53, ""en"", ""da"")"),"Mørk")</f>
        <v>Mørk</v>
      </c>
      <c r="T53" s="3" t="str">
        <f>IFERROR(__xludf.DUMMYFUNCTION("GoogleTranslate(C53, ""en"", ""nl"")"),"Donker")</f>
        <v>Donker</v>
      </c>
      <c r="U53" s="3" t="str">
        <f>IFERROR(__xludf.DUMMYFUNCTION("GoogleTranslate(C53, ""en"", ""et"")"),"Tume")</f>
        <v>Tume</v>
      </c>
      <c r="V53" s="1" t="str">
        <f t="shared" si="3"/>
        <v>Dark</v>
      </c>
      <c r="W53" s="3" t="str">
        <f>IFERROR(__xludf.DUMMYFUNCTION("GoogleTranslate(C53, ""en"", ""fi"")"),"Tumma")</f>
        <v>Tumma</v>
      </c>
      <c r="X53" s="3" t="str">
        <f>IFERROR(__xludf.DUMMYFUNCTION("GoogleTranslate(C53, ""en"", ""fr"")"),"Sombre")</f>
        <v>Sombre</v>
      </c>
      <c r="Y53" s="3" t="str">
        <f>IFERROR(__xludf.DUMMYFUNCTION("GoogleTranslate(C53, ""en"", ""de"")"),"Dunkel")</f>
        <v>Dunkel</v>
      </c>
      <c r="Z53" s="3" t="str">
        <f>IFERROR(__xludf.DUMMYFUNCTION("GoogleTranslate(C53, ""en"", ""el"")"),"Σκοτάδι")</f>
        <v>Σκοτάδι</v>
      </c>
      <c r="AA53" s="3" t="str">
        <f>IFERROR(__xludf.DUMMYFUNCTION("GoogleTranslate(C53, ""en"", ""iw"")"),"כֵּהֶה")</f>
        <v>כֵּהֶה</v>
      </c>
      <c r="AB53" s="3" t="str">
        <f>IFERROR(__xludf.DUMMYFUNCTION("GoogleTranslate(C53, ""en"", ""hi"")"),"अँधेरा")</f>
        <v>अँधेरा</v>
      </c>
      <c r="AC53" s="3" t="str">
        <f>IFERROR(__xludf.DUMMYFUNCTION("GoogleTranslate(C53, ""en"", ""hu"")"),"Sötét")</f>
        <v>Sötét</v>
      </c>
      <c r="AD53" s="3" t="str">
        <f>IFERROR(__xludf.DUMMYFUNCTION("GoogleTranslate(C53, ""en"", ""is"")"),"Myrkur")</f>
        <v>Myrkur</v>
      </c>
      <c r="AE53" s="3" t="str">
        <f>IFERROR(__xludf.DUMMYFUNCTION("GoogleTranslate(C53, ""en"", ""id"")"),"Gelap")</f>
        <v>Gelap</v>
      </c>
      <c r="AF53" s="3" t="str">
        <f>IFERROR(__xludf.DUMMYFUNCTION("GoogleTranslate(C53, ""en"", ""in"")"),"Gelap")</f>
        <v>Gelap</v>
      </c>
      <c r="AG53" s="3" t="str">
        <f>IFERROR(__xludf.DUMMYFUNCTION("GoogleTranslate(C53, ""en"", ""it"")"),"Buio")</f>
        <v>Buio</v>
      </c>
      <c r="AH53" s="3" t="str">
        <f>IFERROR(__xludf.DUMMYFUNCTION("GoogleTranslate(C53, ""en"", ""ja"")"),"暗い")</f>
        <v>暗い</v>
      </c>
      <c r="AI53" s="3" t="str">
        <f>IFERROR(__xludf.DUMMYFUNCTION("GoogleTranslate(C53, ""en"", ""kn"")"),"ಕತ್ತಲು")</f>
        <v>ಕತ್ತಲು</v>
      </c>
      <c r="AJ53" s="3" t="str">
        <f>IFERROR(__xludf.DUMMYFUNCTION("GoogleTranslate(C53, ""en"", ""km"")"),"ងងឹត")</f>
        <v>ងងឹត</v>
      </c>
      <c r="AK53" s="3" t="str">
        <f>IFERROR(__xludf.DUMMYFUNCTION("GoogleTranslate(C53, ""en"", ""ko"")"),"어두운")</f>
        <v>어두운</v>
      </c>
      <c r="AL53" s="3" t="str">
        <f>IFERROR(__xludf.DUMMYFUNCTION("GoogleTranslate(C53, ""en"", ""lo"")"),"ມືດ")</f>
        <v>ມືດ</v>
      </c>
      <c r="AM53" s="3" t="str">
        <f>IFERROR(__xludf.DUMMYFUNCTION("GoogleTranslate(C53, ""en"", ""lv"")"),"Tumšs")</f>
        <v>Tumšs</v>
      </c>
      <c r="AN53" s="3" t="str">
        <f>IFERROR(__xludf.DUMMYFUNCTION("GoogleTranslate(C53, ""en"", ""lt"")"),"Tamsus")</f>
        <v>Tamsus</v>
      </c>
      <c r="AO53" s="3" t="str">
        <f>IFERROR(__xludf.DUMMYFUNCTION("GoogleTranslate(C53, ""en"", ""mk"")"),"Темно")</f>
        <v>Темно</v>
      </c>
      <c r="AP53" s="3" t="str">
        <f>IFERROR(__xludf.DUMMYFUNCTION("GoogleTranslate(C53, ""en"", ""ms"")"),"Gelap")</f>
        <v>Gelap</v>
      </c>
      <c r="AQ53" s="3" t="str">
        <f>IFERROR(__xludf.DUMMYFUNCTION("GoogleTranslate(C53, ""en"", ""ml"")"),"ഇരുട്ട്")</f>
        <v>ഇരുട്ട്</v>
      </c>
      <c r="AR53" s="3" t="str">
        <f>IFERROR(__xludf.DUMMYFUNCTION("GoogleTranslate(C53, ""en"", ""mr"")"),"गडद")</f>
        <v>गडद</v>
      </c>
      <c r="AS53" s="3" t="str">
        <f>IFERROR(__xludf.DUMMYFUNCTION("GoogleTranslate(C53, ""en"", ""mn"")"),"Харанхуй")</f>
        <v>Харанхуй</v>
      </c>
      <c r="AT53" s="3" t="str">
        <f>IFERROR(__xludf.DUMMYFUNCTION("GoogleTranslate(C53, ""en"", ""ne"")"),"अँध्यारो")</f>
        <v>अँध्यारो</v>
      </c>
      <c r="AU53" s="3" t="str">
        <f>IFERROR(__xludf.DUMMYFUNCTION("GoogleTranslate(C53, ""en"", ""nb"")"),"Mørk")</f>
        <v>Mørk</v>
      </c>
      <c r="AV53" s="3" t="str">
        <f>IFERROR(__xludf.DUMMYFUNCTION("GoogleTranslate(C53, ""en"", ""fa"")"),"تاریک")</f>
        <v>تاریک</v>
      </c>
      <c r="AW53" s="3" t="str">
        <f>IFERROR(__xludf.DUMMYFUNCTION("GoogleTranslate(C53, ""en"", ""pl"")"),"Ciemny")</f>
        <v>Ciemny</v>
      </c>
      <c r="AX53" s="3" t="str">
        <f>IFERROR(__xludf.DUMMYFUNCTION("GoogleTranslate(C53, ""en"", ""pt"")"),"Escuro")</f>
        <v>Escuro</v>
      </c>
      <c r="AY53" s="3" t="str">
        <f>IFERROR(__xludf.DUMMYFUNCTION("GoogleTranslate(C53, ""en"", ""ro"")"),"Întuneric")</f>
        <v>Întuneric</v>
      </c>
      <c r="AZ53" s="3" t="str">
        <f>IFERROR(__xludf.DUMMYFUNCTION("GoogleTranslate(C53, ""en"", ""ru"")"),"Темный")</f>
        <v>Темный</v>
      </c>
      <c r="BA53" s="3" t="str">
        <f>IFERROR(__xludf.DUMMYFUNCTION("GoogleTranslate(C53, ""en"", ""sr"")"),"Дарк")</f>
        <v>Дарк</v>
      </c>
      <c r="BB53" s="3" t="str">
        <f>IFERROR(__xludf.DUMMYFUNCTION("GoogleTranslate(C53, ""en"", ""si"")"),"අඳුරු")</f>
        <v>අඳුරු</v>
      </c>
      <c r="BC53" s="3" t="str">
        <f>IFERROR(__xludf.DUMMYFUNCTION("GoogleTranslate(C53, ""en"", ""sk"")"),"Tmavý")</f>
        <v>Tmavý</v>
      </c>
      <c r="BD53" s="3" t="str">
        <f>IFERROR(__xludf.DUMMYFUNCTION("GoogleTranslate(C53, ""en"", ""sl"")"),"Temno")</f>
        <v>Temno</v>
      </c>
      <c r="BE53" s="3" t="str">
        <f>IFERROR(__xludf.DUMMYFUNCTION("GoogleTranslate(C53, ""en"", ""es"")"),"Oscuro")</f>
        <v>Oscuro</v>
      </c>
      <c r="BF53" s="3" t="str">
        <f>IFERROR(__xludf.DUMMYFUNCTION("GoogleTranslate(C53, ""en"", ""sw"")"),"Giza")</f>
        <v>Giza</v>
      </c>
      <c r="BG53" s="3" t="str">
        <f>IFERROR(__xludf.DUMMYFUNCTION("GoogleTranslate(C53, ""en"", ""sv"")"),"Mörk")</f>
        <v>Mörk</v>
      </c>
      <c r="BH53" s="3" t="str">
        <f>IFERROR(__xludf.DUMMYFUNCTION("GoogleTranslate(C53, ""en"", ""te"")"),"చీకటి")</f>
        <v>చీకటి</v>
      </c>
      <c r="BI53" s="3" t="str">
        <f>IFERROR(__xludf.DUMMYFUNCTION("GoogleTranslate(C53, ""en"", ""th"")"),"มืด")</f>
        <v>มืด</v>
      </c>
      <c r="BJ53" s="3" t="str">
        <f>IFERROR(__xludf.DUMMYFUNCTION("GoogleTranslate(C53, ""en"", ""tr"")"),"Karanlık")</f>
        <v>Karanlık</v>
      </c>
      <c r="BK53" s="3" t="str">
        <f>IFERROR(__xludf.DUMMYFUNCTION("GoogleTranslate(C53, ""en"", ""uk"")"),"Темний")</f>
        <v>Темний</v>
      </c>
      <c r="BL53" s="3" t="str">
        <f>IFERROR(__xludf.DUMMYFUNCTION("GoogleTranslate(C53, ""en"", ""zu"")"),"Kumnyama")</f>
        <v>Kumnyama</v>
      </c>
    </row>
    <row r="54">
      <c r="A54" s="1" t="str">
        <f t="shared" si="1"/>
        <v>Temperature_&amp;_chance_of_rain_in_{name}_in_the_coming_hours</v>
      </c>
      <c r="B54" s="4" t="s">
        <v>116</v>
      </c>
      <c r="C54" s="1" t="str">
        <f t="shared" si="2"/>
        <v>Temperature &amp; chance of rain in {name} in the coming hours</v>
      </c>
      <c r="D54" s="3" t="str">
        <f>IFERROR(__xludf.DUMMYFUNCTION("GoogleTranslate(C54, ""en"", ""es"")"),"Temperatura y probabilidad de lluvia en {nombre} en las próximas horas")</f>
        <v>Temperatura y probabilidad de lluvia en {nombre} en las próximas horas</v>
      </c>
      <c r="E54" s="3" t="str">
        <f>IFERROR(__xludf.DUMMYFUNCTION("GoogleTranslate(C54, ""en"", ""ar"")"),"درجات الحرارة واحتمال هطول الأمطار في {الاسم} خلال الساعات القادمة")</f>
        <v>درجات الحرارة واحتمال هطول الأمطار في {الاسم} خلال الساعات القادمة</v>
      </c>
      <c r="F54" s="3" t="str">
        <f>IFERROR(__xludf.DUMMYFUNCTION("GoogleTranslate(C54, ""en"", ""hy"")"),"Առաջիկա ժամերին {name}-ում ջերմաստիճան և անձրևի հավանականություն")</f>
        <v>Առաջիկա ժամերին {name}-ում ջերմաստիճան և անձրևի հավանականություն</v>
      </c>
      <c r="G54" s="3" t="str">
        <f>IFERROR(__xludf.DUMMYFUNCTION("GoogleTranslate(C54, ""en"", ""vi"")"),"Nhiệt độ và khả năng có mưa ở {name} trong những giờ tới")</f>
        <v>Nhiệt độ và khả năng có mưa ở {name} trong những giờ tới</v>
      </c>
      <c r="H54" s="3" t="str">
        <f>IFERROR(__xludf.DUMMYFUNCTION("GoogleTranslate(C54, ""en"", ""az"")"),"Yaxın saatlarda {name} ərazisində temperatur və yağış ehtimalı")</f>
        <v>Yaxın saatlarda {name} ərazisində temperatur və yağış ehtimalı</v>
      </c>
      <c r="I54" s="3" t="str">
        <f>IFERROR(__xludf.DUMMYFUNCTION("GoogleTranslate(C54, ""en"", ""eu"")"),"Tenperatura eta euria egiteko aukera {name}n datozen orduetan")</f>
        <v>Tenperatura eta euria egiteko aukera {name}n datozen orduetan</v>
      </c>
      <c r="J54" s="3" t="str">
        <f>IFERROR(__xludf.DUMMYFUNCTION("GoogleTranslate(C54, ""en"", ""be"")"),"Тэмпература і верагоднасць дажджу ў {name} у бліжэйшыя гадзіны")</f>
        <v>Тэмпература і верагоднасць дажджу ў {name} у бліжэйшыя гадзіны</v>
      </c>
      <c r="K54" s="3" t="str">
        <f>IFERROR(__xludf.DUMMYFUNCTION("GoogleTranslate(C54, ""en"", ""bn"")"),"আগামী ঘণ্টায় {name}-এ তাপমাত্রা ও বৃষ্টির সম্ভাবনা")</f>
        <v>আগামী ঘণ্টায় {name}-এ তাপমাত্রা ও বৃষ্টির সম্ভাবনা</v>
      </c>
      <c r="L54" s="3" t="str">
        <f>IFERROR(__xludf.DUMMYFUNCTION("GoogleTranslate(C54, ""en"", ""bg"")"),"Температура и вероятност за дъжд в {name} през следващите часове")</f>
        <v>Температура и вероятност за дъжд в {name} през следващите часове</v>
      </c>
      <c r="M54" s="3" t="str">
        <f>IFERROR(__xludf.DUMMYFUNCTION("GoogleTranslate(C54, ""en"", ""my"")"),"လာမည့်နာရီများတွင် {name} တွင် အပူချိန်နှင့် မိုးရွာနိုင်ခြေ")</f>
        <v>လာမည့်နာရီများတွင် {name} တွင် အပူချိန်နှင့် မိုးရွာနိုင်ခြေ</v>
      </c>
      <c r="N54" s="3" t="str">
        <f>IFERROR(__xludf.DUMMYFUNCTION("GoogleTranslate(C54, ""en"", ""ca"")"),"Temperatura i probabilitat de pluja a {name} en les properes hores")</f>
        <v>Temperatura i probabilitat de pluja a {name} en les properes hores</v>
      </c>
      <c r="O54" s="3" t="str">
        <f>IFERROR(__xludf.DUMMYFUNCTION("GoogleTranslate(C54, ""en"", ""zh-cn"")"),"未来几小时内{name}的气温和降雨概率")</f>
        <v>未来几小时内{name}的气温和降雨概率</v>
      </c>
      <c r="P54" s="3" t="str">
        <f>IFERROR(__xludf.DUMMYFUNCTION("GoogleTranslate(C54, ""en"", ""zh-TW"")"),"未來幾小時內{name}的氣溫和降雨機率")</f>
        <v>未來幾小時內{name}的氣溫和降雨機率</v>
      </c>
      <c r="Q54" s="3" t="str">
        <f>IFERROR(__xludf.DUMMYFUNCTION("GoogleTranslate(C54, ""en"", ""hr"")"),"Temperatura i mogućnost kiše u {name} u nadolazećim satima")</f>
        <v>Temperatura i mogućnost kiše u {name} u nadolazećim satima</v>
      </c>
      <c r="R54" s="3" t="str">
        <f>IFERROR(__xludf.DUMMYFUNCTION("GoogleTranslate(C54, ""en"", ""cs"")"),"Teplota a možnost deště v {name} v nadcházejících hodinách")</f>
        <v>Teplota a možnost deště v {name} v nadcházejících hodinách</v>
      </c>
      <c r="S54" s="3" t="str">
        <f>IFERROR(__xludf.DUMMYFUNCTION("GoogleTranslate(C54, ""en"", ""da"")"),"Temperatur og chance for regn i {name} i de kommende timer")</f>
        <v>Temperatur og chance for regn i {name} i de kommende timer</v>
      </c>
      <c r="T54" s="3" t="str">
        <f>IFERROR(__xludf.DUMMYFUNCTION("GoogleTranslate(C54, ""en"", ""nl"")"),"Temperatuur en kans op regen in {name} de komende uren")</f>
        <v>Temperatuur en kans op regen in {name} de komende uren</v>
      </c>
      <c r="U54" s="3" t="str">
        <f>IFERROR(__xludf.DUMMYFUNCTION("GoogleTranslate(C54, ""en"", ""et"")"),"Temperatuur ja vihma võimalus asukohas {name} lähitundidel")</f>
        <v>Temperatuur ja vihma võimalus asukohas {name} lähitundidel</v>
      </c>
      <c r="V54" s="1" t="str">
        <f t="shared" si="3"/>
        <v>Temperature &amp; chance of rain in {name} in the coming hours</v>
      </c>
      <c r="W54" s="3" t="str">
        <f>IFERROR(__xludf.DUMMYFUNCTION("GoogleTranslate(C54, ""en"", ""fi"")"),"Lämpötila ja sateen mahdollisuus paikassa {name} tulevina tunteina")</f>
        <v>Lämpötila ja sateen mahdollisuus paikassa {name} tulevina tunteina</v>
      </c>
      <c r="X54" s="3" t="str">
        <f>IFERROR(__xludf.DUMMYFUNCTION("GoogleTranslate(C54, ""en"", ""fr"")"),"Température et risque de pluie à {name} dans les heures à venir")</f>
        <v>Température et risque de pluie à {name} dans les heures à venir</v>
      </c>
      <c r="Y54" s="3" t="str">
        <f>IFERROR(__xludf.DUMMYFUNCTION("GoogleTranslate(C54, ""en"", ""de"")"),"Temperatur und Regenwahrscheinlichkeit in {name} in den kommenden Stunden")</f>
        <v>Temperatur und Regenwahrscheinlichkeit in {name} in den kommenden Stunden</v>
      </c>
      <c r="Z54" s="3" t="str">
        <f>IFERROR(__xludf.DUMMYFUNCTION("GoogleTranslate(C54, ""en"", ""el"")"),"Θερμοκρασία &amp; πιθανότητα βροχής στο {name} τις επόμενες ώρες")</f>
        <v>Θερμοκρασία &amp; πιθανότητα βροχής στο {name} τις επόμενες ώρες</v>
      </c>
      <c r="AA54" s="3" t="str">
        <f>IFERROR(__xludf.DUMMYFUNCTION("GoogleTranslate(C54, ""en"", ""iw"")"),"טמפרטורה וסיכוי לגשם ב{name} בשעות הקרובות")</f>
        <v>טמפרטורה וסיכוי לגשם ב{name} בשעות הקרובות</v>
      </c>
      <c r="AB54" s="3" t="str">
        <f>IFERROR(__xludf.DUMMYFUNCTION("GoogleTranslate(C54, ""en"", ""hi"")"),"आने वाले घंटों में {नाम} में तापमान और बारिश की संभावना")</f>
        <v>आने वाले घंटों में {नाम} में तापमान और बारिश की संभावना</v>
      </c>
      <c r="AC54" s="3" t="str">
        <f>IFERROR(__xludf.DUMMYFUNCTION("GoogleTranslate(C54, ""en"", ""hu"")"),"Hőmérséklet és eső valószínűsége itt: {name} a következő órákban")</f>
        <v>Hőmérséklet és eső valószínűsége itt: {name} a következő órákban</v>
      </c>
      <c r="AD54" s="3" t="str">
        <f>IFERROR(__xludf.DUMMYFUNCTION("GoogleTranslate(C54, ""en"", ""is"")"),"Hiti og líkur á rigningu í {name} á næstu klukkustundum")</f>
        <v>Hiti og líkur á rigningu í {name} á næstu klukkustundum</v>
      </c>
      <c r="AE54" s="3" t="str">
        <f>IFERROR(__xludf.DUMMYFUNCTION("GoogleTranslate(C54, ""en"", ""id"")"),"Suhu &amp; kemungkinan hujan di {name} dalam beberapa jam mendatang")</f>
        <v>Suhu &amp; kemungkinan hujan di {name} dalam beberapa jam mendatang</v>
      </c>
      <c r="AF54" s="3" t="str">
        <f>IFERROR(__xludf.DUMMYFUNCTION("GoogleTranslate(C54, ""en"", ""in"")"),"Suhu &amp; kemungkinan hujan di {name} dalam beberapa jam mendatang")</f>
        <v>Suhu &amp; kemungkinan hujan di {name} dalam beberapa jam mendatang</v>
      </c>
      <c r="AG54" s="3" t="str">
        <f>IFERROR(__xludf.DUMMYFUNCTION("GoogleTranslate(C54, ""en"", ""it"")"),"Temperatura e possibilità di pioggia a {name} nelle prossime ore")</f>
        <v>Temperatura e possibilità di pioggia a {name} nelle prossime ore</v>
      </c>
      <c r="AH54" s="3" t="str">
        <f>IFERROR(__xludf.DUMMYFUNCTION("GoogleTranslate(C54, ""en"", ""ja"")"),"{name}の今後数時間の気温と降水確率")</f>
        <v>{name}の今後数時間の気温と降水確率</v>
      </c>
      <c r="AI54" s="3" t="str">
        <f>IFERROR(__xludf.DUMMYFUNCTION("GoogleTranslate(C54, ""en"", ""kn"")"),"ಮುಂಬರುವ ಗಂಟೆಗಳಲ್ಲಿ {name} ನಲ್ಲಿ ತಾಪಮಾನ ಮತ್ತು ಮಳೆಯ ಸಾಧ್ಯತೆ")</f>
        <v>ಮುಂಬರುವ ಗಂಟೆಗಳಲ್ಲಿ {name} ನಲ್ಲಿ ತಾಪಮಾನ ಮತ್ತು ಮಳೆಯ ಸಾಧ್ಯತೆ</v>
      </c>
      <c r="AJ54" s="3" t="str">
        <f>IFERROR(__xludf.DUMMYFUNCTION("GoogleTranslate(C54, ""en"", ""km"")"),"សីតុណ្ហភាព និងឱកាសនៃភ្លៀងនៅក្នុង {name} ក្នុងរយៈពេលប៉ុន្មានម៉ោងខាងមុខនេះ")</f>
        <v>សីតុណ្ហភាព និងឱកាសនៃភ្លៀងនៅក្នុង {name} ក្នុងរយៈពេលប៉ុន្មានម៉ោងខាងមុខនេះ</v>
      </c>
      <c r="AK54" s="3" t="str">
        <f>IFERROR(__xludf.DUMMYFUNCTION("GoogleTranslate(C54, ""en"", ""ko"")"),"앞으로 몇 시간 동안 {name}의 기온 및 비 올 확률")</f>
        <v>앞으로 몇 시간 동안 {name}의 기온 및 비 올 확률</v>
      </c>
      <c r="AL54" s="3" t="str">
        <f>IFERROR(__xludf.DUMMYFUNCTION("GoogleTranslate(C54, ""en"", ""lo"")"),"ອຸນຫະພູມ ແລະ ໂອກາດທີ່ຈະມີຝົນຕົກໃນ {name} ໃນຊົ່ວໂມງຂ້າງໜ້າ")</f>
        <v>ອຸນຫະພູມ ແລະ ໂອກາດທີ່ຈະມີຝົນຕົກໃນ {name} ໃນຊົ່ວໂມງຂ້າງໜ້າ</v>
      </c>
      <c r="AM54" s="3" t="str">
        <f>IFERROR(__xludf.DUMMYFUNCTION("GoogleTranslate(C54, ""en"", ""lv"")"),"Temperatūra un lietus iespējamība šajā vietā: {name} tuvākajās stundās")</f>
        <v>Temperatūra un lietus iespējamība šajā vietā: {name} tuvākajās stundās</v>
      </c>
      <c r="AN54" s="3" t="str">
        <f>IFERROR(__xludf.DUMMYFUNCTION("GoogleTranslate(C54, ""en"", ""lt"")"),"Temperatūra ir lietaus tikimybė {name} artimiausiomis valandomis")</f>
        <v>Temperatūra ir lietaus tikimybė {name} artimiausiomis valandomis</v>
      </c>
      <c r="AO54" s="3" t="str">
        <f>IFERROR(__xludf.DUMMYFUNCTION("GoogleTranslate(C54, ""en"", ""mk"")"),"Температура и можност за дожд во {name} во наредните часови")</f>
        <v>Температура и можност за дожд во {name} во наредните часови</v>
      </c>
      <c r="AP54" s="3" t="str">
        <f>IFERROR(__xludf.DUMMYFUNCTION("GoogleTranslate(C54, ""en"", ""ms"")"),"Suhu &amp; kemungkinan hujan di {name} dalam beberapa jam akan datang")</f>
        <v>Suhu &amp; kemungkinan hujan di {name} dalam beberapa jam akan datang</v>
      </c>
      <c r="AQ54" s="3" t="str">
        <f>IFERROR(__xludf.DUMMYFUNCTION("GoogleTranslate(C54, ""en"", ""ml"")"),"വരും മണിക്കൂറുകളിൽ {name} എന്ന സ്ഥലത്ത് താപനിലയും മഴയ്ക്കുള്ള സാധ്യതയും")</f>
        <v>വരും മണിക്കൂറുകളിൽ {name} എന്ന സ്ഥലത്ത് താപനിലയും മഴയ്ക്കുള്ള സാധ്യതയും</v>
      </c>
      <c r="AR54" s="3" t="str">
        <f>IFERROR(__xludf.DUMMYFUNCTION("GoogleTranslate(C54, ""en"", ""mr"")"),"येत्या काही तासांमध्ये तापमान आणि {name} मध्ये पावसाची शक्यता")</f>
        <v>येत्या काही तासांमध्ये तापमान आणि {name} मध्ये पावसाची शक्यता</v>
      </c>
      <c r="AS54" s="3" t="str">
        <f>IFERROR(__xludf.DUMMYFUNCTION("GoogleTranslate(C54, ""en"", ""mn"")"),"Ойрын цагуудад {name}-д температур ба бороо орох магадлалтай")</f>
        <v>Ойрын цагуудад {name}-д температур ба бороо орох магадлалтай</v>
      </c>
      <c r="AT54" s="3" t="str">
        <f>IFERROR(__xludf.DUMMYFUNCTION("GoogleTranslate(C54, ""en"", ""ne"")"),"आगामी घण्टामा {name} मा तापक्रम र वर्षाको सम्भावना")</f>
        <v>आगामी घण्टामा {name} मा तापक्रम र वर्षाको सम्भावना</v>
      </c>
      <c r="AU54" s="3" t="str">
        <f>IFERROR(__xludf.DUMMYFUNCTION("GoogleTranslate(C54, ""en"", ""nb"")"),"Temperatur og sjanse for regn i {name} de kommende timene")</f>
        <v>Temperatur og sjanse for regn i {name} de kommende timene</v>
      </c>
      <c r="AV54" s="3" t="str">
        <f>IFERROR(__xludf.DUMMYFUNCTION("GoogleTranslate(C54, ""en"", ""fa"")"),"دما و احتمال بارندگی در {name} در ساعات آینده")</f>
        <v>دما و احتمال بارندگی در {name} در ساعات آینده</v>
      </c>
      <c r="AW54" s="3" t="str">
        <f>IFERROR(__xludf.DUMMYFUNCTION("GoogleTranslate(C54, ""en"", ""pl"")"),"Temperatura i prawdopodobieństwo opadów deszczu w {name} w nadchodzących godzinach")</f>
        <v>Temperatura i prawdopodobieństwo opadów deszczu w {name} w nadchodzących godzinach</v>
      </c>
      <c r="AX54" s="3" t="str">
        <f>IFERROR(__xludf.DUMMYFUNCTION("GoogleTranslate(C54, ""en"", ""pt"")"),"Temperatura e possibilidade de chuva em {name} nas próximas horas")</f>
        <v>Temperatura e possibilidade de chuva em {name} nas próximas horas</v>
      </c>
      <c r="AY54" s="3" t="str">
        <f>IFERROR(__xludf.DUMMYFUNCTION("GoogleTranslate(C54, ""en"", ""ro"")"),"Temperatura și șansa de ploaie în {name} în următoarele ore")</f>
        <v>Temperatura și șansa de ploaie în {name} în următoarele ore</v>
      </c>
      <c r="AZ54" s="3" t="str">
        <f>IFERROR(__xludf.DUMMYFUNCTION("GoogleTranslate(C54, ""en"", ""ru"")"),"Температура и вероятность дождя в {name} в ближайшие часы")</f>
        <v>Температура и вероятность дождя в {name} в ближайшие часы</v>
      </c>
      <c r="BA54" s="3" t="str">
        <f>IFERROR(__xludf.DUMMYFUNCTION("GoogleTranslate(C54, ""en"", ""sr"")"),"Температура и могућност кише у {наме} у наредним сатима")</f>
        <v>Температура и могућност кише у {наме} у наредним сатима</v>
      </c>
      <c r="BB54" s="3" t="str">
        <f>IFERROR(__xludf.DUMMYFUNCTION("GoogleTranslate(C54, ""en"", ""si"")"),"ඉදිරි පැය වලදී {name} හි උෂ්ණත්වය සහ වර්ෂාපතන අවස්ථාව")</f>
        <v>ඉදිරි පැය වලදී {name} හි උෂ්ණත්වය සහ වර්ෂාපතන අවස්ථාව</v>
      </c>
      <c r="BC54" s="3" t="str">
        <f>IFERROR(__xludf.DUMMYFUNCTION("GoogleTranslate(C54, ""en"", ""sk"")"),"Teplota a možnosť dažďa v meste {name} v najbližších hodinách")</f>
        <v>Teplota a možnosť dažďa v meste {name} v najbližších hodinách</v>
      </c>
      <c r="BD54" s="3" t="str">
        <f>IFERROR(__xludf.DUMMYFUNCTION("GoogleTranslate(C54, ""en"", ""sl"")"),"Temperatura in možnost dežja v {name} v prihodnjih urah")</f>
        <v>Temperatura in možnost dežja v {name} v prihodnjih urah</v>
      </c>
      <c r="BE54" s="3" t="str">
        <f>IFERROR(__xludf.DUMMYFUNCTION("GoogleTranslate(C54, ""en"", ""es"")"),"Temperatura y probabilidad de lluvia en {nombre} en las próximas horas")</f>
        <v>Temperatura y probabilidad de lluvia en {nombre} en las próximas horas</v>
      </c>
      <c r="BF54" s="3" t="str">
        <f>IFERROR(__xludf.DUMMYFUNCTION("GoogleTranslate(C54, ""en"", ""sw"")"),"Halijoto na uwezekano wa mvua katika {name} saa zijazo")</f>
        <v>Halijoto na uwezekano wa mvua katika {name} saa zijazo</v>
      </c>
      <c r="BG54" s="3" t="str">
        <f>IFERROR(__xludf.DUMMYFUNCTION("GoogleTranslate(C54, ""en"", ""sv"")"),"Temperatur och risk för regn i {name} under de kommande timmarna")</f>
        <v>Temperatur och risk för regn i {name} under de kommande timmarna</v>
      </c>
      <c r="BH54" s="3" t="str">
        <f>IFERROR(__xludf.DUMMYFUNCTION("GoogleTranslate(C54, ""en"", ""te"")"),"రానున్న గంటల్లో {name}లో ఉష్ణోగ్రత &amp; వర్షం పడే అవకాశం")</f>
        <v>రానున్న గంటల్లో {name}లో ఉష్ణోగ్రత &amp; వర్షం పడే అవకాశం</v>
      </c>
      <c r="BI54" s="3" t="str">
        <f>IFERROR(__xludf.DUMMYFUNCTION("GoogleTranslate(C54, ""en"", ""th"")"),"อุณหภูมิและโอกาสที่ฝนจะตกใน {name} ในอีกไม่กี่ชั่วโมงข้างหน้า")</f>
        <v>อุณหภูมิและโอกาสที่ฝนจะตกใน {name} ในอีกไม่กี่ชั่วโมงข้างหน้า</v>
      </c>
      <c r="BJ54" s="3" t="str">
        <f>IFERROR(__xludf.DUMMYFUNCTION("GoogleTranslate(C54, ""en"", ""tr"")"),"{name} için önümüzdeki saatlerde sıcaklık ve yağmur ihtimali")</f>
        <v>{name} için önümüzdeki saatlerde sıcaklık ve yağmur ihtimali</v>
      </c>
      <c r="BK54" s="3" t="str">
        <f>IFERROR(__xludf.DUMMYFUNCTION("GoogleTranslate(C54, ""en"", ""uk"")"),"Температура та ймовірність дощу в {name} найближчими годинами")</f>
        <v>Температура та ймовірність дощу в {name} найближчими годинами</v>
      </c>
      <c r="BL54" s="3" t="str">
        <f>IFERROR(__xludf.DUMMYFUNCTION("GoogleTranslate(C54, ""en"", ""zu"")"),"Izinga lokushisa nethuba lemvula e-{name} emahoreni azayo")</f>
        <v>Izinga lokushisa nethuba lemvula e-{name} emahoreni azayo</v>
      </c>
    </row>
    <row r="55">
      <c r="A55" s="1" t="str">
        <f t="shared" si="1"/>
        <v>Chance_of_rain</v>
      </c>
      <c r="B55" s="4" t="s">
        <v>117</v>
      </c>
      <c r="C55" s="1" t="str">
        <f t="shared" si="2"/>
        <v>Chance of rain</v>
      </c>
      <c r="D55" s="3" t="str">
        <f>IFERROR(__xludf.DUMMYFUNCTION("GoogleTranslate(C55, ""en"", ""es"")"),"Posibilidad de lluvia")</f>
        <v>Posibilidad de lluvia</v>
      </c>
      <c r="E55" s="3" t="str">
        <f>IFERROR(__xludf.DUMMYFUNCTION("GoogleTranslate(C55, ""en"", ""ar"")"),"فرصة هطول المطر")</f>
        <v>فرصة هطول المطر</v>
      </c>
      <c r="F55" s="3" t="str">
        <f>IFERROR(__xludf.DUMMYFUNCTION("GoogleTranslate(C55, ""en"", ""hy"")"),"Անձրևի հավանականություն")</f>
        <v>Անձրևի հավանականություն</v>
      </c>
      <c r="G55" s="3" t="str">
        <f>IFERROR(__xludf.DUMMYFUNCTION("GoogleTranslate(C55, ""en"", ""vi"")"),"Khả năng có mưa")</f>
        <v>Khả năng có mưa</v>
      </c>
      <c r="H55" s="3" t="str">
        <f>IFERROR(__xludf.DUMMYFUNCTION("GoogleTranslate(C55, ""en"", ""az"")"),"Yağış ehtimalı")</f>
        <v>Yağış ehtimalı</v>
      </c>
      <c r="I55" s="3" t="str">
        <f>IFERROR(__xludf.DUMMYFUNCTION("GoogleTranslate(C55, ""en"", ""eu"")"),"Euria egiteko aukera")</f>
        <v>Euria egiteko aukera</v>
      </c>
      <c r="J55" s="3" t="str">
        <f>IFERROR(__xludf.DUMMYFUNCTION("GoogleTranslate(C55, ""en"", ""be"")"),"Магчымы дождж")</f>
        <v>Магчымы дождж</v>
      </c>
      <c r="K55" s="3" t="str">
        <f>IFERROR(__xludf.DUMMYFUNCTION("GoogleTranslate(C55, ""en"", ""bn"")"),"বৃষ্টির সম্ভাবনা")</f>
        <v>বৃষ্টির সম্ভাবনা</v>
      </c>
      <c r="L55" s="3" t="str">
        <f>IFERROR(__xludf.DUMMYFUNCTION("GoogleTranslate(C55, ""en"", ""bg"")"),"Вероятност за дъжд")</f>
        <v>Вероятност за дъжд</v>
      </c>
      <c r="M55" s="3" t="str">
        <f>IFERROR(__xludf.DUMMYFUNCTION("GoogleTranslate(C55, ""en"", ""my"")"),"မိုးရွာနိုင်ခြေ")</f>
        <v>မိုးရွာနိုင်ခြေ</v>
      </c>
      <c r="N55" s="3" t="str">
        <f>IFERROR(__xludf.DUMMYFUNCTION("GoogleTranslate(C55, ""en"", ""ca"")"),"Possibilitat de pluja")</f>
        <v>Possibilitat de pluja</v>
      </c>
      <c r="O55" s="3" t="str">
        <f>IFERROR(__xludf.DUMMYFUNCTION("GoogleTranslate(C55, ""en"", ""zh-cn"")"),"有可能下雨")</f>
        <v>有可能下雨</v>
      </c>
      <c r="P55" s="3" t="str">
        <f>IFERROR(__xludf.DUMMYFUNCTION("GoogleTranslate(C55, ""en"", ""zh-TW"")"),"有可能下雨")</f>
        <v>有可能下雨</v>
      </c>
      <c r="Q55" s="3" t="str">
        <f>IFERROR(__xludf.DUMMYFUNCTION("GoogleTranslate(C55, ""en"", ""hr"")"),"Mogućnost kiše")</f>
        <v>Mogućnost kiše</v>
      </c>
      <c r="R55" s="3" t="str">
        <f>IFERROR(__xludf.DUMMYFUNCTION("GoogleTranslate(C55, ""en"", ""cs"")"),"Možnost deště")</f>
        <v>Možnost deště</v>
      </c>
      <c r="S55" s="3" t="str">
        <f>IFERROR(__xludf.DUMMYFUNCTION("GoogleTranslate(C55, ""en"", ""da"")"),"Mulighed for regn")</f>
        <v>Mulighed for regn</v>
      </c>
      <c r="T55" s="3" t="str">
        <f>IFERROR(__xludf.DUMMYFUNCTION("GoogleTranslate(C55, ""en"", ""nl"")"),"Kans op regen")</f>
        <v>Kans op regen</v>
      </c>
      <c r="U55" s="3" t="str">
        <f>IFERROR(__xludf.DUMMYFUNCTION("GoogleTranslate(C55, ""en"", ""et"")"),"Vihma võimalus")</f>
        <v>Vihma võimalus</v>
      </c>
      <c r="V55" s="1" t="str">
        <f t="shared" si="3"/>
        <v>Chance of rain</v>
      </c>
      <c r="W55" s="3" t="str">
        <f>IFERROR(__xludf.DUMMYFUNCTION("GoogleTranslate(C55, ""en"", ""fi"")"),"Sateen mahdollisuus")</f>
        <v>Sateen mahdollisuus</v>
      </c>
      <c r="X55" s="3" t="str">
        <f>IFERROR(__xludf.DUMMYFUNCTION("GoogleTranslate(C55, ""en"", ""fr"")"),"Risque de pluie")</f>
        <v>Risque de pluie</v>
      </c>
      <c r="Y55" s="3" t="str">
        <f>IFERROR(__xludf.DUMMYFUNCTION("GoogleTranslate(C55, ""en"", ""de"")"),"Regenwahrscheinlichkeit")</f>
        <v>Regenwahrscheinlichkeit</v>
      </c>
      <c r="Z55" s="3" t="str">
        <f>IFERROR(__xludf.DUMMYFUNCTION("GoogleTranslate(C55, ""en"", ""el"")"),"Πιθανότητα βροχής")</f>
        <v>Πιθανότητα βροχής</v>
      </c>
      <c r="AA55" s="3" t="str">
        <f>IFERROR(__xludf.DUMMYFUNCTION("GoogleTranslate(C55, ""en"", ""iw"")"),"סיכוי לגשם")</f>
        <v>סיכוי לגשם</v>
      </c>
      <c r="AB55" s="3" t="str">
        <f>IFERROR(__xludf.DUMMYFUNCTION("GoogleTranslate(C55, ""en"", ""hi"")"),"बारिश की संभावना")</f>
        <v>बारिश की संभावना</v>
      </c>
      <c r="AC55" s="3" t="str">
        <f>IFERROR(__xludf.DUMMYFUNCTION("GoogleTranslate(C55, ""en"", ""hu"")"),"Eső valószínű")</f>
        <v>Eső valószínű</v>
      </c>
      <c r="AD55" s="3" t="str">
        <f>IFERROR(__xludf.DUMMYFUNCTION("GoogleTranslate(C55, ""en"", ""is"")"),"Líkur á rigningu")</f>
        <v>Líkur á rigningu</v>
      </c>
      <c r="AE55" s="3" t="str">
        <f>IFERROR(__xludf.DUMMYFUNCTION("GoogleTranslate(C55, ""en"", ""id"")"),"Kemungkinan hujan")</f>
        <v>Kemungkinan hujan</v>
      </c>
      <c r="AF55" s="3" t="str">
        <f>IFERROR(__xludf.DUMMYFUNCTION("GoogleTranslate(C55, ""en"", ""in"")"),"Kemungkinan hujan")</f>
        <v>Kemungkinan hujan</v>
      </c>
      <c r="AG55" s="3" t="str">
        <f>IFERROR(__xludf.DUMMYFUNCTION("GoogleTranslate(C55, ""en"", ""it"")"),"Possibilità di pioggia")</f>
        <v>Possibilità di pioggia</v>
      </c>
      <c r="AH55" s="3" t="str">
        <f>IFERROR(__xludf.DUMMYFUNCTION("GoogleTranslate(C55, ""en"", ""ja"")"),"雨の可能性")</f>
        <v>雨の可能性</v>
      </c>
      <c r="AI55" s="3" t="str">
        <f>IFERROR(__xludf.DUMMYFUNCTION("GoogleTranslate(C55, ""en"", ""kn"")"),"ಮಳೆಯಾಗುವ ಸಾಧ್ಯತೆ")</f>
        <v>ಮಳೆಯಾಗುವ ಸಾಧ್ಯತೆ</v>
      </c>
      <c r="AJ55" s="3" t="str">
        <f>IFERROR(__xludf.DUMMYFUNCTION("GoogleTranslate(C55, ""en"", ""km"")"),"ឱកាសភ្លៀង")</f>
        <v>ឱកាសភ្លៀង</v>
      </c>
      <c r="AK55" s="3" t="str">
        <f>IFERROR(__xludf.DUMMYFUNCTION("GoogleTranslate(C55, ""en"", ""ko"")"),"비올 확률")</f>
        <v>비올 확률</v>
      </c>
      <c r="AL55" s="3" t="str">
        <f>IFERROR(__xludf.DUMMYFUNCTION("GoogleTranslate(C55, ""en"", ""lo"")"),"ໂອກາດຝົນຕົກ")</f>
        <v>ໂອກາດຝົນຕົກ</v>
      </c>
      <c r="AM55" s="3" t="str">
        <f>IFERROR(__xludf.DUMMYFUNCTION("GoogleTranslate(C55, ""en"", ""lv"")"),"Iespējams lietus")</f>
        <v>Iespējams lietus</v>
      </c>
      <c r="AN55" s="3" t="str">
        <f>IFERROR(__xludf.DUMMYFUNCTION("GoogleTranslate(C55, ""en"", ""lt"")"),"Lietaus tikimybė")</f>
        <v>Lietaus tikimybė</v>
      </c>
      <c r="AO55" s="3" t="str">
        <f>IFERROR(__xludf.DUMMYFUNCTION("GoogleTranslate(C55, ""en"", ""mk"")"),"Можност за дожд")</f>
        <v>Можност за дожд</v>
      </c>
      <c r="AP55" s="3" t="str">
        <f>IFERROR(__xludf.DUMMYFUNCTION("GoogleTranslate(C55, ""en"", ""ms"")"),"Peluang hujan")</f>
        <v>Peluang hujan</v>
      </c>
      <c r="AQ55" s="3" t="str">
        <f>IFERROR(__xludf.DUMMYFUNCTION("GoogleTranslate(C55, ""en"", ""ml"")"),"മഴയ്ക്ക് സാധ്യത")</f>
        <v>മഴയ്ക്ക് സാധ്യത</v>
      </c>
      <c r="AR55" s="3" t="str">
        <f>IFERROR(__xludf.DUMMYFUNCTION("GoogleTranslate(C55, ""en"", ""mr"")"),"पावसाची शक्यता")</f>
        <v>पावसाची शक्यता</v>
      </c>
      <c r="AS55" s="3" t="str">
        <f>IFERROR(__xludf.DUMMYFUNCTION("GoogleTranslate(C55, ""en"", ""mn"")"),"Бороо орох магадлалтай")</f>
        <v>Бороо орох магадлалтай</v>
      </c>
      <c r="AT55" s="3" t="str">
        <f>IFERROR(__xludf.DUMMYFUNCTION("GoogleTranslate(C55, ""en"", ""ne"")"),"वर्षाको सम्भावना")</f>
        <v>वर्षाको सम्भावना</v>
      </c>
      <c r="AU55" s="3" t="str">
        <f>IFERROR(__xludf.DUMMYFUNCTION("GoogleTranslate(C55, ""en"", ""nb"")"),"Mulighet for regn")</f>
        <v>Mulighet for regn</v>
      </c>
      <c r="AV55" s="3" t="str">
        <f>IFERROR(__xludf.DUMMYFUNCTION("GoogleTranslate(C55, ""en"", ""fa"")"),"احتمال بارش باران")</f>
        <v>احتمال بارش باران</v>
      </c>
      <c r="AW55" s="3" t="str">
        <f>IFERROR(__xludf.DUMMYFUNCTION("GoogleTranslate(C55, ""en"", ""pl"")"),"Szansa na deszcz")</f>
        <v>Szansa na deszcz</v>
      </c>
      <c r="AX55" s="3" t="str">
        <f>IFERROR(__xludf.DUMMYFUNCTION("GoogleTranslate(C55, ""en"", ""pt"")"),"Possibilidade de chuva")</f>
        <v>Possibilidade de chuva</v>
      </c>
      <c r="AY55" s="3" t="str">
        <f>IFERROR(__xludf.DUMMYFUNCTION("GoogleTranslate(C55, ""en"", ""ro"")"),"Şanse de ploaie")</f>
        <v>Şanse de ploaie</v>
      </c>
      <c r="AZ55" s="3" t="str">
        <f>IFERROR(__xludf.DUMMYFUNCTION("GoogleTranslate(C55, ""en"", ""ru"")"),"Вероятность дождя")</f>
        <v>Вероятность дождя</v>
      </c>
      <c r="BA55" s="3" t="str">
        <f>IFERROR(__xludf.DUMMYFUNCTION("GoogleTranslate(C55, ""en"", ""sr"")"),"Могућа киша")</f>
        <v>Могућа киша</v>
      </c>
      <c r="BB55" s="3" t="str">
        <f>IFERROR(__xludf.DUMMYFUNCTION("GoogleTranslate(C55, ""en"", ""si"")"),"වැසි ඇති වීමට ඉඩ ඇත")</f>
        <v>වැසි ඇති වීමට ඉඩ ඇත</v>
      </c>
      <c r="BC55" s="3" t="str">
        <f>IFERROR(__xludf.DUMMYFUNCTION("GoogleTranslate(C55, ""en"", ""sk"")"),"Možnosť dažďa")</f>
        <v>Možnosť dažďa</v>
      </c>
      <c r="BD55" s="3" t="str">
        <f>IFERROR(__xludf.DUMMYFUNCTION("GoogleTranslate(C55, ""en"", ""sl"")"),"Možnost dežja")</f>
        <v>Možnost dežja</v>
      </c>
      <c r="BE55" s="3" t="str">
        <f>IFERROR(__xludf.DUMMYFUNCTION("GoogleTranslate(C55, ""en"", ""es"")"),"Posibilidad de lluvia")</f>
        <v>Posibilidad de lluvia</v>
      </c>
      <c r="BF55" s="3" t="str">
        <f>IFERROR(__xludf.DUMMYFUNCTION("GoogleTranslate(C55, ""en"", ""sw"")"),"Uwezekano wa mvua")</f>
        <v>Uwezekano wa mvua</v>
      </c>
      <c r="BG55" s="3" t="str">
        <f>IFERROR(__xludf.DUMMYFUNCTION("GoogleTranslate(C55, ""en"", ""sv"")"),"Risk för regn")</f>
        <v>Risk för regn</v>
      </c>
      <c r="BH55" s="3" t="str">
        <f>IFERROR(__xludf.DUMMYFUNCTION("GoogleTranslate(C55, ""en"", ""te"")"),"వర్షం పడే అవకాశం")</f>
        <v>వర్షం పడే అవకాశం</v>
      </c>
      <c r="BI55" s="3" t="str">
        <f>IFERROR(__xludf.DUMMYFUNCTION("GoogleTranslate(C55, ""en"", ""th"")"),"มีโอกาสเกิดฝนตก")</f>
        <v>มีโอกาสเกิดฝนตก</v>
      </c>
      <c r="BJ55" s="3" t="str">
        <f>IFERROR(__xludf.DUMMYFUNCTION("GoogleTranslate(C55, ""en"", ""tr"")"),"Yağmur ihtimali")</f>
        <v>Yağmur ihtimali</v>
      </c>
      <c r="BK55" s="3" t="str">
        <f>IFERROR(__xludf.DUMMYFUNCTION("GoogleTranslate(C55, ""en"", ""uk"")"),"Можливий дощ")</f>
        <v>Можливий дощ</v>
      </c>
      <c r="BL55" s="3" t="str">
        <f>IFERROR(__xludf.DUMMYFUNCTION("GoogleTranslate(C55, ""en"", ""zu"")"),"Amathuba emvula")</f>
        <v>Amathuba emvula</v>
      </c>
    </row>
    <row r="56">
      <c r="A56" s="1" t="str">
        <f t="shared" si="1"/>
        <v>Chance_of_snow</v>
      </c>
      <c r="B56" s="4" t="s">
        <v>118</v>
      </c>
      <c r="C56" s="1" t="str">
        <f t="shared" si="2"/>
        <v>Chance of snow</v>
      </c>
      <c r="D56" s="3" t="str">
        <f>IFERROR(__xludf.DUMMYFUNCTION("GoogleTranslate(C56, ""en"", ""es"")"),"Posibilidad de nieve")</f>
        <v>Posibilidad de nieve</v>
      </c>
      <c r="E56" s="3" t="str">
        <f>IFERROR(__xludf.DUMMYFUNCTION("GoogleTranslate(C56, ""en"", ""ar"")"),"فرصة تساقط الثلوج")</f>
        <v>فرصة تساقط الثلوج</v>
      </c>
      <c r="F56" s="3" t="str">
        <f>IFERROR(__xludf.DUMMYFUNCTION("GoogleTranslate(C56, ""en"", ""hy"")"),"Ձյան հավանականություն")</f>
        <v>Ձյան հավանականություն</v>
      </c>
      <c r="G56" s="3" t="str">
        <f>IFERROR(__xludf.DUMMYFUNCTION("GoogleTranslate(C56, ""en"", ""vi"")"),"Khả năng có tuyết")</f>
        <v>Khả năng có tuyết</v>
      </c>
      <c r="H56" s="3" t="str">
        <f>IFERROR(__xludf.DUMMYFUNCTION("GoogleTranslate(C56, ""en"", ""az"")"),"Qar ehtimalı")</f>
        <v>Qar ehtimalı</v>
      </c>
      <c r="I56" s="3" t="str">
        <f>IFERROR(__xludf.DUMMYFUNCTION("GoogleTranslate(C56, ""en"", ""eu"")"),"Elur aukera")</f>
        <v>Elur aukera</v>
      </c>
      <c r="J56" s="3" t="str">
        <f>IFERROR(__xludf.DUMMYFUNCTION("GoogleTranslate(C56, ""en"", ""be"")"),"Магчымы снег")</f>
        <v>Магчымы снег</v>
      </c>
      <c r="K56" s="3" t="str">
        <f>IFERROR(__xludf.DUMMYFUNCTION("GoogleTranslate(C56, ""en"", ""bn"")"),"তুষারপাতের সম্ভাবনা")</f>
        <v>তুষারপাতের সম্ভাবনা</v>
      </c>
      <c r="L56" s="3" t="str">
        <f>IFERROR(__xludf.DUMMYFUNCTION("GoogleTranslate(C56, ""en"", ""bg"")"),"Възможност за сняг")</f>
        <v>Възможност за сняг</v>
      </c>
      <c r="M56" s="3" t="str">
        <f>IFERROR(__xludf.DUMMYFUNCTION("GoogleTranslate(C56, ""en"", ""my"")"),"နှင်းကျနိုင်ခြေ")</f>
        <v>နှင်းကျနိုင်ခြေ</v>
      </c>
      <c r="N56" s="3" t="str">
        <f>IFERROR(__xludf.DUMMYFUNCTION("GoogleTranslate(C56, ""en"", ""ca"")"),"Possibilitat de neu")</f>
        <v>Possibilitat de neu</v>
      </c>
      <c r="O56" s="3" t="str">
        <f>IFERROR(__xludf.DUMMYFUNCTION("GoogleTranslate(C56, ""en"", ""zh-cn"")"),"有机会下雪")</f>
        <v>有机会下雪</v>
      </c>
      <c r="P56" s="3" t="str">
        <f>IFERROR(__xludf.DUMMYFUNCTION("GoogleTranslate(C56, ""en"", ""zh-TW"")"),"有機會下雪")</f>
        <v>有機會下雪</v>
      </c>
      <c r="Q56" s="3" t="str">
        <f>IFERROR(__xludf.DUMMYFUNCTION("GoogleTranslate(C56, ""en"", ""hr"")"),"Mogućnost snijega")</f>
        <v>Mogućnost snijega</v>
      </c>
      <c r="R56" s="3" t="str">
        <f>IFERROR(__xludf.DUMMYFUNCTION("GoogleTranslate(C56, ""en"", ""cs"")"),"Možnost sněžení")</f>
        <v>Možnost sněžení</v>
      </c>
      <c r="S56" s="3" t="str">
        <f>IFERROR(__xludf.DUMMYFUNCTION("GoogleTranslate(C56, ""en"", ""da"")"),"Mulighed for sne")</f>
        <v>Mulighed for sne</v>
      </c>
      <c r="T56" s="3" t="str">
        <f>IFERROR(__xludf.DUMMYFUNCTION("GoogleTranslate(C56, ""en"", ""nl"")"),"Kans op sneeuw")</f>
        <v>Kans op sneeuw</v>
      </c>
      <c r="U56" s="3" t="str">
        <f>IFERROR(__xludf.DUMMYFUNCTION("GoogleTranslate(C56, ""en"", ""et"")"),"Lume võimalus")</f>
        <v>Lume võimalus</v>
      </c>
      <c r="V56" s="1" t="str">
        <f t="shared" si="3"/>
        <v>Chance of snow</v>
      </c>
      <c r="W56" s="3" t="str">
        <f>IFERROR(__xludf.DUMMYFUNCTION("GoogleTranslate(C56, ""en"", ""fi"")"),"Lumisadetta")</f>
        <v>Lumisadetta</v>
      </c>
      <c r="X56" s="3" t="str">
        <f>IFERROR(__xludf.DUMMYFUNCTION("GoogleTranslate(C56, ""en"", ""fr"")"),"Risque de neige")</f>
        <v>Risque de neige</v>
      </c>
      <c r="Y56" s="3" t="str">
        <f>IFERROR(__xludf.DUMMYFUNCTION("GoogleTranslate(C56, ""en"", ""de"")"),"Chance auf Schnee")</f>
        <v>Chance auf Schnee</v>
      </c>
      <c r="Z56" s="3" t="str">
        <f>IFERROR(__xludf.DUMMYFUNCTION("GoogleTranslate(C56, ""en"", ""el"")"),"Πιθανότητα χιονιού")</f>
        <v>Πιθανότητα χιονιού</v>
      </c>
      <c r="AA56" s="3" t="str">
        <f>IFERROR(__xludf.DUMMYFUNCTION("GoogleTranslate(C56, ""en"", ""iw"")"),"סיכוי לשלג")</f>
        <v>סיכוי לשלג</v>
      </c>
      <c r="AB56" s="3" t="str">
        <f>IFERROR(__xludf.DUMMYFUNCTION("GoogleTranslate(C56, ""en"", ""hi"")"),"बर्फ का अवसर")</f>
        <v>बर्फ का अवसर</v>
      </c>
      <c r="AC56" s="3" t="str">
        <f>IFERROR(__xludf.DUMMYFUNCTION("GoogleTranslate(C56, ""en"", ""hu"")"),"Havazás esélye")</f>
        <v>Havazás esélye</v>
      </c>
      <c r="AD56" s="3" t="str">
        <f>IFERROR(__xludf.DUMMYFUNCTION("GoogleTranslate(C56, ""en"", ""is"")"),"Líkur á snjó")</f>
        <v>Líkur á snjó</v>
      </c>
      <c r="AE56" s="3" t="str">
        <f>IFERROR(__xludf.DUMMYFUNCTION("GoogleTranslate(C56, ""en"", ""id"")"),"Kemungkinan salju")</f>
        <v>Kemungkinan salju</v>
      </c>
      <c r="AF56" s="3" t="str">
        <f>IFERROR(__xludf.DUMMYFUNCTION("GoogleTranslate(C56, ""en"", ""in"")"),"Kemungkinan salju")</f>
        <v>Kemungkinan salju</v>
      </c>
      <c r="AG56" s="3" t="str">
        <f>IFERROR(__xludf.DUMMYFUNCTION("GoogleTranslate(C56, ""en"", ""it"")"),"Possibilità di neve")</f>
        <v>Possibilità di neve</v>
      </c>
      <c r="AH56" s="3" t="str">
        <f>IFERROR(__xludf.DUMMYFUNCTION("GoogleTranslate(C56, ""en"", ""ja"")"),"雪の可能性")</f>
        <v>雪の可能性</v>
      </c>
      <c r="AI56" s="3" t="str">
        <f>IFERROR(__xludf.DUMMYFUNCTION("GoogleTranslate(C56, ""en"", ""kn"")"),"ಹಿಮದ ಸಾಧ್ಯತೆ")</f>
        <v>ಹಿಮದ ಸಾಧ್ಯತೆ</v>
      </c>
      <c r="AJ56" s="3" t="str">
        <f>IFERROR(__xludf.DUMMYFUNCTION("GoogleTranslate(C56, ""en"", ""km"")"),"ឱកាសព្រិល")</f>
        <v>ឱកាសព្រិល</v>
      </c>
      <c r="AK56" s="3" t="str">
        <f>IFERROR(__xludf.DUMMYFUNCTION("GoogleTranslate(C56, ""en"", ""ko"")"),"눈이 올 확률")</f>
        <v>눈이 올 확률</v>
      </c>
      <c r="AL56" s="3" t="str">
        <f>IFERROR(__xludf.DUMMYFUNCTION("GoogleTranslate(C56, ""en"", ""lo"")"),"ໂອກາດຂອງຫິມະ")</f>
        <v>ໂອກາດຂອງຫິມະ</v>
      </c>
      <c r="AM56" s="3" t="str">
        <f>IFERROR(__xludf.DUMMYFUNCTION("GoogleTranslate(C56, ""en"", ""lv"")"),"Iespējams sniegs")</f>
        <v>Iespējams sniegs</v>
      </c>
      <c r="AN56" s="3" t="str">
        <f>IFERROR(__xludf.DUMMYFUNCTION("GoogleTranslate(C56, ""en"", ""lt"")"),"Sniego tikimybė")</f>
        <v>Sniego tikimybė</v>
      </c>
      <c r="AO56" s="3" t="str">
        <f>IFERROR(__xludf.DUMMYFUNCTION("GoogleTranslate(C56, ""en"", ""mk"")"),"Можност за снег")</f>
        <v>Можност за снег</v>
      </c>
      <c r="AP56" s="3" t="str">
        <f>IFERROR(__xludf.DUMMYFUNCTION("GoogleTranslate(C56, ""en"", ""ms"")"),"Peluang salji")</f>
        <v>Peluang salji</v>
      </c>
      <c r="AQ56" s="3" t="str">
        <f>IFERROR(__xludf.DUMMYFUNCTION("GoogleTranslate(C56, ""en"", ""ml"")"),"മഞ്ഞ് വീഴാനുള്ള സാധ്യത")</f>
        <v>മഞ്ഞ് വീഴാനുള്ള സാധ്യത</v>
      </c>
      <c r="AR56" s="3" t="str">
        <f>IFERROR(__xludf.DUMMYFUNCTION("GoogleTranslate(C56, ""en"", ""mr"")"),"बर्फाची शक्यता")</f>
        <v>बर्फाची शक्यता</v>
      </c>
      <c r="AS56" s="3" t="str">
        <f>IFERROR(__xludf.DUMMYFUNCTION("GoogleTranslate(C56, ""en"", ""mn"")"),"Цас орох магадлалтай")</f>
        <v>Цас орох магадлалтай</v>
      </c>
      <c r="AT56" s="3" t="str">
        <f>IFERROR(__xludf.DUMMYFUNCTION("GoogleTranslate(C56, ""en"", ""ne"")"),"हिमपातको सम्भावना")</f>
        <v>हिमपातको सम्भावना</v>
      </c>
      <c r="AU56" s="3" t="str">
        <f>IFERROR(__xludf.DUMMYFUNCTION("GoogleTranslate(C56, ""en"", ""nb"")"),"Mulighet for snø")</f>
        <v>Mulighet for snø</v>
      </c>
      <c r="AV56" s="3" t="str">
        <f>IFERROR(__xludf.DUMMYFUNCTION("GoogleTranslate(C56, ""en"", ""fa"")"),"احتمال بارش برف")</f>
        <v>احتمال بارش برف</v>
      </c>
      <c r="AW56" s="3" t="str">
        <f>IFERROR(__xludf.DUMMYFUNCTION("GoogleTranslate(C56, ""en"", ""pl"")"),"Szansa na śnieg")</f>
        <v>Szansa na śnieg</v>
      </c>
      <c r="AX56" s="3" t="str">
        <f>IFERROR(__xludf.DUMMYFUNCTION("GoogleTranslate(C56, ""en"", ""pt"")"),"Possibilidade de neve")</f>
        <v>Possibilidade de neve</v>
      </c>
      <c r="AY56" s="3" t="str">
        <f>IFERROR(__xludf.DUMMYFUNCTION("GoogleTranslate(C56, ""en"", ""ro"")"),"Şanse de ninsoare")</f>
        <v>Şanse de ninsoare</v>
      </c>
      <c r="AZ56" s="3" t="str">
        <f>IFERROR(__xludf.DUMMYFUNCTION("GoogleTranslate(C56, ""en"", ""ru"")"),"Вероятность снега")</f>
        <v>Вероятность снега</v>
      </c>
      <c r="BA56" s="3" t="str">
        <f>IFERROR(__xludf.DUMMYFUNCTION("GoogleTranslate(C56, ""en"", ""sr"")"),"Цханце оф снов")</f>
        <v>Цханце оф снов</v>
      </c>
      <c r="BB56" s="3" t="str">
        <f>IFERROR(__xludf.DUMMYFUNCTION("GoogleTranslate(C56, ""en"", ""si"")"),"හිම වැටීමේ හැකියාව")</f>
        <v>හිම වැටීමේ හැකියාව</v>
      </c>
      <c r="BC56" s="3" t="str">
        <f>IFERROR(__xludf.DUMMYFUNCTION("GoogleTranslate(C56, ""en"", ""sk"")"),"Možnosť sneženia")</f>
        <v>Možnosť sneženia</v>
      </c>
      <c r="BD56" s="3" t="str">
        <f>IFERROR(__xludf.DUMMYFUNCTION("GoogleTranslate(C56, ""en"", ""sl"")"),"Možnost snega")</f>
        <v>Možnost snega</v>
      </c>
      <c r="BE56" s="3" t="str">
        <f>IFERROR(__xludf.DUMMYFUNCTION("GoogleTranslate(C56, ""en"", ""es"")"),"Posibilidad de nieve")</f>
        <v>Posibilidad de nieve</v>
      </c>
      <c r="BF56" s="3" t="str">
        <f>IFERROR(__xludf.DUMMYFUNCTION("GoogleTranslate(C56, ""en"", ""sw"")"),"Uwezekano wa theluji")</f>
        <v>Uwezekano wa theluji</v>
      </c>
      <c r="BG56" s="3" t="str">
        <f>IFERROR(__xludf.DUMMYFUNCTION("GoogleTranslate(C56, ""en"", ""sv"")"),"Risk för snö")</f>
        <v>Risk för snö</v>
      </c>
      <c r="BH56" s="3" t="str">
        <f>IFERROR(__xludf.DUMMYFUNCTION("GoogleTranslate(C56, ""en"", ""te"")"),"మంచు కురిసే అవకాశం")</f>
        <v>మంచు కురిసే అవకాశం</v>
      </c>
      <c r="BI56" s="3" t="str">
        <f>IFERROR(__xludf.DUMMYFUNCTION("GoogleTranslate(C56, ""en"", ""th"")"),"มีโอกาสเกิดหิมะตก")</f>
        <v>มีโอกาสเกิดหิมะตก</v>
      </c>
      <c r="BJ56" s="3" t="str">
        <f>IFERROR(__xludf.DUMMYFUNCTION("GoogleTranslate(C56, ""en"", ""tr"")"),"Kar ihtimali")</f>
        <v>Kar ihtimali</v>
      </c>
      <c r="BK56" s="3" t="str">
        <f>IFERROR(__xludf.DUMMYFUNCTION("GoogleTranslate(C56, ""en"", ""uk"")"),"Можливий сніг")</f>
        <v>Можливий сніг</v>
      </c>
      <c r="BL56" s="3" t="str">
        <f>IFERROR(__xludf.DUMMYFUNCTION("GoogleTranslate(C56, ""en"", ""zu"")"),"Ithuba leqhwa")</f>
        <v>Ithuba leqhwa</v>
      </c>
    </row>
    <row r="57">
      <c r="A57" s="1" t="str">
        <f t="shared" si="1"/>
        <v>Precipitation</v>
      </c>
      <c r="B57" s="4" t="s">
        <v>119</v>
      </c>
      <c r="C57" s="1" t="str">
        <f t="shared" si="2"/>
        <v>Precipitation</v>
      </c>
      <c r="D57" s="3" t="str">
        <f>IFERROR(__xludf.DUMMYFUNCTION("GoogleTranslate(C57, ""en"", ""es"")"),"Precipitación")</f>
        <v>Precipitación</v>
      </c>
      <c r="E57" s="3" t="str">
        <f>IFERROR(__xludf.DUMMYFUNCTION("GoogleTranslate(C57, ""en"", ""ar"")"),"تساقط")</f>
        <v>تساقط</v>
      </c>
      <c r="F57" s="3" t="str">
        <f>IFERROR(__xludf.DUMMYFUNCTION("GoogleTranslate(C57, ""en"", ""hy"")"),"Տեղումներ")</f>
        <v>Տեղումներ</v>
      </c>
      <c r="G57" s="3" t="str">
        <f>IFERROR(__xludf.DUMMYFUNCTION("GoogleTranslate(C57, ""en"", ""vi"")"),"Sự kết tủa")</f>
        <v>Sự kết tủa</v>
      </c>
      <c r="H57" s="3" t="str">
        <f>IFERROR(__xludf.DUMMYFUNCTION("GoogleTranslate(C57, ""en"", ""az"")"),"Yağıntı")</f>
        <v>Yağıntı</v>
      </c>
      <c r="I57" s="3" t="str">
        <f>IFERROR(__xludf.DUMMYFUNCTION("GoogleTranslate(C57, ""en"", ""eu"")"),"Prezipitazioa")</f>
        <v>Prezipitazioa</v>
      </c>
      <c r="J57" s="3" t="str">
        <f>IFERROR(__xludf.DUMMYFUNCTION("GoogleTranslate(C57, ""en"", ""be"")"),"Ападкі")</f>
        <v>Ападкі</v>
      </c>
      <c r="K57" s="3" t="str">
        <f>IFERROR(__xludf.DUMMYFUNCTION("GoogleTranslate(C57, ""en"", ""bn"")"),"বর্ষণ")</f>
        <v>বর্ষণ</v>
      </c>
      <c r="L57" s="3" t="str">
        <f>IFERROR(__xludf.DUMMYFUNCTION("GoogleTranslate(C57, ""en"", ""bg"")"),"Валежи")</f>
        <v>Валежи</v>
      </c>
      <c r="M57" s="3" t="str">
        <f>IFERROR(__xludf.DUMMYFUNCTION("GoogleTranslate(C57, ""en"", ""my"")"),"မိုးရွာတယ်။")</f>
        <v>မိုးရွာတယ်။</v>
      </c>
      <c r="N57" s="3" t="str">
        <f>IFERROR(__xludf.DUMMYFUNCTION("GoogleTranslate(C57, ""en"", ""ca"")"),"Precipitació")</f>
        <v>Precipitació</v>
      </c>
      <c r="O57" s="3" t="str">
        <f>IFERROR(__xludf.DUMMYFUNCTION("GoogleTranslate(C57, ""en"", ""zh-cn"")"),"沉淀")</f>
        <v>沉淀</v>
      </c>
      <c r="P57" s="3" t="str">
        <f>IFERROR(__xludf.DUMMYFUNCTION("GoogleTranslate(C57, ""en"", ""zh-TW"")"),"沉澱")</f>
        <v>沉澱</v>
      </c>
      <c r="Q57" s="3" t="str">
        <f>IFERROR(__xludf.DUMMYFUNCTION("GoogleTranslate(C57, ""en"", ""hr"")"),"Taloženje")</f>
        <v>Taloženje</v>
      </c>
      <c r="R57" s="3" t="str">
        <f>IFERROR(__xludf.DUMMYFUNCTION("GoogleTranslate(C57, ""en"", ""cs"")"),"Srážky")</f>
        <v>Srážky</v>
      </c>
      <c r="S57" s="3" t="str">
        <f>IFERROR(__xludf.DUMMYFUNCTION("GoogleTranslate(C57, ""en"", ""da"")"),"Nedbør")</f>
        <v>Nedbør</v>
      </c>
      <c r="T57" s="3" t="str">
        <f>IFERROR(__xludf.DUMMYFUNCTION("GoogleTranslate(C57, ""en"", ""nl"")"),"Neerslag")</f>
        <v>Neerslag</v>
      </c>
      <c r="U57" s="3" t="str">
        <f>IFERROR(__xludf.DUMMYFUNCTION("GoogleTranslate(C57, ""en"", ""et"")"),"Sademed")</f>
        <v>Sademed</v>
      </c>
      <c r="V57" s="1" t="str">
        <f t="shared" si="3"/>
        <v>Precipitation</v>
      </c>
      <c r="W57" s="3" t="str">
        <f>IFERROR(__xludf.DUMMYFUNCTION("GoogleTranslate(C57, ""en"", ""fi"")"),"Sademäärä")</f>
        <v>Sademäärä</v>
      </c>
      <c r="X57" s="3" t="str">
        <f>IFERROR(__xludf.DUMMYFUNCTION("GoogleTranslate(C57, ""en"", ""fr"")"),"Précipitation")</f>
        <v>Précipitation</v>
      </c>
      <c r="Y57" s="3" t="str">
        <f>IFERROR(__xludf.DUMMYFUNCTION("GoogleTranslate(C57, ""en"", ""de"")"),"Fällung")</f>
        <v>Fällung</v>
      </c>
      <c r="Z57" s="3" t="str">
        <f>IFERROR(__xludf.DUMMYFUNCTION("GoogleTranslate(C57, ""en"", ""el"")"),"Κατακρήμνιση")</f>
        <v>Κατακρήμνιση</v>
      </c>
      <c r="AA57" s="3" t="str">
        <f>IFERROR(__xludf.DUMMYFUNCTION("GoogleTranslate(C57, ""en"", ""iw"")"),"מִשׁקָע")</f>
        <v>מִשׁקָע</v>
      </c>
      <c r="AB57" s="3" t="str">
        <f>IFERROR(__xludf.DUMMYFUNCTION("GoogleTranslate(C57, ""en"", ""hi"")"),"वर्षण")</f>
        <v>वर्षण</v>
      </c>
      <c r="AC57" s="3" t="str">
        <f>IFERROR(__xludf.DUMMYFUNCTION("GoogleTranslate(C57, ""en"", ""hu"")"),"Csapadék")</f>
        <v>Csapadék</v>
      </c>
      <c r="AD57" s="3" t="str">
        <f>IFERROR(__xludf.DUMMYFUNCTION("GoogleTranslate(C57, ""en"", ""is"")"),"Úrkoma")</f>
        <v>Úrkoma</v>
      </c>
      <c r="AE57" s="3" t="str">
        <f>IFERROR(__xludf.DUMMYFUNCTION("GoogleTranslate(C57, ""en"", ""id"")"),"Pengendapan")</f>
        <v>Pengendapan</v>
      </c>
      <c r="AF57" s="3" t="str">
        <f>IFERROR(__xludf.DUMMYFUNCTION("GoogleTranslate(C57, ""en"", ""in"")"),"Pengendapan")</f>
        <v>Pengendapan</v>
      </c>
      <c r="AG57" s="3" t="str">
        <f>IFERROR(__xludf.DUMMYFUNCTION("GoogleTranslate(C57, ""en"", ""it"")"),"Precipitazione")</f>
        <v>Precipitazione</v>
      </c>
      <c r="AH57" s="3" t="str">
        <f>IFERROR(__xludf.DUMMYFUNCTION("GoogleTranslate(C57, ""en"", ""ja"")"),"降水量")</f>
        <v>降水量</v>
      </c>
      <c r="AI57" s="3" t="str">
        <f>IFERROR(__xludf.DUMMYFUNCTION("GoogleTranslate(C57, ""en"", ""kn"")"),"ಮಳೆ")</f>
        <v>ಮಳೆ</v>
      </c>
      <c r="AJ57" s="3" t="str">
        <f>IFERROR(__xludf.DUMMYFUNCTION("GoogleTranslate(C57, ""en"", ""km"")"),"ទឹកភ្លៀង")</f>
        <v>ទឹកភ្លៀង</v>
      </c>
      <c r="AK57" s="3" t="str">
        <f>IFERROR(__xludf.DUMMYFUNCTION("GoogleTranslate(C57, ""en"", ""ko"")"),"강수량")</f>
        <v>강수량</v>
      </c>
      <c r="AL57" s="3" t="str">
        <f>IFERROR(__xludf.DUMMYFUNCTION("GoogleTranslate(C57, ""en"", ""lo"")"),"ຝົນ")</f>
        <v>ຝົນ</v>
      </c>
      <c r="AM57" s="3" t="str">
        <f>IFERROR(__xludf.DUMMYFUNCTION("GoogleTranslate(C57, ""en"", ""lv"")"),"Nokrišņi")</f>
        <v>Nokrišņi</v>
      </c>
      <c r="AN57" s="3" t="str">
        <f>IFERROR(__xludf.DUMMYFUNCTION("GoogleTranslate(C57, ""en"", ""lt"")"),"Krituliai")</f>
        <v>Krituliai</v>
      </c>
      <c r="AO57" s="3" t="str">
        <f>IFERROR(__xludf.DUMMYFUNCTION("GoogleTranslate(C57, ""en"", ""mk"")"),"Врнежите")</f>
        <v>Врнежите</v>
      </c>
      <c r="AP57" s="3" t="str">
        <f>IFERROR(__xludf.DUMMYFUNCTION("GoogleTranslate(C57, ""en"", ""ms"")"),"kerpasan")</f>
        <v>kerpasan</v>
      </c>
      <c r="AQ57" s="3" t="str">
        <f>IFERROR(__xludf.DUMMYFUNCTION("GoogleTranslate(C57, ""en"", ""ml"")"),"മഴ")</f>
        <v>മഴ</v>
      </c>
      <c r="AR57" s="3" t="str">
        <f>IFERROR(__xludf.DUMMYFUNCTION("GoogleTranslate(C57, ""en"", ""mr"")"),"वर्षाव")</f>
        <v>वर्षाव</v>
      </c>
      <c r="AS57" s="3" t="str">
        <f>IFERROR(__xludf.DUMMYFUNCTION("GoogleTranslate(C57, ""en"", ""mn"")"),"Хур тунадас")</f>
        <v>Хур тунадас</v>
      </c>
      <c r="AT57" s="3" t="str">
        <f>IFERROR(__xludf.DUMMYFUNCTION("GoogleTranslate(C57, ""en"", ""ne"")"),"वर्षा")</f>
        <v>वर्षा</v>
      </c>
      <c r="AU57" s="3" t="str">
        <f>IFERROR(__xludf.DUMMYFUNCTION("GoogleTranslate(C57, ""en"", ""nb"")"),"Nedbør")</f>
        <v>Nedbør</v>
      </c>
      <c r="AV57" s="3" t="str">
        <f>IFERROR(__xludf.DUMMYFUNCTION("GoogleTranslate(C57, ""en"", ""fa"")"),"بارش")</f>
        <v>بارش</v>
      </c>
      <c r="AW57" s="3" t="str">
        <f>IFERROR(__xludf.DUMMYFUNCTION("GoogleTranslate(C57, ""en"", ""pl"")"),"Osad")</f>
        <v>Osad</v>
      </c>
      <c r="AX57" s="3" t="str">
        <f>IFERROR(__xludf.DUMMYFUNCTION("GoogleTranslate(C57, ""en"", ""pt"")"),"Precipitação")</f>
        <v>Precipitação</v>
      </c>
      <c r="AY57" s="3" t="str">
        <f>IFERROR(__xludf.DUMMYFUNCTION("GoogleTranslate(C57, ""en"", ""ro"")"),"Precipitare")</f>
        <v>Precipitare</v>
      </c>
      <c r="AZ57" s="3" t="str">
        <f>IFERROR(__xludf.DUMMYFUNCTION("GoogleTranslate(C57, ""en"", ""ru"")"),"Осадки")</f>
        <v>Осадки</v>
      </c>
      <c r="BA57" s="3" t="str">
        <f>IFERROR(__xludf.DUMMYFUNCTION("GoogleTranslate(C57, ""en"", ""sr"")"),"Падавине")</f>
        <v>Падавине</v>
      </c>
      <c r="BB57" s="3" t="str">
        <f>IFERROR(__xludf.DUMMYFUNCTION("GoogleTranslate(C57, ""en"", ""si"")"),"වර්ෂාපතනය")</f>
        <v>වර්ෂාපතනය</v>
      </c>
      <c r="BC57" s="3" t="str">
        <f>IFERROR(__xludf.DUMMYFUNCTION("GoogleTranslate(C57, ""en"", ""sk"")"),"Zrážky")</f>
        <v>Zrážky</v>
      </c>
      <c r="BD57" s="3" t="str">
        <f>IFERROR(__xludf.DUMMYFUNCTION("GoogleTranslate(C57, ""en"", ""sl"")"),"Padavine")</f>
        <v>Padavine</v>
      </c>
      <c r="BE57" s="3" t="str">
        <f>IFERROR(__xludf.DUMMYFUNCTION("GoogleTranslate(C57, ""en"", ""es"")"),"Precipitación")</f>
        <v>Precipitación</v>
      </c>
      <c r="BF57" s="3" t="str">
        <f>IFERROR(__xludf.DUMMYFUNCTION("GoogleTranslate(C57, ""en"", ""sw"")"),"Mvua")</f>
        <v>Mvua</v>
      </c>
      <c r="BG57" s="3" t="str">
        <f>IFERROR(__xludf.DUMMYFUNCTION("GoogleTranslate(C57, ""en"", ""sv"")"),"Nederbörd")</f>
        <v>Nederbörd</v>
      </c>
      <c r="BH57" s="3" t="str">
        <f>IFERROR(__xludf.DUMMYFUNCTION("GoogleTranslate(C57, ""en"", ""te"")"),"అవపాతం")</f>
        <v>అవపాతం</v>
      </c>
      <c r="BI57" s="3" t="str">
        <f>IFERROR(__xludf.DUMMYFUNCTION("GoogleTranslate(C57, ""en"", ""th"")"),"ปริมาณน้ำฝน")</f>
        <v>ปริมาณน้ำฝน</v>
      </c>
      <c r="BJ57" s="3" t="str">
        <f>IFERROR(__xludf.DUMMYFUNCTION("GoogleTranslate(C57, ""en"", ""tr"")"),"Yağış")</f>
        <v>Yağış</v>
      </c>
      <c r="BK57" s="3" t="str">
        <f>IFERROR(__xludf.DUMMYFUNCTION("GoogleTranslate(C57, ""en"", ""uk"")"),"Опади")</f>
        <v>Опади</v>
      </c>
      <c r="BL57" s="3" t="str">
        <f>IFERROR(__xludf.DUMMYFUNCTION("GoogleTranslate(C57, ""en"", ""zu"")"),"Imvula")</f>
        <v>Imvula</v>
      </c>
    </row>
    <row r="58">
      <c r="A58" s="1" t="str">
        <f t="shared" si="1"/>
        <v>Wind_Speed</v>
      </c>
      <c r="B58" s="4" t="s">
        <v>120</v>
      </c>
      <c r="C58" s="1" t="str">
        <f t="shared" si="2"/>
        <v>Wind Speed</v>
      </c>
      <c r="D58" s="3" t="str">
        <f>IFERROR(__xludf.DUMMYFUNCTION("GoogleTranslate(C58, ""en"", ""es"")"),"Velocidad del viento")</f>
        <v>Velocidad del viento</v>
      </c>
      <c r="E58" s="3" t="str">
        <f>IFERROR(__xludf.DUMMYFUNCTION("GoogleTranslate(C58, ""en"", ""ar"")"),"سرعة الرياح")</f>
        <v>سرعة الرياح</v>
      </c>
      <c r="F58" s="3" t="str">
        <f>IFERROR(__xludf.DUMMYFUNCTION("GoogleTranslate(C58, ""en"", ""hy"")"),"Քամու արագություն")</f>
        <v>Քամու արագություն</v>
      </c>
      <c r="G58" s="3" t="str">
        <f>IFERROR(__xludf.DUMMYFUNCTION("GoogleTranslate(C58, ""en"", ""vi"")"),"Tốc độ gió")</f>
        <v>Tốc độ gió</v>
      </c>
      <c r="H58" s="3" t="str">
        <f>IFERROR(__xludf.DUMMYFUNCTION("GoogleTranslate(C58, ""en"", ""az"")"),"Küləyin sürəti")</f>
        <v>Küləyin sürəti</v>
      </c>
      <c r="I58" s="3" t="str">
        <f>IFERROR(__xludf.DUMMYFUNCTION("GoogleTranslate(C58, ""en"", ""eu"")"),"Haizearen abiadura")</f>
        <v>Haizearen abiadura</v>
      </c>
      <c r="J58" s="3" t="str">
        <f>IFERROR(__xludf.DUMMYFUNCTION("GoogleTranslate(C58, ""en"", ""be"")"),"Хуткасць ветру")</f>
        <v>Хуткасць ветру</v>
      </c>
      <c r="K58" s="3" t="str">
        <f>IFERROR(__xludf.DUMMYFUNCTION("GoogleTranslate(C58, ""en"", ""bn"")"),"বাতাসের গতি")</f>
        <v>বাতাসের গতি</v>
      </c>
      <c r="L58" s="3" t="str">
        <f>IFERROR(__xludf.DUMMYFUNCTION("GoogleTranslate(C58, ""en"", ""bg"")"),"Скорост на вятъра")</f>
        <v>Скорост на вятъра</v>
      </c>
      <c r="M58" s="3" t="str">
        <f>IFERROR(__xludf.DUMMYFUNCTION("GoogleTranslate(C58, ""en"", ""my"")"),"လေတိုက်နှုန်း")</f>
        <v>လေတိုက်နှုန်း</v>
      </c>
      <c r="N58" s="3" t="str">
        <f>IFERROR(__xludf.DUMMYFUNCTION("GoogleTranslate(C58, ""en"", ""ca"")"),"Velocitat del vent")</f>
        <v>Velocitat del vent</v>
      </c>
      <c r="O58" s="3" t="str">
        <f>IFERROR(__xludf.DUMMYFUNCTION("GoogleTranslate(C58, ""en"", ""zh-cn"")"),"风速")</f>
        <v>风速</v>
      </c>
      <c r="P58" s="3" t="str">
        <f>IFERROR(__xludf.DUMMYFUNCTION("GoogleTranslate(C58, ""en"", ""zh-TW"")"),"風速")</f>
        <v>風速</v>
      </c>
      <c r="Q58" s="3" t="str">
        <f>IFERROR(__xludf.DUMMYFUNCTION("GoogleTranslate(C58, ""en"", ""hr"")"),"Brzina vjetra")</f>
        <v>Brzina vjetra</v>
      </c>
      <c r="R58" s="3" t="str">
        <f>IFERROR(__xludf.DUMMYFUNCTION("GoogleTranslate(C58, ""en"", ""cs"")"),"Rychlost větru")</f>
        <v>Rychlost větru</v>
      </c>
      <c r="S58" s="3" t="str">
        <f>IFERROR(__xludf.DUMMYFUNCTION("GoogleTranslate(C58, ""en"", ""da"")"),"Vindhastighed")</f>
        <v>Vindhastighed</v>
      </c>
      <c r="T58" s="3" t="str">
        <f>IFERROR(__xludf.DUMMYFUNCTION("GoogleTranslate(C58, ""en"", ""nl"")"),"Windsnelheid")</f>
        <v>Windsnelheid</v>
      </c>
      <c r="U58" s="3" t="str">
        <f>IFERROR(__xludf.DUMMYFUNCTION("GoogleTranslate(C58, ""en"", ""et"")"),"Tuule kiirus")</f>
        <v>Tuule kiirus</v>
      </c>
      <c r="V58" s="1" t="str">
        <f t="shared" si="3"/>
        <v>Wind Speed</v>
      </c>
      <c r="W58" s="3" t="str">
        <f>IFERROR(__xludf.DUMMYFUNCTION("GoogleTranslate(C58, ""en"", ""fi"")"),"Tuulen nopeus")</f>
        <v>Tuulen nopeus</v>
      </c>
      <c r="X58" s="3" t="str">
        <f>IFERROR(__xludf.DUMMYFUNCTION("GoogleTranslate(C58, ""en"", ""fr"")"),"Vitesse du vent")</f>
        <v>Vitesse du vent</v>
      </c>
      <c r="Y58" s="3" t="str">
        <f>IFERROR(__xludf.DUMMYFUNCTION("GoogleTranslate(C58, ""en"", ""de"")"),"Windgeschwindigkeit")</f>
        <v>Windgeschwindigkeit</v>
      </c>
      <c r="Z58" s="3" t="str">
        <f>IFERROR(__xludf.DUMMYFUNCTION("GoogleTranslate(C58, ""en"", ""el"")"),"Ταχύτητα ανέμου")</f>
        <v>Ταχύτητα ανέμου</v>
      </c>
      <c r="AA58" s="3" t="str">
        <f>IFERROR(__xludf.DUMMYFUNCTION("GoogleTranslate(C58, ""en"", ""iw"")"),"מהירות הרוח")</f>
        <v>מהירות הרוח</v>
      </c>
      <c r="AB58" s="3" t="str">
        <f>IFERROR(__xludf.DUMMYFUNCTION("GoogleTranslate(C58, ""en"", ""hi"")"),"हवा की गति")</f>
        <v>हवा की गति</v>
      </c>
      <c r="AC58" s="3" t="str">
        <f>IFERROR(__xludf.DUMMYFUNCTION("GoogleTranslate(C58, ""en"", ""hu"")"),"Szélsebesség")</f>
        <v>Szélsebesség</v>
      </c>
      <c r="AD58" s="3" t="str">
        <f>IFERROR(__xludf.DUMMYFUNCTION("GoogleTranslate(C58, ""en"", ""is"")"),"Vindhraði")</f>
        <v>Vindhraði</v>
      </c>
      <c r="AE58" s="3" t="str">
        <f>IFERROR(__xludf.DUMMYFUNCTION("GoogleTranslate(C58, ""en"", ""id"")"),"Kecepatan Angin")</f>
        <v>Kecepatan Angin</v>
      </c>
      <c r="AF58" s="3" t="str">
        <f>IFERROR(__xludf.DUMMYFUNCTION("GoogleTranslate(C58, ""en"", ""in"")"),"Kecepatan Angin")</f>
        <v>Kecepatan Angin</v>
      </c>
      <c r="AG58" s="3" t="str">
        <f>IFERROR(__xludf.DUMMYFUNCTION("GoogleTranslate(C58, ""en"", ""it"")"),"Velocità del vento")</f>
        <v>Velocità del vento</v>
      </c>
      <c r="AH58" s="3" t="str">
        <f>IFERROR(__xludf.DUMMYFUNCTION("GoogleTranslate(C58, ""en"", ""ja"")"),"風速")</f>
        <v>風速</v>
      </c>
      <c r="AI58" s="3" t="str">
        <f>IFERROR(__xludf.DUMMYFUNCTION("GoogleTranslate(C58, ""en"", ""kn"")"),"ಗಾಳಿಯ ವೇಗ")</f>
        <v>ಗಾಳಿಯ ವೇಗ</v>
      </c>
      <c r="AJ58" s="3" t="str">
        <f>IFERROR(__xludf.DUMMYFUNCTION("GoogleTranslate(C58, ""en"", ""km"")"),"ល្បឿនខ្យល់")</f>
        <v>ល្បឿនខ្យល់</v>
      </c>
      <c r="AK58" s="3" t="str">
        <f>IFERROR(__xludf.DUMMYFUNCTION("GoogleTranslate(C58, ""en"", ""ko"")"),"풍속")</f>
        <v>풍속</v>
      </c>
      <c r="AL58" s="3" t="str">
        <f>IFERROR(__xludf.DUMMYFUNCTION("GoogleTranslate(C58, ""en"", ""lo"")"),"ຄວາມໄວລົມ")</f>
        <v>ຄວາມໄວລົມ</v>
      </c>
      <c r="AM58" s="3" t="str">
        <f>IFERROR(__xludf.DUMMYFUNCTION("GoogleTranslate(C58, ""en"", ""lv"")"),"Vēja ātrums")</f>
        <v>Vēja ātrums</v>
      </c>
      <c r="AN58" s="3" t="str">
        <f>IFERROR(__xludf.DUMMYFUNCTION("GoogleTranslate(C58, ""en"", ""lt"")"),"Vėjo greitis")</f>
        <v>Vėjo greitis</v>
      </c>
      <c r="AO58" s="3" t="str">
        <f>IFERROR(__xludf.DUMMYFUNCTION("GoogleTranslate(C58, ""en"", ""mk"")"),"Брзина на ветрот")</f>
        <v>Брзина на ветрот</v>
      </c>
      <c r="AP58" s="3" t="str">
        <f>IFERROR(__xludf.DUMMYFUNCTION("GoogleTranslate(C58, ""en"", ""ms"")"),"Kelajuan Angin")</f>
        <v>Kelajuan Angin</v>
      </c>
      <c r="AQ58" s="3" t="str">
        <f>IFERROR(__xludf.DUMMYFUNCTION("GoogleTranslate(C58, ""en"", ""ml"")"),"കാറ്റിൻ്റെ വേഗത")</f>
        <v>കാറ്റിൻ്റെ വേഗത</v>
      </c>
      <c r="AR58" s="3" t="str">
        <f>IFERROR(__xludf.DUMMYFUNCTION("GoogleTranslate(C58, ""en"", ""mr"")"),"वाऱ्याचा वेग")</f>
        <v>वाऱ्याचा वेग</v>
      </c>
      <c r="AS58" s="3" t="str">
        <f>IFERROR(__xludf.DUMMYFUNCTION("GoogleTranslate(C58, ""en"", ""mn"")"),"Салхины хурд")</f>
        <v>Салхины хурд</v>
      </c>
      <c r="AT58" s="3" t="str">
        <f>IFERROR(__xludf.DUMMYFUNCTION("GoogleTranslate(C58, ""en"", ""ne"")"),"हावाको गति")</f>
        <v>हावाको गति</v>
      </c>
      <c r="AU58" s="3" t="str">
        <f>IFERROR(__xludf.DUMMYFUNCTION("GoogleTranslate(C58, ""en"", ""nb"")"),"Vindhastighet")</f>
        <v>Vindhastighet</v>
      </c>
      <c r="AV58" s="3" t="str">
        <f>IFERROR(__xludf.DUMMYFUNCTION("GoogleTranslate(C58, ""en"", ""fa"")"),"سرعت باد")</f>
        <v>سرعت باد</v>
      </c>
      <c r="AW58" s="3" t="str">
        <f>IFERROR(__xludf.DUMMYFUNCTION("GoogleTranslate(C58, ""en"", ""pl"")"),"Prędkość wiatru")</f>
        <v>Prędkość wiatru</v>
      </c>
      <c r="AX58" s="3" t="str">
        <f>IFERROR(__xludf.DUMMYFUNCTION("GoogleTranslate(C58, ""en"", ""pt"")"),"Velocidade do Vento")</f>
        <v>Velocidade do Vento</v>
      </c>
      <c r="AY58" s="3" t="str">
        <f>IFERROR(__xludf.DUMMYFUNCTION("GoogleTranslate(C58, ""en"", ""ro"")"),"Viteza vântului")</f>
        <v>Viteza vântului</v>
      </c>
      <c r="AZ58" s="3" t="str">
        <f>IFERROR(__xludf.DUMMYFUNCTION("GoogleTranslate(C58, ""en"", ""ru"")"),"Скорость ветра")</f>
        <v>Скорость ветра</v>
      </c>
      <c r="BA58" s="3" t="str">
        <f>IFERROR(__xludf.DUMMYFUNCTION("GoogleTranslate(C58, ""en"", ""sr"")"),"Брзина ветра")</f>
        <v>Брзина ветра</v>
      </c>
      <c r="BB58" s="3" t="str">
        <f>IFERROR(__xludf.DUMMYFUNCTION("GoogleTranslate(C58, ""en"", ""si"")"),"සුළං වේගය")</f>
        <v>සුළං වේගය</v>
      </c>
      <c r="BC58" s="3" t="str">
        <f>IFERROR(__xludf.DUMMYFUNCTION("GoogleTranslate(C58, ""en"", ""sk"")"),"Rýchlosť vetra")</f>
        <v>Rýchlosť vetra</v>
      </c>
      <c r="BD58" s="3" t="str">
        <f>IFERROR(__xludf.DUMMYFUNCTION("GoogleTranslate(C58, ""en"", ""sl"")"),"Hitrost vetra")</f>
        <v>Hitrost vetra</v>
      </c>
      <c r="BE58" s="3" t="str">
        <f>IFERROR(__xludf.DUMMYFUNCTION("GoogleTranslate(C58, ""en"", ""es"")"),"Velocidad del viento")</f>
        <v>Velocidad del viento</v>
      </c>
      <c r="BF58" s="3" t="str">
        <f>IFERROR(__xludf.DUMMYFUNCTION("GoogleTranslate(C58, ""en"", ""sw"")"),"Kasi ya Upepo")</f>
        <v>Kasi ya Upepo</v>
      </c>
      <c r="BG58" s="3" t="str">
        <f>IFERROR(__xludf.DUMMYFUNCTION("GoogleTranslate(C58, ""en"", ""sv"")"),"Vindhastighet")</f>
        <v>Vindhastighet</v>
      </c>
      <c r="BH58" s="3" t="str">
        <f>IFERROR(__xludf.DUMMYFUNCTION("GoogleTranslate(C58, ""en"", ""te"")"),"గాలి వేగం")</f>
        <v>గాలి వేగం</v>
      </c>
      <c r="BI58" s="3" t="str">
        <f>IFERROR(__xludf.DUMMYFUNCTION("GoogleTranslate(C58, ""en"", ""th"")"),"ความเร็วลม")</f>
        <v>ความเร็วลม</v>
      </c>
      <c r="BJ58" s="3" t="str">
        <f>IFERROR(__xludf.DUMMYFUNCTION("GoogleTranslate(C58, ""en"", ""tr"")"),"Rüzgar Hızı")</f>
        <v>Rüzgar Hızı</v>
      </c>
      <c r="BK58" s="3" t="str">
        <f>IFERROR(__xludf.DUMMYFUNCTION("GoogleTranslate(C58, ""en"", ""uk"")"),"Швидкість вітру")</f>
        <v>Швидкість вітру</v>
      </c>
      <c r="BL58" s="3" t="str">
        <f>IFERROR(__xludf.DUMMYFUNCTION("GoogleTranslate(C58, ""en"", ""zu"")"),"Isivinini Somoya")</f>
        <v>Isivinini Somoya</v>
      </c>
    </row>
    <row r="59">
      <c r="A59" s="1" t="str">
        <f t="shared" si="1"/>
        <v>Chance_of_rain</v>
      </c>
      <c r="B59" s="4" t="s">
        <v>117</v>
      </c>
      <c r="C59" s="1" t="str">
        <f t="shared" si="2"/>
        <v>Chance of rain</v>
      </c>
      <c r="D59" s="3" t="str">
        <f>IFERROR(__xludf.DUMMYFUNCTION("GoogleTranslate(C59, ""en"", ""es"")"),"Posibilidad de lluvia")</f>
        <v>Posibilidad de lluvia</v>
      </c>
      <c r="E59" s="3" t="str">
        <f>IFERROR(__xludf.DUMMYFUNCTION("GoogleTranslate(C59, ""en"", ""ar"")"),"فرصة هطول المطر")</f>
        <v>فرصة هطول المطر</v>
      </c>
      <c r="F59" s="3" t="str">
        <f>IFERROR(__xludf.DUMMYFUNCTION("GoogleTranslate(C59, ""en"", ""hy"")"),"Անձրևի հավանականություն")</f>
        <v>Անձրևի հավանականություն</v>
      </c>
      <c r="G59" s="3" t="str">
        <f>IFERROR(__xludf.DUMMYFUNCTION("GoogleTranslate(C59, ""en"", ""vi"")"),"Khả năng có mưa")</f>
        <v>Khả năng có mưa</v>
      </c>
      <c r="H59" s="3" t="str">
        <f>IFERROR(__xludf.DUMMYFUNCTION("GoogleTranslate(C59, ""en"", ""az"")"),"Yağış ehtimalı")</f>
        <v>Yağış ehtimalı</v>
      </c>
      <c r="I59" s="3" t="str">
        <f>IFERROR(__xludf.DUMMYFUNCTION("GoogleTranslate(C59, ""en"", ""eu"")"),"Euria egiteko aukera")</f>
        <v>Euria egiteko aukera</v>
      </c>
      <c r="J59" s="3" t="str">
        <f>IFERROR(__xludf.DUMMYFUNCTION("GoogleTranslate(C59, ""en"", ""be"")"),"Магчымы дождж")</f>
        <v>Магчымы дождж</v>
      </c>
      <c r="K59" s="3" t="str">
        <f>IFERROR(__xludf.DUMMYFUNCTION("GoogleTranslate(C59, ""en"", ""bn"")"),"বৃষ্টির সম্ভাবনা")</f>
        <v>বৃষ্টির সম্ভাবনা</v>
      </c>
      <c r="L59" s="3" t="str">
        <f>IFERROR(__xludf.DUMMYFUNCTION("GoogleTranslate(C59, ""en"", ""bg"")"),"Вероятност за дъжд")</f>
        <v>Вероятност за дъжд</v>
      </c>
      <c r="M59" s="3" t="str">
        <f>IFERROR(__xludf.DUMMYFUNCTION("GoogleTranslate(C59, ""en"", ""my"")"),"မိုးရွာနိုင်ခြေ")</f>
        <v>မိုးရွာနိုင်ခြေ</v>
      </c>
      <c r="N59" s="3" t="str">
        <f>IFERROR(__xludf.DUMMYFUNCTION("GoogleTranslate(C59, ""en"", ""ca"")"),"Possibilitat de pluja")</f>
        <v>Possibilitat de pluja</v>
      </c>
      <c r="O59" s="3" t="str">
        <f>IFERROR(__xludf.DUMMYFUNCTION("GoogleTranslate(C59, ""en"", ""zh-cn"")"),"有可能下雨")</f>
        <v>有可能下雨</v>
      </c>
      <c r="P59" s="3" t="str">
        <f>IFERROR(__xludf.DUMMYFUNCTION("GoogleTranslate(C59, ""en"", ""zh-TW"")"),"有可能下雨")</f>
        <v>有可能下雨</v>
      </c>
      <c r="Q59" s="3" t="str">
        <f>IFERROR(__xludf.DUMMYFUNCTION("GoogleTranslate(C59, ""en"", ""hr"")"),"Mogućnost kiše")</f>
        <v>Mogućnost kiše</v>
      </c>
      <c r="R59" s="3" t="str">
        <f>IFERROR(__xludf.DUMMYFUNCTION("GoogleTranslate(C59, ""en"", ""cs"")"),"Možnost deště")</f>
        <v>Možnost deště</v>
      </c>
      <c r="S59" s="3" t="str">
        <f>IFERROR(__xludf.DUMMYFUNCTION("GoogleTranslate(C59, ""en"", ""da"")"),"Mulighed for regn")</f>
        <v>Mulighed for regn</v>
      </c>
      <c r="T59" s="3" t="str">
        <f>IFERROR(__xludf.DUMMYFUNCTION("GoogleTranslate(C59, ""en"", ""nl"")"),"Kans op regen")</f>
        <v>Kans op regen</v>
      </c>
      <c r="U59" s="3" t="str">
        <f>IFERROR(__xludf.DUMMYFUNCTION("GoogleTranslate(C59, ""en"", ""et"")"),"Vihma võimalus")</f>
        <v>Vihma võimalus</v>
      </c>
      <c r="V59" s="1" t="str">
        <f t="shared" si="3"/>
        <v>Chance of rain</v>
      </c>
      <c r="W59" s="3" t="str">
        <f>IFERROR(__xludf.DUMMYFUNCTION("GoogleTranslate(C59, ""en"", ""fi"")"),"Sateen mahdollisuus")</f>
        <v>Sateen mahdollisuus</v>
      </c>
      <c r="X59" s="3" t="str">
        <f>IFERROR(__xludf.DUMMYFUNCTION("GoogleTranslate(C59, ""en"", ""fr"")"),"Risque de pluie")</f>
        <v>Risque de pluie</v>
      </c>
      <c r="Y59" s="3" t="str">
        <f>IFERROR(__xludf.DUMMYFUNCTION("GoogleTranslate(C59, ""en"", ""de"")"),"Regenwahrscheinlichkeit")</f>
        <v>Regenwahrscheinlichkeit</v>
      </c>
      <c r="Z59" s="3" t="str">
        <f>IFERROR(__xludf.DUMMYFUNCTION("GoogleTranslate(C59, ""en"", ""el"")"),"Πιθανότητα βροχής")</f>
        <v>Πιθανότητα βροχής</v>
      </c>
      <c r="AA59" s="3" t="str">
        <f>IFERROR(__xludf.DUMMYFUNCTION("GoogleTranslate(C59, ""en"", ""iw"")"),"סיכוי לגשם")</f>
        <v>סיכוי לגשם</v>
      </c>
      <c r="AB59" s="3" t="str">
        <f>IFERROR(__xludf.DUMMYFUNCTION("GoogleTranslate(C59, ""en"", ""hi"")"),"बारिश की संभावना")</f>
        <v>बारिश की संभावना</v>
      </c>
      <c r="AC59" s="3" t="str">
        <f>IFERROR(__xludf.DUMMYFUNCTION("GoogleTranslate(C59, ""en"", ""hu"")"),"Eső valószínű")</f>
        <v>Eső valószínű</v>
      </c>
      <c r="AD59" s="3" t="str">
        <f>IFERROR(__xludf.DUMMYFUNCTION("GoogleTranslate(C59, ""en"", ""is"")"),"Líkur á rigningu")</f>
        <v>Líkur á rigningu</v>
      </c>
      <c r="AE59" s="3" t="str">
        <f>IFERROR(__xludf.DUMMYFUNCTION("GoogleTranslate(C59, ""en"", ""id"")"),"Kemungkinan hujan")</f>
        <v>Kemungkinan hujan</v>
      </c>
      <c r="AF59" s="3" t="str">
        <f>IFERROR(__xludf.DUMMYFUNCTION("GoogleTranslate(C59, ""en"", ""in"")"),"Kemungkinan hujan")</f>
        <v>Kemungkinan hujan</v>
      </c>
      <c r="AG59" s="3" t="str">
        <f>IFERROR(__xludf.DUMMYFUNCTION("GoogleTranslate(C59, ""en"", ""it"")"),"Possibilità di pioggia")</f>
        <v>Possibilità di pioggia</v>
      </c>
      <c r="AH59" s="3" t="str">
        <f>IFERROR(__xludf.DUMMYFUNCTION("GoogleTranslate(C59, ""en"", ""ja"")"),"雨の可能性")</f>
        <v>雨の可能性</v>
      </c>
      <c r="AI59" s="3" t="str">
        <f>IFERROR(__xludf.DUMMYFUNCTION("GoogleTranslate(C59, ""en"", ""kn"")"),"ಮಳೆಯಾಗುವ ಸಾಧ್ಯತೆ")</f>
        <v>ಮಳೆಯಾಗುವ ಸಾಧ್ಯತೆ</v>
      </c>
      <c r="AJ59" s="3" t="str">
        <f>IFERROR(__xludf.DUMMYFUNCTION("GoogleTranslate(C59, ""en"", ""km"")"),"ឱកាសភ្លៀង")</f>
        <v>ឱកាសភ្លៀង</v>
      </c>
      <c r="AK59" s="3" t="str">
        <f>IFERROR(__xludf.DUMMYFUNCTION("GoogleTranslate(C59, ""en"", ""ko"")"),"비올 확률")</f>
        <v>비올 확률</v>
      </c>
      <c r="AL59" s="3" t="str">
        <f>IFERROR(__xludf.DUMMYFUNCTION("GoogleTranslate(C59, ""en"", ""lo"")"),"ໂອກາດຝົນຕົກ")</f>
        <v>ໂອກາດຝົນຕົກ</v>
      </c>
      <c r="AM59" s="3" t="str">
        <f>IFERROR(__xludf.DUMMYFUNCTION("GoogleTranslate(C59, ""en"", ""lv"")"),"Iespējams lietus")</f>
        <v>Iespējams lietus</v>
      </c>
      <c r="AN59" s="3" t="str">
        <f>IFERROR(__xludf.DUMMYFUNCTION("GoogleTranslate(C59, ""en"", ""lt"")"),"Lietaus tikimybė")</f>
        <v>Lietaus tikimybė</v>
      </c>
      <c r="AO59" s="3" t="str">
        <f>IFERROR(__xludf.DUMMYFUNCTION("GoogleTranslate(C59, ""en"", ""mk"")"),"Можност за дожд")</f>
        <v>Можност за дожд</v>
      </c>
      <c r="AP59" s="3" t="str">
        <f>IFERROR(__xludf.DUMMYFUNCTION("GoogleTranslate(C59, ""en"", ""ms"")"),"Peluang hujan")</f>
        <v>Peluang hujan</v>
      </c>
      <c r="AQ59" s="3" t="str">
        <f>IFERROR(__xludf.DUMMYFUNCTION("GoogleTranslate(C59, ""en"", ""ml"")"),"മഴയ്ക്ക് സാധ്യത")</f>
        <v>മഴയ്ക്ക് സാധ്യത</v>
      </c>
      <c r="AR59" s="3" t="str">
        <f>IFERROR(__xludf.DUMMYFUNCTION("GoogleTranslate(C59, ""en"", ""mr"")"),"पावसाची शक्यता")</f>
        <v>पावसाची शक्यता</v>
      </c>
      <c r="AS59" s="3" t="str">
        <f>IFERROR(__xludf.DUMMYFUNCTION("GoogleTranslate(C59, ""en"", ""mn"")"),"Бороо орох магадлалтай")</f>
        <v>Бороо орох магадлалтай</v>
      </c>
      <c r="AT59" s="3" t="str">
        <f>IFERROR(__xludf.DUMMYFUNCTION("GoogleTranslate(C59, ""en"", ""ne"")"),"वर्षाको सम्भावना")</f>
        <v>वर्षाको सम्भावना</v>
      </c>
      <c r="AU59" s="3" t="str">
        <f>IFERROR(__xludf.DUMMYFUNCTION("GoogleTranslate(C59, ""en"", ""nb"")"),"Mulighet for regn")</f>
        <v>Mulighet for regn</v>
      </c>
      <c r="AV59" s="3" t="str">
        <f>IFERROR(__xludf.DUMMYFUNCTION("GoogleTranslate(C59, ""en"", ""fa"")"),"احتمال بارش باران")</f>
        <v>احتمال بارش باران</v>
      </c>
      <c r="AW59" s="3" t="str">
        <f>IFERROR(__xludf.DUMMYFUNCTION("GoogleTranslate(C59, ""en"", ""pl"")"),"Szansa na deszcz")</f>
        <v>Szansa na deszcz</v>
      </c>
      <c r="AX59" s="3" t="str">
        <f>IFERROR(__xludf.DUMMYFUNCTION("GoogleTranslate(C59, ""en"", ""pt"")"),"Possibilidade de chuva")</f>
        <v>Possibilidade de chuva</v>
      </c>
      <c r="AY59" s="3" t="str">
        <f>IFERROR(__xludf.DUMMYFUNCTION("GoogleTranslate(C59, ""en"", ""ro"")"),"Şanse de ploaie")</f>
        <v>Şanse de ploaie</v>
      </c>
      <c r="AZ59" s="3" t="str">
        <f>IFERROR(__xludf.DUMMYFUNCTION("GoogleTranslate(C59, ""en"", ""ru"")"),"Вероятность дождя")</f>
        <v>Вероятность дождя</v>
      </c>
      <c r="BA59" s="3" t="str">
        <f>IFERROR(__xludf.DUMMYFUNCTION("GoogleTranslate(C59, ""en"", ""sr"")"),"Могућа киша")</f>
        <v>Могућа киша</v>
      </c>
      <c r="BB59" s="3" t="str">
        <f>IFERROR(__xludf.DUMMYFUNCTION("GoogleTranslate(C59, ""en"", ""si"")"),"වැසි ඇති වීමට ඉඩ ඇත")</f>
        <v>වැසි ඇති වීමට ඉඩ ඇත</v>
      </c>
      <c r="BC59" s="3" t="str">
        <f>IFERROR(__xludf.DUMMYFUNCTION("GoogleTranslate(C59, ""en"", ""sk"")"),"Možnosť dažďa")</f>
        <v>Možnosť dažďa</v>
      </c>
      <c r="BD59" s="3" t="str">
        <f>IFERROR(__xludf.DUMMYFUNCTION("GoogleTranslate(C59, ""en"", ""sl"")"),"Možnost dežja")</f>
        <v>Možnost dežja</v>
      </c>
      <c r="BE59" s="3" t="str">
        <f>IFERROR(__xludf.DUMMYFUNCTION("GoogleTranslate(C59, ""en"", ""es"")"),"Posibilidad de lluvia")</f>
        <v>Posibilidad de lluvia</v>
      </c>
      <c r="BF59" s="3" t="str">
        <f>IFERROR(__xludf.DUMMYFUNCTION("GoogleTranslate(C59, ""en"", ""sw"")"),"Uwezekano wa mvua")</f>
        <v>Uwezekano wa mvua</v>
      </c>
      <c r="BG59" s="3" t="str">
        <f>IFERROR(__xludf.DUMMYFUNCTION("GoogleTranslate(C59, ""en"", ""sv"")"),"Risk för regn")</f>
        <v>Risk för regn</v>
      </c>
      <c r="BH59" s="3" t="str">
        <f>IFERROR(__xludf.DUMMYFUNCTION("GoogleTranslate(C59, ""en"", ""te"")"),"వర్షం పడే అవకాశం")</f>
        <v>వర్షం పడే అవకాశం</v>
      </c>
      <c r="BI59" s="3" t="str">
        <f>IFERROR(__xludf.DUMMYFUNCTION("GoogleTranslate(C59, ""en"", ""th"")"),"มีโอกาสเกิดฝนตก")</f>
        <v>มีโอกาสเกิดฝนตก</v>
      </c>
      <c r="BJ59" s="3" t="str">
        <f>IFERROR(__xludf.DUMMYFUNCTION("GoogleTranslate(C59, ""en"", ""tr"")"),"Yağmur ihtimali")</f>
        <v>Yağmur ihtimali</v>
      </c>
      <c r="BK59" s="3" t="str">
        <f>IFERROR(__xludf.DUMMYFUNCTION("GoogleTranslate(C59, ""en"", ""uk"")"),"Можливий дощ")</f>
        <v>Можливий дощ</v>
      </c>
      <c r="BL59" s="3" t="str">
        <f>IFERROR(__xludf.DUMMYFUNCTION("GoogleTranslate(C59, ""en"", ""zu"")"),"Amathuba emvula")</f>
        <v>Amathuba emvula</v>
      </c>
    </row>
    <row r="60">
      <c r="A60" s="1" t="str">
        <f t="shared" si="1"/>
        <v>Feels_like</v>
      </c>
      <c r="B60" s="4" t="s">
        <v>121</v>
      </c>
      <c r="C60" s="1" t="str">
        <f t="shared" si="2"/>
        <v>Feels like</v>
      </c>
      <c r="D60" s="3" t="str">
        <f>IFERROR(__xludf.DUMMYFUNCTION("GoogleTranslate(C60, ""en"", ""es"")"),"se siente como")</f>
        <v>se siente como</v>
      </c>
      <c r="E60" s="3" t="str">
        <f>IFERROR(__xludf.DUMMYFUNCTION("GoogleTranslate(C60, ""en"", ""ar"")"),"يشعر وكأنه")</f>
        <v>يشعر وكأنه</v>
      </c>
      <c r="F60" s="3" t="str">
        <f>IFERROR(__xludf.DUMMYFUNCTION("GoogleTranslate(C60, ""en"", ""hy"")"),"Զգում է")</f>
        <v>Զգում է</v>
      </c>
      <c r="G60" s="3" t="str">
        <f>IFERROR(__xludf.DUMMYFUNCTION("GoogleTranslate(C60, ""en"", ""vi"")"),"Cảm thấy như")</f>
        <v>Cảm thấy như</v>
      </c>
      <c r="H60" s="3" t="str">
        <f>IFERROR(__xludf.DUMMYFUNCTION("GoogleTranslate(C60, ""en"", ""az"")"),"Hiss olunur")</f>
        <v>Hiss olunur</v>
      </c>
      <c r="I60" s="3" t="str">
        <f>IFERROR(__xludf.DUMMYFUNCTION("GoogleTranslate(C60, ""en"", ""eu"")"),"Gustura sentitzen da")</f>
        <v>Gustura sentitzen da</v>
      </c>
      <c r="J60" s="3" t="str">
        <f>IFERROR(__xludf.DUMMYFUNCTION("GoogleTranslate(C60, ""en"", ""be"")"),"Па адчуваннях")</f>
        <v>Па адчуваннях</v>
      </c>
      <c r="K60" s="3" t="str">
        <f>IFERROR(__xludf.DUMMYFUNCTION("GoogleTranslate(C60, ""en"", ""bn"")"),"ভালো লাগে")</f>
        <v>ভালো লাগে</v>
      </c>
      <c r="L60" s="3" t="str">
        <f>IFERROR(__xludf.DUMMYFUNCTION("GoogleTranslate(C60, ""en"", ""bg"")"),"Усеща се като")</f>
        <v>Усеща се като</v>
      </c>
      <c r="M60" s="3" t="str">
        <f>IFERROR(__xludf.DUMMYFUNCTION("GoogleTranslate(C60, ""en"", ""my"")"),"ကြိုက်သလိုခံစားရတယ်။")</f>
        <v>ကြိုက်သလိုခံစားရတယ်။</v>
      </c>
      <c r="N60" s="3" t="str">
        <f>IFERROR(__xludf.DUMMYFUNCTION("GoogleTranslate(C60, ""en"", ""ca"")"),"Se sent com")</f>
        <v>Se sent com</v>
      </c>
      <c r="O60" s="3" t="str">
        <f>IFERROR(__xludf.DUMMYFUNCTION("GoogleTranslate(C60, ""en"", ""zh-cn"")"),"感觉就像")</f>
        <v>感觉就像</v>
      </c>
      <c r="P60" s="3" t="str">
        <f>IFERROR(__xludf.DUMMYFUNCTION("GoogleTranslate(C60, ""en"", ""zh-TW"")"),"感覺就像")</f>
        <v>感覺就像</v>
      </c>
      <c r="Q60" s="3" t="str">
        <f>IFERROR(__xludf.DUMMYFUNCTION("GoogleTranslate(C60, ""en"", ""hr"")"),"Osjeća se kao")</f>
        <v>Osjeća se kao</v>
      </c>
      <c r="R60" s="3" t="str">
        <f>IFERROR(__xludf.DUMMYFUNCTION("GoogleTranslate(C60, ""en"", ""cs"")"),"Cítím se jako")</f>
        <v>Cítím se jako</v>
      </c>
      <c r="S60" s="3" t="str">
        <f>IFERROR(__xludf.DUMMYFUNCTION("GoogleTranslate(C60, ""en"", ""da"")"),"Føles som")</f>
        <v>Føles som</v>
      </c>
      <c r="T60" s="3" t="str">
        <f>IFERROR(__xludf.DUMMYFUNCTION("GoogleTranslate(C60, ""en"", ""nl"")"),"Voelt als")</f>
        <v>Voelt als</v>
      </c>
      <c r="U60" s="3" t="str">
        <f>IFERROR(__xludf.DUMMYFUNCTION("GoogleTranslate(C60, ""en"", ""et"")"),"Tundub nagu")</f>
        <v>Tundub nagu</v>
      </c>
      <c r="V60" s="1" t="str">
        <f t="shared" si="3"/>
        <v>Feels like</v>
      </c>
      <c r="W60" s="3" t="str">
        <f>IFERROR(__xludf.DUMMYFUNCTION("GoogleTranslate(C60, ""en"", ""fi"")"),"Tuntuu")</f>
        <v>Tuntuu</v>
      </c>
      <c r="X60" s="3" t="str">
        <f>IFERROR(__xludf.DUMMYFUNCTION("GoogleTranslate(C60, ""en"", ""fr"")"),"On a l'impression")</f>
        <v>On a l'impression</v>
      </c>
      <c r="Y60" s="3" t="str">
        <f>IFERROR(__xludf.DUMMYFUNCTION("GoogleTranslate(C60, ""en"", ""de"")"),"Fühlt sich an wie")</f>
        <v>Fühlt sich an wie</v>
      </c>
      <c r="Z60" s="3" t="str">
        <f>IFERROR(__xludf.DUMMYFUNCTION("GoogleTranslate(C60, ""en"", ""el"")"),"Αισθάνεται σαν")</f>
        <v>Αισθάνεται σαν</v>
      </c>
      <c r="AA60" s="3" t="str">
        <f>IFERROR(__xludf.DUMMYFUNCTION("GoogleTranslate(C60, ""en"", ""iw"")"),"מרגיש כמו")</f>
        <v>מרגיש כמו</v>
      </c>
      <c r="AB60" s="3" t="str">
        <f>IFERROR(__xludf.DUMMYFUNCTION("GoogleTranslate(C60, ""en"", ""hi"")"),"की तरह लगना")</f>
        <v>की तरह लगना</v>
      </c>
      <c r="AC60" s="3" t="str">
        <f>IFERROR(__xludf.DUMMYFUNCTION("GoogleTranslate(C60, ""en"", ""hu"")"),"Úgy érzi")</f>
        <v>Úgy érzi</v>
      </c>
      <c r="AD60" s="3" t="str">
        <f>IFERROR(__xludf.DUMMYFUNCTION("GoogleTranslate(C60, ""en"", ""is"")"),"Finnst eins og")</f>
        <v>Finnst eins og</v>
      </c>
      <c r="AE60" s="3" t="str">
        <f>IFERROR(__xludf.DUMMYFUNCTION("GoogleTranslate(C60, ""en"", ""id"")"),"Terasa seperti")</f>
        <v>Terasa seperti</v>
      </c>
      <c r="AF60" s="3" t="str">
        <f>IFERROR(__xludf.DUMMYFUNCTION("GoogleTranslate(C60, ""en"", ""in"")"),"Terasa seperti")</f>
        <v>Terasa seperti</v>
      </c>
      <c r="AG60" s="3" t="str">
        <f>IFERROR(__xludf.DUMMYFUNCTION("GoogleTranslate(C60, ""en"", ""it"")"),"Sembra")</f>
        <v>Sembra</v>
      </c>
      <c r="AH60" s="3" t="str">
        <f>IFERROR(__xludf.DUMMYFUNCTION("GoogleTranslate(C60, ""en"", ""ja"")"),"みたいな感じ")</f>
        <v>みたいな感じ</v>
      </c>
      <c r="AI60" s="3" t="str">
        <f>IFERROR(__xludf.DUMMYFUNCTION("GoogleTranslate(C60, ""en"", ""kn"")"),"ಅನಿಸುತ್ತದೆ")</f>
        <v>ಅನಿಸುತ್ತದೆ</v>
      </c>
      <c r="AJ60" s="3" t="str">
        <f>IFERROR(__xludf.DUMMYFUNCTION("GoogleTranslate(C60, ""en"", ""km"")"),"មានអារម្មណ៍ដូច")</f>
        <v>មានអារម្មណ៍ដូច</v>
      </c>
      <c r="AK60" s="3" t="str">
        <f>IFERROR(__xludf.DUMMYFUNCTION("GoogleTranslate(C60, ""en"", ""ko"")"),"같은 느낌")</f>
        <v>같은 느낌</v>
      </c>
      <c r="AL60" s="3" t="str">
        <f>IFERROR(__xludf.DUMMYFUNCTION("GoogleTranslate(C60, ""en"", ""lo"")"),"ຮູ້ສຶກຄື")</f>
        <v>ຮູ້ສຶກຄື</v>
      </c>
      <c r="AM60" s="3" t="str">
        <f>IFERROR(__xludf.DUMMYFUNCTION("GoogleTranslate(C60, ""en"", ""lv"")"),"Jūtos kā")</f>
        <v>Jūtos kā</v>
      </c>
      <c r="AN60" s="3" t="str">
        <f>IFERROR(__xludf.DUMMYFUNCTION("GoogleTranslate(C60, ""en"", ""lt"")"),"Jaučiasi")</f>
        <v>Jaučiasi</v>
      </c>
      <c r="AO60" s="3" t="str">
        <f>IFERROR(__xludf.DUMMYFUNCTION("GoogleTranslate(C60, ""en"", ""mk"")"),"Се чувствува како")</f>
        <v>Се чувствува како</v>
      </c>
      <c r="AP60" s="3" t="str">
        <f>IFERROR(__xludf.DUMMYFUNCTION("GoogleTranslate(C60, ""en"", ""ms"")"),"Rasa macam")</f>
        <v>Rasa macam</v>
      </c>
      <c r="AQ60" s="3" t="str">
        <f>IFERROR(__xludf.DUMMYFUNCTION("GoogleTranslate(C60, ""en"", ""ml"")"),"പോലെ തോന്നുന്നു")</f>
        <v>പോലെ തോന്നുന്നു</v>
      </c>
      <c r="AR60" s="3" t="str">
        <f>IFERROR(__xludf.DUMMYFUNCTION("GoogleTranslate(C60, ""en"", ""mr"")"),"असे वाटते")</f>
        <v>असे वाटते</v>
      </c>
      <c r="AS60" s="3" t="str">
        <f>IFERROR(__xludf.DUMMYFUNCTION("GoogleTranslate(C60, ""en"", ""mn"")"),"санагдаж байна")</f>
        <v>санагдаж байна</v>
      </c>
      <c r="AT60" s="3" t="str">
        <f>IFERROR(__xludf.DUMMYFUNCTION("GoogleTranslate(C60, ""en"", ""ne"")"),"जस्तो लाग्छ")</f>
        <v>जस्तो लाग्छ</v>
      </c>
      <c r="AU60" s="3" t="str">
        <f>IFERROR(__xludf.DUMMYFUNCTION("GoogleTranslate(C60, ""en"", ""nb"")"),"Føles som")</f>
        <v>Føles som</v>
      </c>
      <c r="AV60" s="3" t="str">
        <f>IFERROR(__xludf.DUMMYFUNCTION("GoogleTranslate(C60, ""en"", ""fa"")"),"احساس می کند")</f>
        <v>احساس می کند</v>
      </c>
      <c r="AW60" s="3" t="str">
        <f>IFERROR(__xludf.DUMMYFUNCTION("GoogleTranslate(C60, ""en"", ""pl"")"),"Czuje się jak")</f>
        <v>Czuje się jak</v>
      </c>
      <c r="AX60" s="3" t="str">
        <f>IFERROR(__xludf.DUMMYFUNCTION("GoogleTranslate(C60, ""en"", ""pt"")"),"Parece")</f>
        <v>Parece</v>
      </c>
      <c r="AY60" s="3" t="str">
        <f>IFERROR(__xludf.DUMMYFUNCTION("GoogleTranslate(C60, ""en"", ""ro"")"),"Se simte ca")</f>
        <v>Se simte ca</v>
      </c>
      <c r="AZ60" s="3" t="str">
        <f>IFERROR(__xludf.DUMMYFUNCTION("GoogleTranslate(C60, ""en"", ""ru"")"),"По ощущениям")</f>
        <v>По ощущениям</v>
      </c>
      <c r="BA60" s="3" t="str">
        <f>IFERROR(__xludf.DUMMYFUNCTION("GoogleTranslate(C60, ""en"", ""sr"")"),"Осећа се као")</f>
        <v>Осећа се као</v>
      </c>
      <c r="BB60" s="3" t="str">
        <f>IFERROR(__xludf.DUMMYFUNCTION("GoogleTranslate(C60, ""en"", ""si"")"),"වගේ දැනෙනවා")</f>
        <v>වගේ දැනෙනවා</v>
      </c>
      <c r="BC60" s="3" t="str">
        <f>IFERROR(__xludf.DUMMYFUNCTION("GoogleTranslate(C60, ""en"", ""sk"")"),"Cítim sa ako")</f>
        <v>Cítim sa ako</v>
      </c>
      <c r="BD60" s="3" t="str">
        <f>IFERROR(__xludf.DUMMYFUNCTION("GoogleTranslate(C60, ""en"", ""sl"")"),"Zdi se kot")</f>
        <v>Zdi se kot</v>
      </c>
      <c r="BE60" s="3" t="str">
        <f>IFERROR(__xludf.DUMMYFUNCTION("GoogleTranslate(C60, ""en"", ""es"")"),"se siente como")</f>
        <v>se siente como</v>
      </c>
      <c r="BF60" s="3" t="str">
        <f>IFERROR(__xludf.DUMMYFUNCTION("GoogleTranslate(C60, ""en"", ""sw"")"),"Anahisi kama")</f>
        <v>Anahisi kama</v>
      </c>
      <c r="BG60" s="3" t="str">
        <f>IFERROR(__xludf.DUMMYFUNCTION("GoogleTranslate(C60, ""en"", ""sv"")"),"Känns som")</f>
        <v>Känns som</v>
      </c>
      <c r="BH60" s="3" t="str">
        <f>IFERROR(__xludf.DUMMYFUNCTION("GoogleTranslate(C60, ""en"", ""te"")"),"అనిపిస్తుంది")</f>
        <v>అనిపిస్తుంది</v>
      </c>
      <c r="BI60" s="3" t="str">
        <f>IFERROR(__xludf.DUMMYFUNCTION("GoogleTranslate(C60, ""en"", ""th"")"),"รู้สึกเหมือน")</f>
        <v>รู้สึกเหมือน</v>
      </c>
      <c r="BJ60" s="3" t="str">
        <f>IFERROR(__xludf.DUMMYFUNCTION("GoogleTranslate(C60, ""en"", ""tr"")"),"Gibi hissettiriyor")</f>
        <v>Gibi hissettiriyor</v>
      </c>
      <c r="BK60" s="3" t="str">
        <f>IFERROR(__xludf.DUMMYFUNCTION("GoogleTranslate(C60, ""en"", ""uk"")"),"Відчувається як")</f>
        <v>Відчувається як</v>
      </c>
      <c r="BL60" s="3" t="str">
        <f>IFERROR(__xludf.DUMMYFUNCTION("GoogleTranslate(C60, ""en"", ""zu"")"),"Kuzwakala")</f>
        <v>Kuzwakala</v>
      </c>
    </row>
    <row r="61">
      <c r="A61" s="1" t="str">
        <f t="shared" si="1"/>
        <v>Cloud_cover</v>
      </c>
      <c r="B61" s="4" t="s">
        <v>122</v>
      </c>
      <c r="C61" s="1" t="str">
        <f t="shared" si="2"/>
        <v>Cloud cover</v>
      </c>
      <c r="D61" s="3" t="str">
        <f>IFERROR(__xludf.DUMMYFUNCTION("GoogleTranslate(C61, ""en"", ""es"")"),"Cubierta de nubes")</f>
        <v>Cubierta de nubes</v>
      </c>
      <c r="E61" s="3" t="str">
        <f>IFERROR(__xludf.DUMMYFUNCTION("GoogleTranslate(C61, ""en"", ""ar"")"),"غطاء سحابي")</f>
        <v>غطاء سحابي</v>
      </c>
      <c r="F61" s="3" t="str">
        <f>IFERROR(__xludf.DUMMYFUNCTION("GoogleTranslate(C61, ""en"", ""hy"")"),"Ամպածածկ")</f>
        <v>Ամպածածկ</v>
      </c>
      <c r="G61" s="3" t="str">
        <f>IFERROR(__xludf.DUMMYFUNCTION("GoogleTranslate(C61, ""en"", ""vi"")"),"mây che phủ")</f>
        <v>mây che phủ</v>
      </c>
      <c r="H61" s="3" t="str">
        <f>IFERROR(__xludf.DUMMYFUNCTION("GoogleTranslate(C61, ""en"", ""az"")"),"Bulud örtüyü")</f>
        <v>Bulud örtüyü</v>
      </c>
      <c r="I61" s="3" t="str">
        <f>IFERROR(__xludf.DUMMYFUNCTION("GoogleTranslate(C61, ""en"", ""eu"")"),"Hodei-estalkia")</f>
        <v>Hodei-estalkia</v>
      </c>
      <c r="J61" s="3" t="str">
        <f>IFERROR(__xludf.DUMMYFUNCTION("GoogleTranslate(C61, ""en"", ""be"")"),"Воблачнасць")</f>
        <v>Воблачнасць</v>
      </c>
      <c r="K61" s="3" t="str">
        <f>IFERROR(__xludf.DUMMYFUNCTION("GoogleTranslate(C61, ""en"", ""bn"")"),"মেঘের আচ্ছাদন")</f>
        <v>মেঘের আচ্ছাদন</v>
      </c>
      <c r="L61" s="3" t="str">
        <f>IFERROR(__xludf.DUMMYFUNCTION("GoogleTranslate(C61, ""en"", ""bg"")"),"Облачно покритие")</f>
        <v>Облачно покритие</v>
      </c>
      <c r="M61" s="3" t="str">
        <f>IFERROR(__xludf.DUMMYFUNCTION("GoogleTranslate(C61, ""en"", ""my"")"),"တိမ်တိုက်")</f>
        <v>တိမ်တိုက်</v>
      </c>
      <c r="N61" s="3" t="str">
        <f>IFERROR(__xludf.DUMMYFUNCTION("GoogleTranslate(C61, ""en"", ""ca"")"),"Coberta de núvols")</f>
        <v>Coberta de núvols</v>
      </c>
      <c r="O61" s="3" t="str">
        <f>IFERROR(__xludf.DUMMYFUNCTION("GoogleTranslate(C61, ""en"", ""zh-cn"")"),"云层覆盖")</f>
        <v>云层覆盖</v>
      </c>
      <c r="P61" s="3" t="str">
        <f>IFERROR(__xludf.DUMMYFUNCTION("GoogleTranslate(C61, ""en"", ""zh-TW"")"),"雲層覆蓋")</f>
        <v>雲層覆蓋</v>
      </c>
      <c r="Q61" s="3" t="str">
        <f>IFERROR(__xludf.DUMMYFUNCTION("GoogleTranslate(C61, ""en"", ""hr"")"),"Oblačnost")</f>
        <v>Oblačnost</v>
      </c>
      <c r="R61" s="3" t="str">
        <f>IFERROR(__xludf.DUMMYFUNCTION("GoogleTranslate(C61, ""en"", ""cs"")"),"Oblačnost")</f>
        <v>Oblačnost</v>
      </c>
      <c r="S61" s="3" t="str">
        <f>IFERROR(__xludf.DUMMYFUNCTION("GoogleTranslate(C61, ""en"", ""da"")"),"Skydække")</f>
        <v>Skydække</v>
      </c>
      <c r="T61" s="3" t="str">
        <f>IFERROR(__xludf.DUMMYFUNCTION("GoogleTranslate(C61, ""en"", ""nl"")"),"Bewolking")</f>
        <v>Bewolking</v>
      </c>
      <c r="U61" s="3" t="str">
        <f>IFERROR(__xludf.DUMMYFUNCTION("GoogleTranslate(C61, ""en"", ""et"")"),"Pilvekate")</f>
        <v>Pilvekate</v>
      </c>
      <c r="V61" s="1" t="str">
        <f t="shared" si="3"/>
        <v>Cloud cover</v>
      </c>
      <c r="W61" s="3" t="str">
        <f>IFERROR(__xludf.DUMMYFUNCTION("GoogleTranslate(C61, ""en"", ""fi"")"),"Pilvipeite")</f>
        <v>Pilvipeite</v>
      </c>
      <c r="X61" s="3" t="str">
        <f>IFERROR(__xludf.DUMMYFUNCTION("GoogleTranslate(C61, ""en"", ""fr"")"),"Couverture nuageuse")</f>
        <v>Couverture nuageuse</v>
      </c>
      <c r="Y61" s="3" t="str">
        <f>IFERROR(__xludf.DUMMYFUNCTION("GoogleTranslate(C61, ""en"", ""de"")"),"Wolkendecke")</f>
        <v>Wolkendecke</v>
      </c>
      <c r="Z61" s="3" t="str">
        <f>IFERROR(__xludf.DUMMYFUNCTION("GoogleTranslate(C61, ""en"", ""el"")"),"Συννεφοκάλυψη")</f>
        <v>Συννεφοκάλυψη</v>
      </c>
      <c r="AA61" s="3" t="str">
        <f>IFERROR(__xludf.DUMMYFUNCTION("GoogleTranslate(C61, ""en"", ""iw"")"),"כיסוי עננים")</f>
        <v>כיסוי עננים</v>
      </c>
      <c r="AB61" s="3" t="str">
        <f>IFERROR(__xludf.DUMMYFUNCTION("GoogleTranslate(C61, ""en"", ""hi"")"),"बादल मूंदना")</f>
        <v>बादल मूंदना</v>
      </c>
      <c r="AC61" s="3" t="str">
        <f>IFERROR(__xludf.DUMMYFUNCTION("GoogleTranslate(C61, ""en"", ""hu"")"),"Felhőtakaró")</f>
        <v>Felhőtakaró</v>
      </c>
      <c r="AD61" s="3" t="str">
        <f>IFERROR(__xludf.DUMMYFUNCTION("GoogleTranslate(C61, ""en"", ""is"")"),"Skýjahula")</f>
        <v>Skýjahula</v>
      </c>
      <c r="AE61" s="3" t="str">
        <f>IFERROR(__xludf.DUMMYFUNCTION("GoogleTranslate(C61, ""en"", ""id"")"),"Tutupan awan")</f>
        <v>Tutupan awan</v>
      </c>
      <c r="AF61" s="3" t="str">
        <f>IFERROR(__xludf.DUMMYFUNCTION("GoogleTranslate(C61, ""en"", ""in"")"),"Tutupan awan")</f>
        <v>Tutupan awan</v>
      </c>
      <c r="AG61" s="3" t="str">
        <f>IFERROR(__xludf.DUMMYFUNCTION("GoogleTranslate(C61, ""en"", ""it"")"),"Copertura nuvolosa")</f>
        <v>Copertura nuvolosa</v>
      </c>
      <c r="AH61" s="3" t="str">
        <f>IFERROR(__xludf.DUMMYFUNCTION("GoogleTranslate(C61, ""en"", ""ja"")"),"雲量")</f>
        <v>雲量</v>
      </c>
      <c r="AI61" s="3" t="str">
        <f>IFERROR(__xludf.DUMMYFUNCTION("GoogleTranslate(C61, ""en"", ""kn"")"),"ಮೇಘ ಕವರ್")</f>
        <v>ಮೇಘ ಕವರ್</v>
      </c>
      <c r="AJ61" s="3" t="str">
        <f>IFERROR(__xludf.DUMMYFUNCTION("GoogleTranslate(C61, ""en"", ""km"")"),"គម្របពពក")</f>
        <v>គម្របពពក</v>
      </c>
      <c r="AK61" s="3" t="str">
        <f>IFERROR(__xludf.DUMMYFUNCTION("GoogleTranslate(C61, ""en"", ""ko"")"),"구름 덮개")</f>
        <v>구름 덮개</v>
      </c>
      <c r="AL61" s="3" t="str">
        <f>IFERROR(__xludf.DUMMYFUNCTION("GoogleTranslate(C61, ""en"", ""lo"")"),"ການປົກຫຸ້ມຂອງຟັງ")</f>
        <v>ການປົກຫຸ້ມຂອງຟັງ</v>
      </c>
      <c r="AM61" s="3" t="str">
        <f>IFERROR(__xludf.DUMMYFUNCTION("GoogleTranslate(C61, ""en"", ""lv"")"),"Mākoņu sega")</f>
        <v>Mākoņu sega</v>
      </c>
      <c r="AN61" s="3" t="str">
        <f>IFERROR(__xludf.DUMMYFUNCTION("GoogleTranslate(C61, ""en"", ""lt"")"),"Debesų danga")</f>
        <v>Debesų danga</v>
      </c>
      <c r="AO61" s="3" t="str">
        <f>IFERROR(__xludf.DUMMYFUNCTION("GoogleTranslate(C61, ""en"", ""mk"")"),"Облачна покривка")</f>
        <v>Облачна покривка</v>
      </c>
      <c r="AP61" s="3" t="str">
        <f>IFERROR(__xludf.DUMMYFUNCTION("GoogleTranslate(C61, ""en"", ""ms"")"),"Penutup awan")</f>
        <v>Penutup awan</v>
      </c>
      <c r="AQ61" s="3" t="str">
        <f>IFERROR(__xludf.DUMMYFUNCTION("GoogleTranslate(C61, ""en"", ""ml"")"),"മേഘ കവർ")</f>
        <v>മേഘ കവർ</v>
      </c>
      <c r="AR61" s="3" t="str">
        <f>IFERROR(__xludf.DUMMYFUNCTION("GoogleTranslate(C61, ""en"", ""mr"")"),"ढगांचे आच्छादन")</f>
        <v>ढगांचे आच्छादन</v>
      </c>
      <c r="AS61" s="3" t="str">
        <f>IFERROR(__xludf.DUMMYFUNCTION("GoogleTranslate(C61, ""en"", ""mn"")"),"Үүл бүрхэвч")</f>
        <v>Үүл бүрхэвч</v>
      </c>
      <c r="AT61" s="3" t="str">
        <f>IFERROR(__xludf.DUMMYFUNCTION("GoogleTranslate(C61, ""en"", ""ne"")"),"बादलको आवरण")</f>
        <v>बादलको आवरण</v>
      </c>
      <c r="AU61" s="3" t="str">
        <f>IFERROR(__xludf.DUMMYFUNCTION("GoogleTranslate(C61, ""en"", ""nb"")"),"Skydekke")</f>
        <v>Skydekke</v>
      </c>
      <c r="AV61" s="3" t="str">
        <f>IFERROR(__xludf.DUMMYFUNCTION("GoogleTranslate(C61, ""en"", ""fa"")"),"پوشش ابری")</f>
        <v>پوشش ابری</v>
      </c>
      <c r="AW61" s="3" t="str">
        <f>IFERROR(__xludf.DUMMYFUNCTION("GoogleTranslate(C61, ""en"", ""pl"")"),"Pokrycie chmur")</f>
        <v>Pokrycie chmur</v>
      </c>
      <c r="AX61" s="3" t="str">
        <f>IFERROR(__xludf.DUMMYFUNCTION("GoogleTranslate(C61, ""en"", ""pt"")"),"Cobertura de nuvens")</f>
        <v>Cobertura de nuvens</v>
      </c>
      <c r="AY61" s="3" t="str">
        <f>IFERROR(__xludf.DUMMYFUNCTION("GoogleTranslate(C61, ""en"", ""ro"")"),"Acoperire cu nori")</f>
        <v>Acoperire cu nori</v>
      </c>
      <c r="AZ61" s="3" t="str">
        <f>IFERROR(__xludf.DUMMYFUNCTION("GoogleTranslate(C61, ""en"", ""ru"")"),"Облачность")</f>
        <v>Облачность</v>
      </c>
      <c r="BA61" s="3" t="str">
        <f>IFERROR(__xludf.DUMMYFUNCTION("GoogleTranslate(C61, ""en"", ""sr"")"),"Облачност")</f>
        <v>Облачност</v>
      </c>
      <c r="BB61" s="3" t="str">
        <f>IFERROR(__xludf.DUMMYFUNCTION("GoogleTranslate(C61, ""en"", ""si"")"),"වලාකුළු ආවරණය")</f>
        <v>වලාකුළු ආවරණය</v>
      </c>
      <c r="BC61" s="3" t="str">
        <f>IFERROR(__xludf.DUMMYFUNCTION("GoogleTranslate(C61, ""en"", ""sk"")"),"Oblačnosť")</f>
        <v>Oblačnosť</v>
      </c>
      <c r="BD61" s="3" t="str">
        <f>IFERROR(__xludf.DUMMYFUNCTION("GoogleTranslate(C61, ""en"", ""sl"")"),"Oblačnost")</f>
        <v>Oblačnost</v>
      </c>
      <c r="BE61" s="3" t="str">
        <f>IFERROR(__xludf.DUMMYFUNCTION("GoogleTranslate(C61, ""en"", ""es"")"),"Cubierta de nubes")</f>
        <v>Cubierta de nubes</v>
      </c>
      <c r="BF61" s="3" t="str">
        <f>IFERROR(__xludf.DUMMYFUNCTION("GoogleTranslate(C61, ""en"", ""sw"")"),"Jalada la wingu")</f>
        <v>Jalada la wingu</v>
      </c>
      <c r="BG61" s="3" t="str">
        <f>IFERROR(__xludf.DUMMYFUNCTION("GoogleTranslate(C61, ""en"", ""sv"")"),"Molntäcke")</f>
        <v>Molntäcke</v>
      </c>
      <c r="BH61" s="3" t="str">
        <f>IFERROR(__xludf.DUMMYFUNCTION("GoogleTranslate(C61, ""en"", ""te"")"),"క్లౌడ్ కవర్")</f>
        <v>క్లౌడ్ కవర్</v>
      </c>
      <c r="BI61" s="3" t="str">
        <f>IFERROR(__xludf.DUMMYFUNCTION("GoogleTranslate(C61, ""en"", ""th"")"),"เมฆปกคลุม")</f>
        <v>เมฆปกคลุม</v>
      </c>
      <c r="BJ61" s="3" t="str">
        <f>IFERROR(__xludf.DUMMYFUNCTION("GoogleTranslate(C61, ""en"", ""tr"")"),"Bulut örtüsü")</f>
        <v>Bulut örtüsü</v>
      </c>
      <c r="BK61" s="3" t="str">
        <f>IFERROR(__xludf.DUMMYFUNCTION("GoogleTranslate(C61, ""en"", ""uk"")"),"Хмарність")</f>
        <v>Хмарність</v>
      </c>
      <c r="BL61" s="3" t="str">
        <f>IFERROR(__xludf.DUMMYFUNCTION("GoogleTranslate(C61, ""en"", ""zu"")"),"Ikhava yefu")</f>
        <v>Ikhava yefu</v>
      </c>
    </row>
    <row r="62">
      <c r="A62" s="1" t="str">
        <f t="shared" si="1"/>
        <v>Pressure</v>
      </c>
      <c r="B62" s="4" t="s">
        <v>109</v>
      </c>
      <c r="C62" s="1" t="str">
        <f t="shared" si="2"/>
        <v>Pressure</v>
      </c>
      <c r="D62" s="3" t="str">
        <f>IFERROR(__xludf.DUMMYFUNCTION("GoogleTranslate(C62, ""en"", ""es"")"),"Presión")</f>
        <v>Presión</v>
      </c>
      <c r="E62" s="3" t="str">
        <f>IFERROR(__xludf.DUMMYFUNCTION("GoogleTranslate(C62, ""en"", ""ar"")"),"ضغط")</f>
        <v>ضغط</v>
      </c>
      <c r="F62" s="3" t="str">
        <f>IFERROR(__xludf.DUMMYFUNCTION("GoogleTranslate(C62, ""en"", ""hy"")"),"Ճնշում")</f>
        <v>Ճնշում</v>
      </c>
      <c r="G62" s="3" t="str">
        <f>IFERROR(__xludf.DUMMYFUNCTION("GoogleTranslate(C62, ""en"", ""vi"")"),"Áp lực")</f>
        <v>Áp lực</v>
      </c>
      <c r="H62" s="3" t="str">
        <f>IFERROR(__xludf.DUMMYFUNCTION("GoogleTranslate(C62, ""en"", ""az"")"),"Təzyiq")</f>
        <v>Təzyiq</v>
      </c>
      <c r="I62" s="3" t="str">
        <f>IFERROR(__xludf.DUMMYFUNCTION("GoogleTranslate(C62, ""en"", ""eu"")"),"Presioa")</f>
        <v>Presioa</v>
      </c>
      <c r="J62" s="3" t="str">
        <f>IFERROR(__xludf.DUMMYFUNCTION("GoogleTranslate(C62, ""en"", ""be"")"),"Ціск")</f>
        <v>Ціск</v>
      </c>
      <c r="K62" s="3" t="str">
        <f>IFERROR(__xludf.DUMMYFUNCTION("GoogleTranslate(C62, ""en"", ""bn"")"),"চাপ")</f>
        <v>চাপ</v>
      </c>
      <c r="L62" s="3" t="str">
        <f>IFERROR(__xludf.DUMMYFUNCTION("GoogleTranslate(C62, ""en"", ""bg"")"),"налягане")</f>
        <v>налягане</v>
      </c>
      <c r="M62" s="3" t="str">
        <f>IFERROR(__xludf.DUMMYFUNCTION("GoogleTranslate(C62, ""en"", ""my"")"),"ဖိအား")</f>
        <v>ဖိအား</v>
      </c>
      <c r="N62" s="3" t="str">
        <f>IFERROR(__xludf.DUMMYFUNCTION("GoogleTranslate(C62, ""en"", ""ca"")"),"Pressió")</f>
        <v>Pressió</v>
      </c>
      <c r="O62" s="3" t="str">
        <f>IFERROR(__xludf.DUMMYFUNCTION("GoogleTranslate(C62, ""en"", ""zh-cn"")"),"压力")</f>
        <v>压力</v>
      </c>
      <c r="P62" s="3" t="str">
        <f>IFERROR(__xludf.DUMMYFUNCTION("GoogleTranslate(C62, ""en"", ""zh-TW"")"),"壓力")</f>
        <v>壓力</v>
      </c>
      <c r="Q62" s="3" t="str">
        <f>IFERROR(__xludf.DUMMYFUNCTION("GoogleTranslate(C62, ""en"", ""hr"")"),"Pritisak")</f>
        <v>Pritisak</v>
      </c>
      <c r="R62" s="3" t="str">
        <f>IFERROR(__xludf.DUMMYFUNCTION("GoogleTranslate(C62, ""en"", ""cs"")"),"Tlak")</f>
        <v>Tlak</v>
      </c>
      <c r="S62" s="3" t="str">
        <f>IFERROR(__xludf.DUMMYFUNCTION("GoogleTranslate(C62, ""en"", ""da"")"),"Tryk")</f>
        <v>Tryk</v>
      </c>
      <c r="T62" s="3" t="str">
        <f>IFERROR(__xludf.DUMMYFUNCTION("GoogleTranslate(C62, ""en"", ""nl"")"),"Druk")</f>
        <v>Druk</v>
      </c>
      <c r="U62" s="3" t="str">
        <f>IFERROR(__xludf.DUMMYFUNCTION("GoogleTranslate(C62, ""en"", ""et"")"),"Surve")</f>
        <v>Surve</v>
      </c>
      <c r="V62" s="1" t="str">
        <f t="shared" si="3"/>
        <v>Pressure</v>
      </c>
      <c r="W62" s="3" t="str">
        <f>IFERROR(__xludf.DUMMYFUNCTION("GoogleTranslate(C62, ""en"", ""fi"")"),"Paine")</f>
        <v>Paine</v>
      </c>
      <c r="X62" s="3" t="str">
        <f>IFERROR(__xludf.DUMMYFUNCTION("GoogleTranslate(C62, ""en"", ""fr"")"),"Pression")</f>
        <v>Pression</v>
      </c>
      <c r="Y62" s="3" t="str">
        <f>IFERROR(__xludf.DUMMYFUNCTION("GoogleTranslate(C62, ""en"", ""de"")"),"Druck")</f>
        <v>Druck</v>
      </c>
      <c r="Z62" s="3" t="str">
        <f>IFERROR(__xludf.DUMMYFUNCTION("GoogleTranslate(C62, ""en"", ""el"")"),"Πίεση")</f>
        <v>Πίεση</v>
      </c>
      <c r="AA62" s="3" t="str">
        <f>IFERROR(__xludf.DUMMYFUNCTION("GoogleTranslate(C62, ""en"", ""iw"")"),"לַחַץ")</f>
        <v>לַחַץ</v>
      </c>
      <c r="AB62" s="3" t="str">
        <f>IFERROR(__xludf.DUMMYFUNCTION("GoogleTranslate(C62, ""en"", ""hi"")"),"दबाव")</f>
        <v>दबाव</v>
      </c>
      <c r="AC62" s="3" t="str">
        <f>IFERROR(__xludf.DUMMYFUNCTION("GoogleTranslate(C62, ""en"", ""hu"")"),"Nyomás")</f>
        <v>Nyomás</v>
      </c>
      <c r="AD62" s="3" t="str">
        <f>IFERROR(__xludf.DUMMYFUNCTION("GoogleTranslate(C62, ""en"", ""is"")"),"Þrýstingur")</f>
        <v>Þrýstingur</v>
      </c>
      <c r="AE62" s="3" t="str">
        <f>IFERROR(__xludf.DUMMYFUNCTION("GoogleTranslate(C62, ""en"", ""id"")"),"Tekanan")</f>
        <v>Tekanan</v>
      </c>
      <c r="AF62" s="3" t="str">
        <f>IFERROR(__xludf.DUMMYFUNCTION("GoogleTranslate(C62, ""en"", ""in"")"),"Tekanan")</f>
        <v>Tekanan</v>
      </c>
      <c r="AG62" s="3" t="str">
        <f>IFERROR(__xludf.DUMMYFUNCTION("GoogleTranslate(C62, ""en"", ""it"")"),"Pressione")</f>
        <v>Pressione</v>
      </c>
      <c r="AH62" s="3" t="str">
        <f>IFERROR(__xludf.DUMMYFUNCTION("GoogleTranslate(C62, ""en"", ""ja"")"),"プレッシャー")</f>
        <v>プレッシャー</v>
      </c>
      <c r="AI62" s="3" t="str">
        <f>IFERROR(__xludf.DUMMYFUNCTION("GoogleTranslate(C62, ""en"", ""kn"")"),"ಒತ್ತಡ")</f>
        <v>ಒತ್ತಡ</v>
      </c>
      <c r="AJ62" s="3" t="str">
        <f>IFERROR(__xludf.DUMMYFUNCTION("GoogleTranslate(C62, ""en"", ""km"")"),"សម្ពាធ")</f>
        <v>សម្ពាធ</v>
      </c>
      <c r="AK62" s="3" t="str">
        <f>IFERROR(__xludf.DUMMYFUNCTION("GoogleTranslate(C62, ""en"", ""ko"")"),"압력")</f>
        <v>압력</v>
      </c>
      <c r="AL62" s="3" t="str">
        <f>IFERROR(__xludf.DUMMYFUNCTION("GoogleTranslate(C62, ""en"", ""lo"")"),"ຄວາມກົດດັນ")</f>
        <v>ຄວາມກົດດັນ</v>
      </c>
      <c r="AM62" s="3" t="str">
        <f>IFERROR(__xludf.DUMMYFUNCTION("GoogleTranslate(C62, ""en"", ""lv"")"),"Spiediens")</f>
        <v>Spiediens</v>
      </c>
      <c r="AN62" s="3" t="str">
        <f>IFERROR(__xludf.DUMMYFUNCTION("GoogleTranslate(C62, ""en"", ""lt"")"),"Slėgis")</f>
        <v>Slėgis</v>
      </c>
      <c r="AO62" s="3" t="str">
        <f>IFERROR(__xludf.DUMMYFUNCTION("GoogleTranslate(C62, ""en"", ""mk"")"),"Притисок")</f>
        <v>Притисок</v>
      </c>
      <c r="AP62" s="3" t="str">
        <f>IFERROR(__xludf.DUMMYFUNCTION("GoogleTranslate(C62, ""en"", ""ms"")"),"Tekanan")</f>
        <v>Tekanan</v>
      </c>
      <c r="AQ62" s="3" t="str">
        <f>IFERROR(__xludf.DUMMYFUNCTION("GoogleTranslate(C62, ""en"", ""ml"")"),"സമ്മർദ്ദം")</f>
        <v>സമ്മർദ്ദം</v>
      </c>
      <c r="AR62" s="3" t="str">
        <f>IFERROR(__xludf.DUMMYFUNCTION("GoogleTranslate(C62, ""en"", ""mr"")"),"दाब")</f>
        <v>दाब</v>
      </c>
      <c r="AS62" s="3" t="str">
        <f>IFERROR(__xludf.DUMMYFUNCTION("GoogleTranslate(C62, ""en"", ""mn"")"),"Даралт")</f>
        <v>Даралт</v>
      </c>
      <c r="AT62" s="3" t="str">
        <f>IFERROR(__xludf.DUMMYFUNCTION("GoogleTranslate(C62, ""en"", ""ne"")"),"दबाब")</f>
        <v>दबाब</v>
      </c>
      <c r="AU62" s="3" t="str">
        <f>IFERROR(__xludf.DUMMYFUNCTION("GoogleTranslate(C62, ""en"", ""nb"")"),"Trykk")</f>
        <v>Trykk</v>
      </c>
      <c r="AV62" s="3" t="str">
        <f>IFERROR(__xludf.DUMMYFUNCTION("GoogleTranslate(C62, ""en"", ""fa"")"),"فشار")</f>
        <v>فشار</v>
      </c>
      <c r="AW62" s="3" t="str">
        <f>IFERROR(__xludf.DUMMYFUNCTION("GoogleTranslate(C62, ""en"", ""pl"")"),"Ciśnienie")</f>
        <v>Ciśnienie</v>
      </c>
      <c r="AX62" s="3" t="str">
        <f>IFERROR(__xludf.DUMMYFUNCTION("GoogleTranslate(C62, ""en"", ""pt"")"),"Pressão")</f>
        <v>Pressão</v>
      </c>
      <c r="AY62" s="3" t="str">
        <f>IFERROR(__xludf.DUMMYFUNCTION("GoogleTranslate(C62, ""en"", ""ro"")"),"Presiune")</f>
        <v>Presiune</v>
      </c>
      <c r="AZ62" s="3" t="str">
        <f>IFERROR(__xludf.DUMMYFUNCTION("GoogleTranslate(C62, ""en"", ""ru"")"),"Давление")</f>
        <v>Давление</v>
      </c>
      <c r="BA62" s="3" t="str">
        <f>IFERROR(__xludf.DUMMYFUNCTION("GoogleTranslate(C62, ""en"", ""sr"")"),"Притисак")</f>
        <v>Притисак</v>
      </c>
      <c r="BB62" s="3" t="str">
        <f>IFERROR(__xludf.DUMMYFUNCTION("GoogleTranslate(C62, ""en"", ""si"")"),"පීඩනය")</f>
        <v>පීඩනය</v>
      </c>
      <c r="BC62" s="3" t="str">
        <f>IFERROR(__xludf.DUMMYFUNCTION("GoogleTranslate(C62, ""en"", ""sk"")"),"Tlak")</f>
        <v>Tlak</v>
      </c>
      <c r="BD62" s="3" t="str">
        <f>IFERROR(__xludf.DUMMYFUNCTION("GoogleTranslate(C62, ""en"", ""sl"")"),"Pritisk")</f>
        <v>Pritisk</v>
      </c>
      <c r="BE62" s="3" t="str">
        <f>IFERROR(__xludf.DUMMYFUNCTION("GoogleTranslate(C62, ""en"", ""es"")"),"Presión")</f>
        <v>Presión</v>
      </c>
      <c r="BF62" s="3" t="str">
        <f>IFERROR(__xludf.DUMMYFUNCTION("GoogleTranslate(C62, ""en"", ""sw"")"),"Shinikizo")</f>
        <v>Shinikizo</v>
      </c>
      <c r="BG62" s="3" t="str">
        <f>IFERROR(__xludf.DUMMYFUNCTION("GoogleTranslate(C62, ""en"", ""sv"")"),"Tryck")</f>
        <v>Tryck</v>
      </c>
      <c r="BH62" s="3" t="str">
        <f>IFERROR(__xludf.DUMMYFUNCTION("GoogleTranslate(C62, ""en"", ""te"")"),"ఒత్తిడి")</f>
        <v>ఒత్తిడి</v>
      </c>
      <c r="BI62" s="3" t="str">
        <f>IFERROR(__xludf.DUMMYFUNCTION("GoogleTranslate(C62, ""en"", ""th"")"),"ความดัน")</f>
        <v>ความดัน</v>
      </c>
      <c r="BJ62" s="3" t="str">
        <f>IFERROR(__xludf.DUMMYFUNCTION("GoogleTranslate(C62, ""en"", ""tr"")"),"Basınç")</f>
        <v>Basınç</v>
      </c>
      <c r="BK62" s="3" t="str">
        <f>IFERROR(__xludf.DUMMYFUNCTION("GoogleTranslate(C62, ""en"", ""uk"")"),"Тиск")</f>
        <v>Тиск</v>
      </c>
      <c r="BL62" s="3" t="str">
        <f>IFERROR(__xludf.DUMMYFUNCTION("GoogleTranslate(C62, ""en"", ""zu"")"),"Ingcindezi")</f>
        <v>Ingcindezi</v>
      </c>
    </row>
    <row r="63">
      <c r="A63" s="1" t="str">
        <f t="shared" si="1"/>
        <v>Moonphase</v>
      </c>
      <c r="B63" s="4" t="s">
        <v>123</v>
      </c>
      <c r="C63" s="1" t="str">
        <f t="shared" si="2"/>
        <v>Moonphase</v>
      </c>
      <c r="D63" s="3" t="str">
        <f>IFERROR(__xludf.DUMMYFUNCTION("GoogleTranslate(C63, ""en"", ""es"")"),"fase lunar")</f>
        <v>fase lunar</v>
      </c>
      <c r="E63" s="3" t="str">
        <f>IFERROR(__xludf.DUMMYFUNCTION("GoogleTranslate(C63, ""en"", ""ar"")"),"طور القمر")</f>
        <v>طور القمر</v>
      </c>
      <c r="F63" s="3" t="str">
        <f>IFERROR(__xludf.DUMMYFUNCTION("GoogleTranslate(C63, ""en"", ""hy"")"),"Լուսնի փուլ")</f>
        <v>Լուսնի փուլ</v>
      </c>
      <c r="G63" s="3" t="str">
        <f>IFERROR(__xludf.DUMMYFUNCTION("GoogleTranslate(C63, ""en"", ""vi"")"),"Tuần trăng")</f>
        <v>Tuần trăng</v>
      </c>
      <c r="H63" s="3" t="str">
        <f>IFERROR(__xludf.DUMMYFUNCTION("GoogleTranslate(C63, ""en"", ""az"")"),"Ay fazası")</f>
        <v>Ay fazası</v>
      </c>
      <c r="I63" s="3" t="str">
        <f>IFERROR(__xludf.DUMMYFUNCTION("GoogleTranslate(C63, ""en"", ""eu"")"),"Ilargi-fasea")</f>
        <v>Ilargi-fasea</v>
      </c>
      <c r="J63" s="3" t="str">
        <f>IFERROR(__xludf.DUMMYFUNCTION("GoogleTranslate(C63, ""en"", ""be"")"),"Фаза месяца")</f>
        <v>Фаза месяца</v>
      </c>
      <c r="K63" s="3" t="str">
        <f>IFERROR(__xludf.DUMMYFUNCTION("GoogleTranslate(C63, ""en"", ""bn"")"),"মুনফেজ")</f>
        <v>মুনফেজ</v>
      </c>
      <c r="L63" s="3" t="str">
        <f>IFERROR(__xludf.DUMMYFUNCTION("GoogleTranslate(C63, ""en"", ""bg"")"),"Лунна фаза")</f>
        <v>Лунна фаза</v>
      </c>
      <c r="M63" s="3" t="str">
        <f>IFERROR(__xludf.DUMMYFUNCTION("GoogleTranslate(C63, ""en"", ""my"")"),"Moonphase")</f>
        <v>Moonphase</v>
      </c>
      <c r="N63" s="3" t="str">
        <f>IFERROR(__xludf.DUMMYFUNCTION("GoogleTranslate(C63, ""en"", ""ca"")"),"Fase de lluna")</f>
        <v>Fase de lluna</v>
      </c>
      <c r="O63" s="3" t="str">
        <f>IFERROR(__xludf.DUMMYFUNCTION("GoogleTranslate(C63, ""en"", ""zh-cn"")"),"月相")</f>
        <v>月相</v>
      </c>
      <c r="P63" s="3" t="str">
        <f>IFERROR(__xludf.DUMMYFUNCTION("GoogleTranslate(C63, ""en"", ""zh-TW"")"),"月相")</f>
        <v>月相</v>
      </c>
      <c r="Q63" s="3" t="str">
        <f>IFERROR(__xludf.DUMMYFUNCTION("GoogleTranslate(C63, ""en"", ""hr"")"),"Mjesečeva faza")</f>
        <v>Mjesečeva faza</v>
      </c>
      <c r="R63" s="3" t="str">
        <f>IFERROR(__xludf.DUMMYFUNCTION("GoogleTranslate(C63, ""en"", ""cs"")"),"Měsíční fáze")</f>
        <v>Měsíční fáze</v>
      </c>
      <c r="S63" s="3" t="str">
        <f>IFERROR(__xludf.DUMMYFUNCTION("GoogleTranslate(C63, ""en"", ""da"")"),"Månefase")</f>
        <v>Månefase</v>
      </c>
      <c r="T63" s="3" t="str">
        <f>IFERROR(__xludf.DUMMYFUNCTION("GoogleTranslate(C63, ""en"", ""nl"")"),"Maanfase")</f>
        <v>Maanfase</v>
      </c>
      <c r="U63" s="3" t="str">
        <f>IFERROR(__xludf.DUMMYFUNCTION("GoogleTranslate(C63, ""en"", ""et"")"),"Kuufaas")</f>
        <v>Kuufaas</v>
      </c>
      <c r="V63" s="1" t="str">
        <f t="shared" si="3"/>
        <v>Moonphase</v>
      </c>
      <c r="W63" s="3" t="str">
        <f>IFERROR(__xludf.DUMMYFUNCTION("GoogleTranslate(C63, ""en"", ""fi"")"),"Kuun vaihe")</f>
        <v>Kuun vaihe</v>
      </c>
      <c r="X63" s="3" t="str">
        <f>IFERROR(__xludf.DUMMYFUNCTION("GoogleTranslate(C63, ""en"", ""fr"")"),"Phase de lune")</f>
        <v>Phase de lune</v>
      </c>
      <c r="Y63" s="3" t="str">
        <f>IFERROR(__xludf.DUMMYFUNCTION("GoogleTranslate(C63, ""en"", ""de"")"),"Mondphase")</f>
        <v>Mondphase</v>
      </c>
      <c r="Z63" s="3" t="str">
        <f>IFERROR(__xludf.DUMMYFUNCTION("GoogleTranslate(C63, ""en"", ""el"")"),"Φάση Σελήνης")</f>
        <v>Φάση Σελήνης</v>
      </c>
      <c r="AA63" s="3" t="str">
        <f>IFERROR(__xludf.DUMMYFUNCTION("GoogleTranslate(C63, ""en"", ""iw"")"),"שלב הירח")</f>
        <v>שלב הירח</v>
      </c>
      <c r="AB63" s="3" t="str">
        <f>IFERROR(__xludf.DUMMYFUNCTION("GoogleTranslate(C63, ""en"", ""hi"")"),"चंद्र कला")</f>
        <v>चंद्र कला</v>
      </c>
      <c r="AC63" s="3" t="str">
        <f>IFERROR(__xludf.DUMMYFUNCTION("GoogleTranslate(C63, ""en"", ""hu"")"),"Holdfázis")</f>
        <v>Holdfázis</v>
      </c>
      <c r="AD63" s="3" t="str">
        <f>IFERROR(__xludf.DUMMYFUNCTION("GoogleTranslate(C63, ""en"", ""is"")"),"Tunglfasi")</f>
        <v>Tunglfasi</v>
      </c>
      <c r="AE63" s="3" t="str">
        <f>IFERROR(__xludf.DUMMYFUNCTION("GoogleTranslate(C63, ""en"", ""id"")"),"Fase bulan")</f>
        <v>Fase bulan</v>
      </c>
      <c r="AF63" s="3" t="str">
        <f>IFERROR(__xludf.DUMMYFUNCTION("GoogleTranslate(C63, ""en"", ""in"")"),"Fase bulan")</f>
        <v>Fase bulan</v>
      </c>
      <c r="AG63" s="3" t="str">
        <f>IFERROR(__xludf.DUMMYFUNCTION("GoogleTranslate(C63, ""en"", ""it"")"),"Fase lunare")</f>
        <v>Fase lunare</v>
      </c>
      <c r="AH63" s="3" t="str">
        <f>IFERROR(__xludf.DUMMYFUNCTION("GoogleTranslate(C63, ""en"", ""ja"")"),"ムーンフェイズ")</f>
        <v>ムーンフェイズ</v>
      </c>
      <c r="AI63" s="3" t="str">
        <f>IFERROR(__xludf.DUMMYFUNCTION("GoogleTranslate(C63, ""en"", ""kn"")"),"ಮೂನ್ಫೇಸ್")</f>
        <v>ಮೂನ್ಫೇಸ್</v>
      </c>
      <c r="AJ63" s="3" t="str">
        <f>IFERROR(__xludf.DUMMYFUNCTION("GoogleTranslate(C63, ""en"", ""km"")"),"ដំណាក់កាលព្រះច័ន្ទ")</f>
        <v>ដំណាក់កាលព្រះច័ន្ទ</v>
      </c>
      <c r="AK63" s="3" t="str">
        <f>IFERROR(__xludf.DUMMYFUNCTION("GoogleTranslate(C63, ""en"", ""ko"")"),"문페이즈")</f>
        <v>문페이즈</v>
      </c>
      <c r="AL63" s="3" t="str">
        <f>IFERROR(__xludf.DUMMYFUNCTION("GoogleTranslate(C63, ""en"", ""lo"")"),"ໄລຍະເດືອນ")</f>
        <v>ໄລຍະເດືອນ</v>
      </c>
      <c r="AM63" s="3" t="str">
        <f>IFERROR(__xludf.DUMMYFUNCTION("GoogleTranslate(C63, ""en"", ""lv"")"),"Mēness fāze")</f>
        <v>Mēness fāze</v>
      </c>
      <c r="AN63" s="3" t="str">
        <f>IFERROR(__xludf.DUMMYFUNCTION("GoogleTranslate(C63, ""en"", ""lt"")"),"Mėnulio fazė")</f>
        <v>Mėnulio fazė</v>
      </c>
      <c r="AO63" s="3" t="str">
        <f>IFERROR(__xludf.DUMMYFUNCTION("GoogleTranslate(C63, ""en"", ""mk"")"),"Месечева фаза")</f>
        <v>Месечева фаза</v>
      </c>
      <c r="AP63" s="3" t="str">
        <f>IFERROR(__xludf.DUMMYFUNCTION("GoogleTranslate(C63, ""en"", ""ms"")"),"Fasa bulan")</f>
        <v>Fasa bulan</v>
      </c>
      <c r="AQ63" s="3" t="str">
        <f>IFERROR(__xludf.DUMMYFUNCTION("GoogleTranslate(C63, ""en"", ""ml"")"),"ചന്ദ്രഘട്ടം")</f>
        <v>ചന്ദ്രഘട്ടം</v>
      </c>
      <c r="AR63" s="3" t="str">
        <f>IFERROR(__xludf.DUMMYFUNCTION("GoogleTranslate(C63, ""en"", ""mr"")"),"मूनफेस")</f>
        <v>मूनफेस</v>
      </c>
      <c r="AS63" s="3" t="str">
        <f>IFERROR(__xludf.DUMMYFUNCTION("GoogleTranslate(C63, ""en"", ""mn"")"),"Сарны үе шат")</f>
        <v>Сарны үе шат</v>
      </c>
      <c r="AT63" s="3" t="str">
        <f>IFERROR(__xludf.DUMMYFUNCTION("GoogleTranslate(C63, ""en"", ""ne"")"),"मूनफेज")</f>
        <v>मूनफेज</v>
      </c>
      <c r="AU63" s="3" t="str">
        <f>IFERROR(__xludf.DUMMYFUNCTION("GoogleTranslate(C63, ""en"", ""nb"")"),"Månefase")</f>
        <v>Månefase</v>
      </c>
      <c r="AV63" s="3" t="str">
        <f>IFERROR(__xludf.DUMMYFUNCTION("GoogleTranslate(C63, ""en"", ""fa"")"),"فاز ماه")</f>
        <v>فاز ماه</v>
      </c>
      <c r="AW63" s="3" t="str">
        <f>IFERROR(__xludf.DUMMYFUNCTION("GoogleTranslate(C63, ""en"", ""pl"")"),"Faza księżyca")</f>
        <v>Faza księżyca</v>
      </c>
      <c r="AX63" s="3" t="str">
        <f>IFERROR(__xludf.DUMMYFUNCTION("GoogleTranslate(C63, ""en"", ""pt"")"),"Fase da lua")</f>
        <v>Fase da lua</v>
      </c>
      <c r="AY63" s="3" t="str">
        <f>IFERROR(__xludf.DUMMYFUNCTION("GoogleTranslate(C63, ""en"", ""ro"")"),"Faza lunii")</f>
        <v>Faza lunii</v>
      </c>
      <c r="AZ63" s="3" t="str">
        <f>IFERROR(__xludf.DUMMYFUNCTION("GoogleTranslate(C63, ""en"", ""ru"")"),"Фаза Луны")</f>
        <v>Фаза Луны</v>
      </c>
      <c r="BA63" s="3" t="str">
        <f>IFERROR(__xludf.DUMMYFUNCTION("GoogleTranslate(C63, ""en"", ""sr"")"),"Моонпхасе")</f>
        <v>Моонпхасе</v>
      </c>
      <c r="BB63" s="3" t="str">
        <f>IFERROR(__xludf.DUMMYFUNCTION("GoogleTranslate(C63, ""en"", ""si"")"),"සඳකඩපහණ")</f>
        <v>සඳකඩපහණ</v>
      </c>
      <c r="BC63" s="3" t="str">
        <f>IFERROR(__xludf.DUMMYFUNCTION("GoogleTranslate(C63, ""en"", ""sk"")"),"Mesačná fáza")</f>
        <v>Mesačná fáza</v>
      </c>
      <c r="BD63" s="3" t="str">
        <f>IFERROR(__xludf.DUMMYFUNCTION("GoogleTranslate(C63, ""en"", ""sl"")"),"Lunina faza")</f>
        <v>Lunina faza</v>
      </c>
      <c r="BE63" s="3" t="str">
        <f>IFERROR(__xludf.DUMMYFUNCTION("GoogleTranslate(C63, ""en"", ""es"")"),"fase lunar")</f>
        <v>fase lunar</v>
      </c>
      <c r="BF63" s="3" t="str">
        <f>IFERROR(__xludf.DUMMYFUNCTION("GoogleTranslate(C63, ""en"", ""sw"")"),"Moonphase")</f>
        <v>Moonphase</v>
      </c>
      <c r="BG63" s="3" t="str">
        <f>IFERROR(__xludf.DUMMYFUNCTION("GoogleTranslate(C63, ""en"", ""sv"")"),"Månfas")</f>
        <v>Månfas</v>
      </c>
      <c r="BH63" s="3" t="str">
        <f>IFERROR(__xludf.DUMMYFUNCTION("GoogleTranslate(C63, ""en"", ""te"")"),"చంద్రదశ")</f>
        <v>చంద్రదశ</v>
      </c>
      <c r="BI63" s="3" t="str">
        <f>IFERROR(__xludf.DUMMYFUNCTION("GoogleTranslate(C63, ""en"", ""th"")"),"ข้างขึ้นข้างแรม")</f>
        <v>ข้างขึ้นข้างแรม</v>
      </c>
      <c r="BJ63" s="3" t="str">
        <f>IFERROR(__xludf.DUMMYFUNCTION("GoogleTranslate(C63, ""en"", ""tr"")"),"Ay evresi")</f>
        <v>Ay evresi</v>
      </c>
      <c r="BK63" s="3" t="str">
        <f>IFERROR(__xludf.DUMMYFUNCTION("GoogleTranslate(C63, ""en"", ""uk"")"),"фаза місяця")</f>
        <v>фаза місяця</v>
      </c>
      <c r="BL63" s="3" t="str">
        <f>IFERROR(__xludf.DUMMYFUNCTION("GoogleTranslate(C63, ""en"", ""zu"")"),"I-Moonphase")</f>
        <v>I-Moonphase</v>
      </c>
    </row>
    <row r="64">
      <c r="A64" s="1" t="str">
        <f t="shared" si="1"/>
        <v>Temperature_and_chance_of_rain_in_{name}_in_the_next_30_days</v>
      </c>
      <c r="B64" s="4" t="s">
        <v>124</v>
      </c>
      <c r="C64" s="1" t="str">
        <f t="shared" si="2"/>
        <v>Temperature and chance of rain in {name} in the next 30 days</v>
      </c>
      <c r="D64" s="3" t="str">
        <f>IFERROR(__xludf.DUMMYFUNCTION("GoogleTranslate(C64, ""en"", ""es"")"),"Temperatura y probabilidad de lluvia en {nombre} en los próximos 30 días")</f>
        <v>Temperatura y probabilidad de lluvia en {nombre} en los próximos 30 días</v>
      </c>
      <c r="E64" s="3" t="str">
        <f>IFERROR(__xludf.DUMMYFUNCTION("GoogleTranslate(C64, ""en"", ""ar"")"),"درجة الحرارة وفرص هطول الأمطار في {الاسم} خلال الثلاثين يومًا القادمة")</f>
        <v>درجة الحرارة وفرص هطول الأمطار في {الاسم} خلال الثلاثين يومًا القادمة</v>
      </c>
      <c r="F64" s="3" t="str">
        <f>IFERROR(__xludf.DUMMYFUNCTION("GoogleTranslate(C64, ""en"", ""hy"")"),"Ջերմաստիճանը և անձրևի հավանականությունը {name}-ում առաջիկա 30 օրվա ընթացքում")</f>
        <v>Ջերմաստիճանը և անձրևի հավանականությունը {name}-ում առաջիկա 30 օրվա ընթացքում</v>
      </c>
      <c r="G64" s="3" t="str">
        <f>IFERROR(__xludf.DUMMYFUNCTION("GoogleTranslate(C64, ""en"", ""vi"")"),"Nhiệt độ và khả năng có mưa ở {name} trong 30 ngày tới")</f>
        <v>Nhiệt độ và khả năng có mưa ở {name} trong 30 ngày tới</v>
      </c>
      <c r="H64" s="3" t="str">
        <f>IFERROR(__xludf.DUMMYFUNCTION("GoogleTranslate(C64, ""en"", ""az"")"),"Növbəti 30 gündə {name} ərazisində temperatur və yağış ehtimalı")</f>
        <v>Növbəti 30 gündə {name} ərazisində temperatur və yağış ehtimalı</v>
      </c>
      <c r="I64" s="3" t="str">
        <f>IFERROR(__xludf.DUMMYFUNCTION("GoogleTranslate(C64, ""en"", ""eu"")"),"Tenperatura eta euria egiteko aukera {name}n hurrengo 30 egunetan")</f>
        <v>Tenperatura eta euria egiteko aukera {name}n hurrengo 30 egunetan</v>
      </c>
      <c r="J64" s="3" t="str">
        <f>IFERROR(__xludf.DUMMYFUNCTION("GoogleTranslate(C64, ""en"", ""be"")"),"Тэмпература і верагоднасць дажджу ў {name} у наступныя 30 дзён")</f>
        <v>Тэмпература і верагоднасць дажджу ў {name} у наступныя 30 дзён</v>
      </c>
      <c r="K64" s="3" t="str">
        <f>IFERROR(__xludf.DUMMYFUNCTION("GoogleTranslate(C64, ""en"", ""bn"")"),"আগামী ৩০ দিনের মধ্যে {name}-এ তাপমাত্রা এবং বৃষ্টির সম্ভাবনা")</f>
        <v>আগামী ৩০ দিনের মধ্যে {name}-এ তাপমাত্রা এবং বৃষ্টির সম্ভাবনা</v>
      </c>
      <c r="L64" s="3" t="str">
        <f>IFERROR(__xludf.DUMMYFUNCTION("GoogleTranslate(C64, ""en"", ""bg"")"),"Температура и вероятност за дъжд в {name} през следващите 30 дни")</f>
        <v>Температура и вероятност за дъжд в {name} през следващите 30 дни</v>
      </c>
      <c r="M64" s="3" t="str">
        <f>IFERROR(__xludf.DUMMYFUNCTION("GoogleTranslate(C64, ""en"", ""my"")"),"လာမည့် ရက် 30 အတွင်း {name} တွင် အပူချိန်နှင့် မိုးရွာနိုင်ခြေ")</f>
        <v>လာမည့် ရက် 30 အတွင်း {name} တွင် အပူချိန်နှင့် မိုးရွာနိုင်ခြေ</v>
      </c>
      <c r="N64" s="3" t="str">
        <f>IFERROR(__xludf.DUMMYFUNCTION("GoogleTranslate(C64, ""en"", ""ca"")"),"Temperatura i probabilitat de pluja a {name} durant els propers 30 dies")</f>
        <v>Temperatura i probabilitat de pluja a {name} durant els propers 30 dies</v>
      </c>
      <c r="O64" s="3" t="str">
        <f>IFERROR(__xludf.DUMMYFUNCTION("GoogleTranslate(C64, ""en"", ""zh-cn"")"),"未来 30 天内{name} 的气温和降雨概率")</f>
        <v>未来 30 天内{name} 的气温和降雨概率</v>
      </c>
      <c r="P64" s="3" t="str">
        <f>IFERROR(__xludf.DUMMYFUNCTION("GoogleTranslate(C64, ""en"", ""zh-TW"")"),"未來 30 天內{name} 的氣溫和降雨機率")</f>
        <v>未來 30 天內{name} 的氣溫和降雨機率</v>
      </c>
      <c r="Q64" s="3" t="str">
        <f>IFERROR(__xludf.DUMMYFUNCTION("GoogleTranslate(C64, ""en"", ""hr"")"),"Temperatura i mogućnost kiše u {name} u sljedećih 30 dana")</f>
        <v>Temperatura i mogućnost kiše u {name} u sljedećih 30 dana</v>
      </c>
      <c r="R64" s="3" t="str">
        <f>IFERROR(__xludf.DUMMYFUNCTION("GoogleTranslate(C64, ""en"", ""cs"")"),"Teplota a možnost deště v {name} v příštích 30 dnech")</f>
        <v>Teplota a možnost deště v {name} v příštích 30 dnech</v>
      </c>
      <c r="S64" s="3" t="str">
        <f>IFERROR(__xludf.DUMMYFUNCTION("GoogleTranslate(C64, ""en"", ""da"")"),"Temperatur og chance for regn i {name} i de næste 30 dage")</f>
        <v>Temperatur og chance for regn i {name} i de næste 30 dage</v>
      </c>
      <c r="T64" s="3" t="str">
        <f>IFERROR(__xludf.DUMMYFUNCTION("GoogleTranslate(C64, ""en"", ""nl"")"),"Temperatuur en kans op regen in {name} de komende 30 dagen")</f>
        <v>Temperatuur en kans op regen in {name} de komende 30 dagen</v>
      </c>
      <c r="U64" s="3" t="str">
        <f>IFERROR(__xludf.DUMMYFUNCTION("GoogleTranslate(C64, ""en"", ""et"")"),"Temperatuur ja vihma võimalus asukohas {name} järgmise 30 päeva jooksul")</f>
        <v>Temperatuur ja vihma võimalus asukohas {name} järgmise 30 päeva jooksul</v>
      </c>
      <c r="V64" s="1" t="str">
        <f t="shared" si="3"/>
        <v>Temperature and chance of rain in {name} in the next 30 days</v>
      </c>
      <c r="W64" s="3" t="str">
        <f>IFERROR(__xludf.DUMMYFUNCTION("GoogleTranslate(C64, ""en"", ""fi"")"),"Lämpötila ja sateen mahdollisuus paikassa {name} seuraavien 30 päivän aikana")</f>
        <v>Lämpötila ja sateen mahdollisuus paikassa {name} seuraavien 30 päivän aikana</v>
      </c>
      <c r="X64" s="3" t="str">
        <f>IFERROR(__xludf.DUMMYFUNCTION("GoogleTranslate(C64, ""en"", ""fr"")"),"Température et risque de pluie à {name} dans les 30 prochains jours")</f>
        <v>Température et risque de pluie à {name} dans les 30 prochains jours</v>
      </c>
      <c r="Y64" s="3" t="str">
        <f>IFERROR(__xludf.DUMMYFUNCTION("GoogleTranslate(C64, ""en"", ""de"")"),"Temperatur und Regenwahrscheinlichkeit in {name} in den nächsten 30 Tagen")</f>
        <v>Temperatur und Regenwahrscheinlichkeit in {name} in den nächsten 30 Tagen</v>
      </c>
      <c r="Z64" s="3" t="str">
        <f>IFERROR(__xludf.DUMMYFUNCTION("GoogleTranslate(C64, ""en"", ""el"")"),"Θερμοκρασία και πιθανότητα βροχής στο {name} τις επόμενες 30 ημέρες")</f>
        <v>Θερμοκρασία και πιθανότητα βροχής στο {name} τις επόμενες 30 ημέρες</v>
      </c>
      <c r="AA64" s="3" t="str">
        <f>IFERROR(__xludf.DUMMYFUNCTION("GoogleTranslate(C64, ""en"", ""iw"")"),"טמפרטורה וסיכוי לגשם ב-{name} ב-30 הימים הקרובים")</f>
        <v>טמפרטורה וסיכוי לגשם ב-{name} ב-30 הימים הקרובים</v>
      </c>
      <c r="AB64" s="3" t="str">
        <f>IFERROR(__xludf.DUMMYFUNCTION("GoogleTranslate(C64, ""en"", ""hi"")"),"अगले 30 दिनों में {नाम} में तापमान और बारिश की संभावना")</f>
        <v>अगले 30 दिनों में {नाम} में तापमान और बारिश की संभावना</v>
      </c>
      <c r="AC64" s="3" t="str">
        <f>IFERROR(__xludf.DUMMYFUNCTION("GoogleTranslate(C64, ""en"", ""hu"")"),"Hőmérséklet és eső valószínűsége itt: {name} a következő 30 napban")</f>
        <v>Hőmérséklet és eső valószínűsége itt: {name} a következő 30 napban</v>
      </c>
      <c r="AD64" s="3" t="str">
        <f>IFERROR(__xludf.DUMMYFUNCTION("GoogleTranslate(C64, ""en"", ""is"")"),"Hiti og líkur á rigningu í {name} næstu 30 daga")</f>
        <v>Hiti og líkur á rigningu í {name} næstu 30 daga</v>
      </c>
      <c r="AE64" s="3" t="str">
        <f>IFERROR(__xludf.DUMMYFUNCTION("GoogleTranslate(C64, ""en"", ""id"")"),"Suhu dan kemungkinan hujan di {name} dalam 30 hari ke depan")</f>
        <v>Suhu dan kemungkinan hujan di {name} dalam 30 hari ke depan</v>
      </c>
      <c r="AF64" s="3" t="str">
        <f>IFERROR(__xludf.DUMMYFUNCTION("GoogleTranslate(C64, ""en"", ""in"")"),"Suhu dan kemungkinan hujan di {name} dalam 30 hari ke depan")</f>
        <v>Suhu dan kemungkinan hujan di {name} dalam 30 hari ke depan</v>
      </c>
      <c r="AG64" s="3" t="str">
        <f>IFERROR(__xludf.DUMMYFUNCTION("GoogleTranslate(C64, ""en"", ""it"")"),"Temperatura e possibilità di pioggia a {name} nei prossimi 30 giorni")</f>
        <v>Temperatura e possibilità di pioggia a {name} nei prossimi 30 giorni</v>
      </c>
      <c r="AH64" s="3" t="str">
        <f>IFERROR(__xludf.DUMMYFUNCTION("GoogleTranslate(C64, ""en"", ""ja"")"),"今後 30 日間の {name} の気温と降水確率")</f>
        <v>今後 30 日間の {name} の気温と降水確率</v>
      </c>
      <c r="AI64" s="3" t="str">
        <f>IFERROR(__xludf.DUMMYFUNCTION("GoogleTranslate(C64, ""en"", ""kn"")"),"ಮುಂದಿನ 30 ದಿನಗಳಲ್ಲಿ {name} ನಲ್ಲಿ ತಾಪಮಾನ ಮತ್ತು ಮಳೆಯ ಸಾಧ್ಯತೆ")</f>
        <v>ಮುಂದಿನ 30 ದಿನಗಳಲ್ಲಿ {name} ನಲ್ಲಿ ತಾಪಮಾನ ಮತ್ತು ಮಳೆಯ ಸಾಧ್ಯತೆ</v>
      </c>
      <c r="AJ64" s="3" t="str">
        <f>IFERROR(__xludf.DUMMYFUNCTION("GoogleTranslate(C64, ""en"", ""km"")"),"សីតុណ្ហភាព និងឱកាសនៃភ្លៀងនៅក្នុង {name} ក្នុងរយៈពេល 30 ថ្ងៃបន្ទាប់")</f>
        <v>សីតុណ្ហភាព និងឱកាសនៃភ្លៀងនៅក្នុង {name} ក្នុងរយៈពេល 30 ថ្ងៃបន្ទាប់</v>
      </c>
      <c r="AK64" s="3" t="str">
        <f>IFERROR(__xludf.DUMMYFUNCTION("GoogleTranslate(C64, ""en"", ""ko"")"),"향후 30일 동안 {name}의 기온과 비가 올 확률")</f>
        <v>향후 30일 동안 {name}의 기온과 비가 올 확률</v>
      </c>
      <c r="AL64" s="3" t="str">
        <f>IFERROR(__xludf.DUMMYFUNCTION("GoogleTranslate(C64, ""en"", ""lo"")"),"ອຸນຫະພູມ ແລະໂອກາດທີ່ຈະມີຝົນຕົກໃນ {name} ໃນ 30 ມື້ຂ້າງໜ້າ")</f>
        <v>ອຸນຫະພູມ ແລະໂອກາດທີ່ຈະມີຝົນຕົກໃນ {name} ໃນ 30 ມື້ຂ້າງໜ້າ</v>
      </c>
      <c r="AM64" s="3" t="str">
        <f>IFERROR(__xludf.DUMMYFUNCTION("GoogleTranslate(C64, ""en"", ""lv"")"),"Temperatūra un lietus iespējamība šajā vietā: {name} nākamajās 30 dienās")</f>
        <v>Temperatūra un lietus iespējamība šajā vietā: {name} nākamajās 30 dienās</v>
      </c>
      <c r="AN64" s="3" t="str">
        <f>IFERROR(__xludf.DUMMYFUNCTION("GoogleTranslate(C64, ""en"", ""lt"")"),"Temperatūra ir lietaus tikimybė {name} per ateinančias 30 dienų")</f>
        <v>Temperatūra ir lietaus tikimybė {name} per ateinančias 30 dienų</v>
      </c>
      <c r="AO64" s="3" t="str">
        <f>IFERROR(__xludf.DUMMYFUNCTION("GoogleTranslate(C64, ""en"", ""mk"")"),"Температура и можност за дожд во {name} во следните 30 дена")</f>
        <v>Температура и можност за дожд во {name} во следните 30 дена</v>
      </c>
      <c r="AP64" s="3" t="str">
        <f>IFERROR(__xludf.DUMMYFUNCTION("GoogleTranslate(C64, ""en"", ""ms"")"),"Suhu dan kemungkinan hujan di {name} dalam masa 30 hari akan datang")</f>
        <v>Suhu dan kemungkinan hujan di {name} dalam masa 30 hari akan datang</v>
      </c>
      <c r="AQ64" s="3" t="str">
        <f>IFERROR(__xludf.DUMMYFUNCTION("GoogleTranslate(C64, ""en"", ""ml"")"),"അടുത്ത 30 ദിവസങ്ങളിൽ {name} എന്ന സ്ഥലത്ത് താപനിലയും മഴയ്ക്കുള്ള സാധ്യതയും")</f>
        <v>അടുത്ത 30 ദിവസങ്ങളിൽ {name} എന്ന സ്ഥലത്ത് താപനിലയും മഴയ്ക്കുള്ള സാധ്യതയും</v>
      </c>
      <c r="AR64" s="3" t="str">
        <f>IFERROR(__xludf.DUMMYFUNCTION("GoogleTranslate(C64, ""en"", ""mr"")"),"पुढील 30 दिवसांमध्ये तापमान आणि {name} मध्ये पावसाची शक्यता")</f>
        <v>पुढील 30 दिवसांमध्ये तापमान आणि {name} मध्ये पावसाची शक्यता</v>
      </c>
      <c r="AS64" s="3" t="str">
        <f>IFERROR(__xludf.DUMMYFUNCTION("GoogleTranslate(C64, ""en"", ""mn"")"),"Дараагийн 30 хоногт {name}-д температур ба бороо орох магадлал")</f>
        <v>Дараагийн 30 хоногт {name}-д температур ба бороо орох магадлал</v>
      </c>
      <c r="AT64" s="3" t="str">
        <f>IFERROR(__xludf.DUMMYFUNCTION("GoogleTranslate(C64, ""en"", ""ne"")"),"आगामी ३० दिनमा {name} मा तापक्रम र वर्षाको सम्भावना")</f>
        <v>आगामी ३० दिनमा {name} मा तापक्रम र वर्षाको सम्भावना</v>
      </c>
      <c r="AU64" s="3" t="str">
        <f>IFERROR(__xludf.DUMMYFUNCTION("GoogleTranslate(C64, ""en"", ""nb"")"),"Temperatur og sjanse for regn i {name} i løpet av de neste 30 dagene")</f>
        <v>Temperatur og sjanse for regn i {name} i løpet av de neste 30 dagene</v>
      </c>
      <c r="AV64" s="3" t="str">
        <f>IFERROR(__xludf.DUMMYFUNCTION("GoogleTranslate(C64, ""en"", ""fa"")"),"دما و احتمال بارندگی در {name} در 30 روز آینده")</f>
        <v>دما و احتمال بارندگی در {name} در 30 روز آینده</v>
      </c>
      <c r="AW64" s="3" t="str">
        <f>IFERROR(__xludf.DUMMYFUNCTION("GoogleTranslate(C64, ""en"", ""pl"")"),"Temperatura i prawdopodobieństwo opadów deszczu w {name} w ciągu najbliższych 30 dni")</f>
        <v>Temperatura i prawdopodobieństwo opadów deszczu w {name} w ciągu najbliższych 30 dni</v>
      </c>
      <c r="AX64" s="3" t="str">
        <f>IFERROR(__xludf.DUMMYFUNCTION("GoogleTranslate(C64, ""en"", ""pt"")"),"Temperatura e probabilidade de chuva em {name} nos próximos 30 dias")</f>
        <v>Temperatura e probabilidade de chuva em {name} nos próximos 30 dias</v>
      </c>
      <c r="AY64" s="3" t="str">
        <f>IFERROR(__xludf.DUMMYFUNCTION("GoogleTranslate(C64, ""en"", ""ro"")"),"Temperatura și șansa de ploaie în {name} în următoarele 30 de zile")</f>
        <v>Temperatura și șansa de ploaie în {name} în următoarele 30 de zile</v>
      </c>
      <c r="AZ64" s="3" t="str">
        <f>IFERROR(__xludf.DUMMYFUNCTION("GoogleTranslate(C64, ""en"", ""ru"")"),"Температура и вероятность дождя в {name} в ближайшие 30 дней")</f>
        <v>Температура и вероятность дождя в {name} в ближайшие 30 дней</v>
      </c>
      <c r="BA64" s="3" t="str">
        <f>IFERROR(__xludf.DUMMYFUNCTION("GoogleTranslate(C64, ""en"", ""sr"")"),"Температура и могућност кише у {наме} у наредних 30 дана")</f>
        <v>Температура и могућност кише у {наме} у наредних 30 дана</v>
      </c>
      <c r="BB64" s="3" t="str">
        <f>IFERROR(__xludf.DUMMYFUNCTION("GoogleTranslate(C64, ""en"", ""si"")"),"ඉදිරි දින 30 තුළ {name} හි උෂ්ණත්වය සහ වර්ෂාව ඇතිවීමේ සම්භාවිතාව")</f>
        <v>ඉදිරි දින 30 තුළ {name} හි උෂ්ණත්වය සහ වර්ෂාව ඇතිවීමේ සම්භාවිතාව</v>
      </c>
      <c r="BC64" s="3" t="str">
        <f>IFERROR(__xludf.DUMMYFUNCTION("GoogleTranslate(C64, ""en"", ""sk"")"),"Teplota a možnosť dažďa v mieste {name} v nasledujúcich 30 dňoch")</f>
        <v>Teplota a možnosť dažďa v mieste {name} v nasledujúcich 30 dňoch</v>
      </c>
      <c r="BD64" s="3" t="str">
        <f>IFERROR(__xludf.DUMMYFUNCTION("GoogleTranslate(C64, ""en"", ""sl"")"),"Temperatura in možnost dežja v {name} v naslednjih 30 dneh")</f>
        <v>Temperatura in možnost dežja v {name} v naslednjih 30 dneh</v>
      </c>
      <c r="BE64" s="3" t="str">
        <f>IFERROR(__xludf.DUMMYFUNCTION("GoogleTranslate(C64, ""en"", ""es"")"),"Temperatura y probabilidad de lluvia en {nombre} en los próximos 30 días")</f>
        <v>Temperatura y probabilidad de lluvia en {nombre} en los próximos 30 días</v>
      </c>
      <c r="BF64" s="3" t="str">
        <f>IFERROR(__xludf.DUMMYFUNCTION("GoogleTranslate(C64, ""en"", ""sw"")"),"Halijoto na uwezekano wa kunyesha katika {name} katika siku 30 zijazo")</f>
        <v>Halijoto na uwezekano wa kunyesha katika {name} katika siku 30 zijazo</v>
      </c>
      <c r="BG64" s="3" t="str">
        <f>IFERROR(__xludf.DUMMYFUNCTION("GoogleTranslate(C64, ""en"", ""sv"")"),"Temperatur och risk för regn i {name} under de kommande 30 dagarna")</f>
        <v>Temperatur och risk för regn i {name} under de kommande 30 dagarna</v>
      </c>
      <c r="BH64" s="3" t="str">
        <f>IFERROR(__xludf.DUMMYFUNCTION("GoogleTranslate(C64, ""en"", ""te"")"),"రాబోయే 30 రోజుల్లో {name}లో ఉష్ణోగ్రత మరియు వర్షం పడే అవకాశం")</f>
        <v>రాబోయే 30 రోజుల్లో {name}లో ఉష్ణోగ్రత మరియు వర్షం పడే అవకాశం</v>
      </c>
      <c r="BI64" s="3" t="str">
        <f>IFERROR(__xludf.DUMMYFUNCTION("GoogleTranslate(C64, ""en"", ""th"")"),"อุณหภูมิและโอกาสเกิดฝนตกใน {name} ในอีก 30 วันข้างหน้า")</f>
        <v>อุณหภูมิและโอกาสเกิดฝนตกใน {name} ในอีก 30 วันข้างหน้า</v>
      </c>
      <c r="BJ64" s="3" t="str">
        <f>IFERROR(__xludf.DUMMYFUNCTION("GoogleTranslate(C64, ""en"", ""tr"")"),"Önümüzdeki 30 gün içinde {name} için sıcaklık ve yağmur ihtimali")</f>
        <v>Önümüzdeki 30 gün içinde {name} için sıcaklık ve yağmur ihtimali</v>
      </c>
      <c r="BK64" s="3" t="str">
        <f>IFERROR(__xludf.DUMMYFUNCTION("GoogleTranslate(C64, ""en"", ""uk"")"),"Температура та ймовірність дощу в {name} протягом наступних 30 днів")</f>
        <v>Температура та ймовірність дощу в {name} протягом наступних 30 днів</v>
      </c>
      <c r="BL64" s="3" t="str">
        <f>IFERROR(__xludf.DUMMYFUNCTION("GoogleTranslate(C64, ""en"", ""zu"")"),"Izinga lokushisa nethuba lemvula e-{name} ezinsukwini ezingu-30 ezizayo")</f>
        <v>Izinga lokushisa nethuba lemvula e-{name} ezinsukwini ezingu-30 ezizayo</v>
      </c>
    </row>
    <row r="65">
      <c r="A65" s="1" t="str">
        <f t="shared" si="1"/>
        <v>Temperature_&amp;_chance_of_rain_in_{name}_in_the_coming_hours</v>
      </c>
      <c r="B65" s="4" t="s">
        <v>116</v>
      </c>
      <c r="C65" s="1" t="str">
        <f t="shared" si="2"/>
        <v>Temperature &amp; chance of rain in {name} in the coming hours</v>
      </c>
      <c r="D65" s="3" t="str">
        <f>IFERROR(__xludf.DUMMYFUNCTION("GoogleTranslate(C65, ""en"", ""es"")"),"Temperatura y probabilidad de lluvia en {nombre} en las próximas horas")</f>
        <v>Temperatura y probabilidad de lluvia en {nombre} en las próximas horas</v>
      </c>
      <c r="E65" s="3" t="str">
        <f>IFERROR(__xludf.DUMMYFUNCTION("GoogleTranslate(C65, ""en"", ""ar"")"),"درجات الحرارة واحتمال هطول الأمطار في {الاسم} خلال الساعات القادمة")</f>
        <v>درجات الحرارة واحتمال هطول الأمطار في {الاسم} خلال الساعات القادمة</v>
      </c>
      <c r="F65" s="3" t="str">
        <f>IFERROR(__xludf.DUMMYFUNCTION("GoogleTranslate(C65, ""en"", ""hy"")"),"Առաջիկա ժամերին {name}-ում ջերմաստիճան և անձրևի հավանականություն")</f>
        <v>Առաջիկա ժամերին {name}-ում ջերմաստիճան և անձրևի հավանականություն</v>
      </c>
      <c r="G65" s="3" t="str">
        <f>IFERROR(__xludf.DUMMYFUNCTION("GoogleTranslate(C65, ""en"", ""vi"")"),"Nhiệt độ và khả năng có mưa ở {name} trong những giờ tới")</f>
        <v>Nhiệt độ và khả năng có mưa ở {name} trong những giờ tới</v>
      </c>
      <c r="H65" s="3" t="str">
        <f>IFERROR(__xludf.DUMMYFUNCTION("GoogleTranslate(C65, ""en"", ""az"")"),"Yaxın saatlarda {name} ərazisində temperatur və yağış ehtimalı")</f>
        <v>Yaxın saatlarda {name} ərazisində temperatur və yağış ehtimalı</v>
      </c>
      <c r="I65" s="3" t="str">
        <f>IFERROR(__xludf.DUMMYFUNCTION("GoogleTranslate(C65, ""en"", ""eu"")"),"Tenperatura eta euria egiteko aukera {name}n datozen orduetan")</f>
        <v>Tenperatura eta euria egiteko aukera {name}n datozen orduetan</v>
      </c>
      <c r="J65" s="3" t="str">
        <f>IFERROR(__xludf.DUMMYFUNCTION("GoogleTranslate(C65, ""en"", ""be"")"),"Тэмпература і верагоднасць дажджу ў {name} у бліжэйшыя гадзіны")</f>
        <v>Тэмпература і верагоднасць дажджу ў {name} у бліжэйшыя гадзіны</v>
      </c>
      <c r="K65" s="3" t="str">
        <f>IFERROR(__xludf.DUMMYFUNCTION("GoogleTranslate(C65, ""en"", ""bn"")"),"আগামী ঘণ্টায় {name}-এ তাপমাত্রা ও বৃষ্টির সম্ভাবনা")</f>
        <v>আগামী ঘণ্টায় {name}-এ তাপমাত্রা ও বৃষ্টির সম্ভাবনা</v>
      </c>
      <c r="L65" s="3" t="str">
        <f>IFERROR(__xludf.DUMMYFUNCTION("GoogleTranslate(C65, ""en"", ""bg"")"),"Температура и вероятност за дъжд в {name} през следващите часове")</f>
        <v>Температура и вероятност за дъжд в {name} през следващите часове</v>
      </c>
      <c r="M65" s="3" t="str">
        <f>IFERROR(__xludf.DUMMYFUNCTION("GoogleTranslate(C65, ""en"", ""my"")"),"လာမည့်နာရီများတွင် {name} တွင် အပူချိန်နှင့် မိုးရွာနိုင်ခြေ")</f>
        <v>လာမည့်နာရီများတွင် {name} တွင် အပူချိန်နှင့် မိုးရွာနိုင်ခြေ</v>
      </c>
      <c r="N65" s="3" t="str">
        <f>IFERROR(__xludf.DUMMYFUNCTION("GoogleTranslate(C65, ""en"", ""ca"")"),"Temperatura i probabilitat de pluja a {name} en les properes hores")</f>
        <v>Temperatura i probabilitat de pluja a {name} en les properes hores</v>
      </c>
      <c r="O65" s="3" t="str">
        <f>IFERROR(__xludf.DUMMYFUNCTION("GoogleTranslate(C65, ""en"", ""zh-cn"")"),"未来几小时内{name}的气温和降雨概率")</f>
        <v>未来几小时内{name}的气温和降雨概率</v>
      </c>
      <c r="P65" s="3" t="str">
        <f>IFERROR(__xludf.DUMMYFUNCTION("GoogleTranslate(C65, ""en"", ""zh-TW"")"),"未來幾小時內{name}的氣溫和降雨機率")</f>
        <v>未來幾小時內{name}的氣溫和降雨機率</v>
      </c>
      <c r="Q65" s="3" t="str">
        <f>IFERROR(__xludf.DUMMYFUNCTION("GoogleTranslate(C65, ""en"", ""hr"")"),"Temperatura i mogućnost kiše u {name} u nadolazećim satima")</f>
        <v>Temperatura i mogućnost kiše u {name} u nadolazećim satima</v>
      </c>
      <c r="R65" s="3" t="str">
        <f>IFERROR(__xludf.DUMMYFUNCTION("GoogleTranslate(C65, ""en"", ""cs"")"),"Teplota a možnost deště v {name} v nadcházejících hodinách")</f>
        <v>Teplota a možnost deště v {name} v nadcházejících hodinách</v>
      </c>
      <c r="S65" s="3" t="str">
        <f>IFERROR(__xludf.DUMMYFUNCTION("GoogleTranslate(C65, ""en"", ""da"")"),"Temperatur og chance for regn i {name} i de kommende timer")</f>
        <v>Temperatur og chance for regn i {name} i de kommende timer</v>
      </c>
      <c r="T65" s="3" t="str">
        <f>IFERROR(__xludf.DUMMYFUNCTION("GoogleTranslate(C65, ""en"", ""nl"")"),"Temperatuur en kans op regen in {name} de komende uren")</f>
        <v>Temperatuur en kans op regen in {name} de komende uren</v>
      </c>
      <c r="U65" s="3" t="str">
        <f>IFERROR(__xludf.DUMMYFUNCTION("GoogleTranslate(C65, ""en"", ""et"")"),"Temperatuur ja vihma võimalus asukohas {name} lähitundidel")</f>
        <v>Temperatuur ja vihma võimalus asukohas {name} lähitundidel</v>
      </c>
      <c r="V65" s="1" t="str">
        <f t="shared" si="3"/>
        <v>Temperature &amp; chance of rain in {name} in the coming hours</v>
      </c>
      <c r="W65" s="3" t="str">
        <f>IFERROR(__xludf.DUMMYFUNCTION("GoogleTranslate(C65, ""en"", ""fi"")"),"Lämpötila ja sateen mahdollisuus paikassa {name} tulevina tunteina")</f>
        <v>Lämpötila ja sateen mahdollisuus paikassa {name} tulevina tunteina</v>
      </c>
      <c r="X65" s="3" t="str">
        <f>IFERROR(__xludf.DUMMYFUNCTION("GoogleTranslate(C65, ""en"", ""fr"")"),"Température et risque de pluie à {name} dans les heures à venir")</f>
        <v>Température et risque de pluie à {name} dans les heures à venir</v>
      </c>
      <c r="Y65" s="3" t="str">
        <f>IFERROR(__xludf.DUMMYFUNCTION("GoogleTranslate(C65, ""en"", ""de"")"),"Temperatur und Regenwahrscheinlichkeit in {name} in den kommenden Stunden")</f>
        <v>Temperatur und Regenwahrscheinlichkeit in {name} in den kommenden Stunden</v>
      </c>
      <c r="Z65" s="3" t="str">
        <f>IFERROR(__xludf.DUMMYFUNCTION("GoogleTranslate(C65, ""en"", ""el"")"),"Θερμοκρασία &amp; πιθανότητα βροχής στο {name} τις επόμενες ώρες")</f>
        <v>Θερμοκρασία &amp; πιθανότητα βροχής στο {name} τις επόμενες ώρες</v>
      </c>
      <c r="AA65" s="3" t="str">
        <f>IFERROR(__xludf.DUMMYFUNCTION("GoogleTranslate(C65, ""en"", ""iw"")"),"טמפרטורה וסיכוי לגשם ב{name} בשעות הקרובות")</f>
        <v>טמפרטורה וסיכוי לגשם ב{name} בשעות הקרובות</v>
      </c>
      <c r="AB65" s="3" t="str">
        <f>IFERROR(__xludf.DUMMYFUNCTION("GoogleTranslate(C65, ""en"", ""hi"")"),"आने वाले घंटों में {नाम} में तापमान और बारिश की संभावना")</f>
        <v>आने वाले घंटों में {नाम} में तापमान और बारिश की संभावना</v>
      </c>
      <c r="AC65" s="3" t="str">
        <f>IFERROR(__xludf.DUMMYFUNCTION("GoogleTranslate(C65, ""en"", ""hu"")"),"Hőmérséklet és eső valószínűsége itt: {name} a következő órákban")</f>
        <v>Hőmérséklet és eső valószínűsége itt: {name} a következő órákban</v>
      </c>
      <c r="AD65" s="3" t="str">
        <f>IFERROR(__xludf.DUMMYFUNCTION("GoogleTranslate(C65, ""en"", ""is"")"),"Hiti og líkur á rigningu í {name} á næstu klukkustundum")</f>
        <v>Hiti og líkur á rigningu í {name} á næstu klukkustundum</v>
      </c>
      <c r="AE65" s="3" t="str">
        <f>IFERROR(__xludf.DUMMYFUNCTION("GoogleTranslate(C65, ""en"", ""id"")"),"Suhu &amp; kemungkinan hujan di {name} dalam beberapa jam mendatang")</f>
        <v>Suhu &amp; kemungkinan hujan di {name} dalam beberapa jam mendatang</v>
      </c>
      <c r="AF65" s="3" t="str">
        <f>IFERROR(__xludf.DUMMYFUNCTION("GoogleTranslate(C65, ""en"", ""in"")"),"Suhu &amp; kemungkinan hujan di {name} dalam beberapa jam mendatang")</f>
        <v>Suhu &amp; kemungkinan hujan di {name} dalam beberapa jam mendatang</v>
      </c>
      <c r="AG65" s="3" t="str">
        <f>IFERROR(__xludf.DUMMYFUNCTION("GoogleTranslate(C65, ""en"", ""it"")"),"Temperatura e possibilità di pioggia a {name} nelle prossime ore")</f>
        <v>Temperatura e possibilità di pioggia a {name} nelle prossime ore</v>
      </c>
      <c r="AH65" s="3" t="str">
        <f>IFERROR(__xludf.DUMMYFUNCTION("GoogleTranslate(C65, ""en"", ""ja"")"),"{name}の今後数時間の気温と降水確率")</f>
        <v>{name}の今後数時間の気温と降水確率</v>
      </c>
      <c r="AI65" s="3" t="str">
        <f>IFERROR(__xludf.DUMMYFUNCTION("GoogleTranslate(C65, ""en"", ""kn"")"),"ಮುಂಬರುವ ಗಂಟೆಗಳಲ್ಲಿ {name} ನಲ್ಲಿ ತಾಪಮಾನ ಮತ್ತು ಮಳೆಯ ಸಾಧ್ಯತೆ")</f>
        <v>ಮುಂಬರುವ ಗಂಟೆಗಳಲ್ಲಿ {name} ನಲ್ಲಿ ತಾಪಮಾನ ಮತ್ತು ಮಳೆಯ ಸಾಧ್ಯತೆ</v>
      </c>
      <c r="AJ65" s="3" t="str">
        <f>IFERROR(__xludf.DUMMYFUNCTION("GoogleTranslate(C65, ""en"", ""km"")"),"សីតុណ្ហភាព និងឱកាសនៃភ្លៀងនៅក្នុង {name} ក្នុងរយៈពេលប៉ុន្មានម៉ោងខាងមុខនេះ")</f>
        <v>សីតុណ្ហភាព និងឱកាសនៃភ្លៀងនៅក្នុង {name} ក្នុងរយៈពេលប៉ុន្មានម៉ោងខាងមុខនេះ</v>
      </c>
      <c r="AK65" s="3" t="str">
        <f>IFERROR(__xludf.DUMMYFUNCTION("GoogleTranslate(C65, ""en"", ""ko"")"),"앞으로 몇 시간 동안 {name}의 기온 및 비 올 확률")</f>
        <v>앞으로 몇 시간 동안 {name}의 기온 및 비 올 확률</v>
      </c>
      <c r="AL65" s="3" t="str">
        <f>IFERROR(__xludf.DUMMYFUNCTION("GoogleTranslate(C65, ""en"", ""lo"")"),"ອຸນຫະພູມ ແລະ ໂອກາດທີ່ຈະມີຝົນຕົກໃນ {name} ໃນຊົ່ວໂມງຂ້າງໜ້າ")</f>
        <v>ອຸນຫະພູມ ແລະ ໂອກາດທີ່ຈະມີຝົນຕົກໃນ {name} ໃນຊົ່ວໂມງຂ້າງໜ້າ</v>
      </c>
      <c r="AM65" s="3" t="str">
        <f>IFERROR(__xludf.DUMMYFUNCTION("GoogleTranslate(C65, ""en"", ""lv"")"),"Temperatūra un lietus iespējamība šajā vietā: {name} tuvākajās stundās")</f>
        <v>Temperatūra un lietus iespējamība šajā vietā: {name} tuvākajās stundās</v>
      </c>
      <c r="AN65" s="3" t="str">
        <f>IFERROR(__xludf.DUMMYFUNCTION("GoogleTranslate(C65, ""en"", ""lt"")"),"Temperatūra ir lietaus tikimybė {name} artimiausiomis valandomis")</f>
        <v>Temperatūra ir lietaus tikimybė {name} artimiausiomis valandomis</v>
      </c>
      <c r="AO65" s="3" t="str">
        <f>IFERROR(__xludf.DUMMYFUNCTION("GoogleTranslate(C65, ""en"", ""mk"")"),"Температура и можност за дожд во {name} во наредните часови")</f>
        <v>Температура и можност за дожд во {name} во наредните часови</v>
      </c>
      <c r="AP65" s="3" t="str">
        <f>IFERROR(__xludf.DUMMYFUNCTION("GoogleTranslate(C65, ""en"", ""ms"")"),"Suhu &amp; kemungkinan hujan di {name} dalam beberapa jam akan datang")</f>
        <v>Suhu &amp; kemungkinan hujan di {name} dalam beberapa jam akan datang</v>
      </c>
      <c r="AQ65" s="3" t="str">
        <f>IFERROR(__xludf.DUMMYFUNCTION("GoogleTranslate(C65, ""en"", ""ml"")"),"വരും മണിക്കൂറുകളിൽ {name} എന്ന സ്ഥലത്ത് താപനിലയും മഴയ്ക്കുള്ള സാധ്യതയും")</f>
        <v>വരും മണിക്കൂറുകളിൽ {name} എന്ന സ്ഥലത്ത് താപനിലയും മഴയ്ക്കുള്ള സാധ്യതയും</v>
      </c>
      <c r="AR65" s="3" t="str">
        <f>IFERROR(__xludf.DUMMYFUNCTION("GoogleTranslate(C65, ""en"", ""mr"")"),"येत्या काही तासांमध्ये तापमान आणि {name} मध्ये पावसाची शक्यता")</f>
        <v>येत्या काही तासांमध्ये तापमान आणि {name} मध्ये पावसाची शक्यता</v>
      </c>
      <c r="AS65" s="3" t="str">
        <f>IFERROR(__xludf.DUMMYFUNCTION("GoogleTranslate(C65, ""en"", ""mn"")"),"Ойрын цагуудад {name}-д температур ба бороо орох магадлалтай")</f>
        <v>Ойрын цагуудад {name}-д температур ба бороо орох магадлалтай</v>
      </c>
      <c r="AT65" s="3" t="str">
        <f>IFERROR(__xludf.DUMMYFUNCTION("GoogleTranslate(C65, ""en"", ""ne"")"),"आगामी घण्टामा {name} मा तापक्रम र वर्षाको सम्भावना")</f>
        <v>आगामी घण्टामा {name} मा तापक्रम र वर्षाको सम्भावना</v>
      </c>
      <c r="AU65" s="3" t="str">
        <f>IFERROR(__xludf.DUMMYFUNCTION("GoogleTranslate(C65, ""en"", ""nb"")"),"Temperatur og sjanse for regn i {name} de kommende timene")</f>
        <v>Temperatur og sjanse for regn i {name} de kommende timene</v>
      </c>
      <c r="AV65" s="3" t="str">
        <f>IFERROR(__xludf.DUMMYFUNCTION("GoogleTranslate(C65, ""en"", ""fa"")"),"دما و احتمال بارندگی در {name} در ساعات آینده")</f>
        <v>دما و احتمال بارندگی در {name} در ساعات آینده</v>
      </c>
      <c r="AW65" s="3" t="str">
        <f>IFERROR(__xludf.DUMMYFUNCTION("GoogleTranslate(C65, ""en"", ""pl"")"),"Temperatura i prawdopodobieństwo opadów deszczu w {name} w nadchodzących godzinach")</f>
        <v>Temperatura i prawdopodobieństwo opadów deszczu w {name} w nadchodzących godzinach</v>
      </c>
      <c r="AX65" s="3" t="str">
        <f>IFERROR(__xludf.DUMMYFUNCTION("GoogleTranslate(C65, ""en"", ""pt"")"),"Temperatura e possibilidade de chuva em {name} nas próximas horas")</f>
        <v>Temperatura e possibilidade de chuva em {name} nas próximas horas</v>
      </c>
      <c r="AY65" s="3" t="str">
        <f>IFERROR(__xludf.DUMMYFUNCTION("GoogleTranslate(C65, ""en"", ""ro"")"),"Temperatura și șansa de ploaie în {name} în următoarele ore")</f>
        <v>Temperatura și șansa de ploaie în {name} în următoarele ore</v>
      </c>
      <c r="AZ65" s="3" t="str">
        <f>IFERROR(__xludf.DUMMYFUNCTION("GoogleTranslate(C65, ""en"", ""ru"")"),"Температура и вероятность дождя в {name} в ближайшие часы")</f>
        <v>Температура и вероятность дождя в {name} в ближайшие часы</v>
      </c>
      <c r="BA65" s="3" t="str">
        <f>IFERROR(__xludf.DUMMYFUNCTION("GoogleTranslate(C65, ""en"", ""sr"")"),"Температура и могућност кише у {наме} у наредним сатима")</f>
        <v>Температура и могућност кише у {наме} у наредним сатима</v>
      </c>
      <c r="BB65" s="3" t="str">
        <f>IFERROR(__xludf.DUMMYFUNCTION("GoogleTranslate(C65, ""en"", ""si"")"),"ඉදිරි පැය වලදී {name} හි උෂ්ණත්වය සහ වර්ෂාපතන අවස්ථාව")</f>
        <v>ඉදිරි පැය වලදී {name} හි උෂ්ණත්වය සහ වර්ෂාපතන අවස්ථාව</v>
      </c>
      <c r="BC65" s="3" t="str">
        <f>IFERROR(__xludf.DUMMYFUNCTION("GoogleTranslate(C65, ""en"", ""sk"")"),"Teplota a možnosť dažďa v meste {name} v najbližších hodinách")</f>
        <v>Teplota a možnosť dažďa v meste {name} v najbližších hodinách</v>
      </c>
      <c r="BD65" s="3" t="str">
        <f>IFERROR(__xludf.DUMMYFUNCTION("GoogleTranslate(C65, ""en"", ""sl"")"),"Temperatura in možnost dežja v {name} v prihodnjih urah")</f>
        <v>Temperatura in možnost dežja v {name} v prihodnjih urah</v>
      </c>
      <c r="BE65" s="3" t="str">
        <f>IFERROR(__xludf.DUMMYFUNCTION("GoogleTranslate(C65, ""en"", ""es"")"),"Temperatura y probabilidad de lluvia en {nombre} en las próximas horas")</f>
        <v>Temperatura y probabilidad de lluvia en {nombre} en las próximas horas</v>
      </c>
      <c r="BF65" s="3" t="str">
        <f>IFERROR(__xludf.DUMMYFUNCTION("GoogleTranslate(C65, ""en"", ""sw"")"),"Halijoto na uwezekano wa mvua katika {name} saa zijazo")</f>
        <v>Halijoto na uwezekano wa mvua katika {name} saa zijazo</v>
      </c>
      <c r="BG65" s="3" t="str">
        <f>IFERROR(__xludf.DUMMYFUNCTION("GoogleTranslate(C65, ""en"", ""sv"")"),"Temperatur och risk för regn i {name} under de kommande timmarna")</f>
        <v>Temperatur och risk för regn i {name} under de kommande timmarna</v>
      </c>
      <c r="BH65" s="3" t="str">
        <f>IFERROR(__xludf.DUMMYFUNCTION("GoogleTranslate(C65, ""en"", ""te"")"),"రానున్న గంటల్లో {name}లో ఉష్ణోగ్రత &amp; వర్షం పడే అవకాశం")</f>
        <v>రానున్న గంటల్లో {name}లో ఉష్ణోగ్రత &amp; వర్షం పడే అవకాశం</v>
      </c>
      <c r="BI65" s="3" t="str">
        <f>IFERROR(__xludf.DUMMYFUNCTION("GoogleTranslate(C65, ""en"", ""th"")"),"อุณหภูมิและโอกาสที่ฝนจะตกใน {name} ในอีกไม่กี่ชั่วโมงข้างหน้า")</f>
        <v>อุณหภูมิและโอกาสที่ฝนจะตกใน {name} ในอีกไม่กี่ชั่วโมงข้างหน้า</v>
      </c>
      <c r="BJ65" s="3" t="str">
        <f>IFERROR(__xludf.DUMMYFUNCTION("GoogleTranslate(C65, ""en"", ""tr"")"),"{name} için önümüzdeki saatlerde sıcaklık ve yağmur ihtimali")</f>
        <v>{name} için önümüzdeki saatlerde sıcaklık ve yağmur ihtimali</v>
      </c>
      <c r="BK65" s="3" t="str">
        <f>IFERROR(__xludf.DUMMYFUNCTION("GoogleTranslate(C65, ""en"", ""uk"")"),"Температура та ймовірність дощу в {name} найближчими годинами")</f>
        <v>Температура та ймовірність дощу в {name} найближчими годинами</v>
      </c>
      <c r="BL65" s="3" t="str">
        <f>IFERROR(__xludf.DUMMYFUNCTION("GoogleTranslate(C65, ""en"", ""zu"")"),"Izinga lokushisa nethuba lemvula e-{name} emahoreni azayo")</f>
        <v>Izinga lokushisa nethuba lemvula e-{name} emahoreni azayo</v>
      </c>
    </row>
    <row r="66">
      <c r="A66" s="1" t="str">
        <f t="shared" si="1"/>
        <v>Hourly_weather_forecast_{name}</v>
      </c>
      <c r="B66" s="4" t="s">
        <v>125</v>
      </c>
      <c r="C66" s="1" t="str">
        <f t="shared" si="2"/>
        <v>Hourly weather forecast {name}</v>
      </c>
      <c r="D66" s="3" t="str">
        <f>IFERROR(__xludf.DUMMYFUNCTION("GoogleTranslate(C66, ""en"", ""es"")"),"Pronóstico del tiempo por hora {nombre}")</f>
        <v>Pronóstico del tiempo por hora {nombre}</v>
      </c>
      <c r="E66" s="3" t="str">
        <f>IFERROR(__xludf.DUMMYFUNCTION("GoogleTranslate(C66, ""en"", ""ar"")"),"توقعات الطقس كل ساعة {الاسم}")</f>
        <v>توقعات الطقس كل ساعة {الاسم}</v>
      </c>
      <c r="F66" s="3" t="str">
        <f>IFERROR(__xludf.DUMMYFUNCTION("GoogleTranslate(C66, ""en"", ""hy"")"),"Եղանակի ամենժամյա կանխատեսում {name}")</f>
        <v>Եղանակի ամենժամյա կանխատեսում {name}</v>
      </c>
      <c r="G66" s="3" t="str">
        <f>IFERROR(__xludf.DUMMYFUNCTION("GoogleTranslate(C66, ""en"", ""vi"")"),"Dự báo thời tiết hàng giờ {name}")</f>
        <v>Dự báo thời tiết hàng giờ {name}</v>
      </c>
      <c r="H66" s="3" t="str">
        <f>IFERROR(__xludf.DUMMYFUNCTION("GoogleTranslate(C66, ""en"", ""az"")"),"Saatlıq hava proqnozu {name}")</f>
        <v>Saatlıq hava proqnozu {name}</v>
      </c>
      <c r="I66" s="3" t="str">
        <f>IFERROR(__xludf.DUMMYFUNCTION("GoogleTranslate(C66, ""en"", ""eu"")"),"Orduko eguraldiaren iragarpena {name}")</f>
        <v>Orduko eguraldiaren iragarpena {name}</v>
      </c>
      <c r="J66" s="3" t="str">
        <f>IFERROR(__xludf.DUMMYFUNCTION("GoogleTranslate(C66, ""en"", ""be"")"),"Пагадзінны прагноз надвор'я {name}")</f>
        <v>Пагадзінны прагноз надвор'я {name}</v>
      </c>
      <c r="K66" s="3" t="str">
        <f>IFERROR(__xludf.DUMMYFUNCTION("GoogleTranslate(C66, ""en"", ""bn"")"),"প্রতি ঘণ্টায় আবহাওয়ার পূর্বাভাস {name}")</f>
        <v>প্রতি ঘণ্টায় আবহাওয়ার পূর্বাভাস {name}</v>
      </c>
      <c r="L66" s="3" t="str">
        <f>IFERROR(__xludf.DUMMYFUNCTION("GoogleTranslate(C66, ""en"", ""bg"")"),"Почасова прогноза за времето {name}")</f>
        <v>Почасова прогноза за времето {name}</v>
      </c>
      <c r="M66" s="3" t="str">
        <f>IFERROR(__xludf.DUMMYFUNCTION("GoogleTranslate(C66, ""en"", ""my"")"),"နာရီအလိုက် မိုးလေဝသ ခန့်မှန်းချက် {name}")</f>
        <v>နာရီအလိုက် မိုးလေဝသ ခန့်မှန်းချက် {name}</v>
      </c>
      <c r="N66" s="3" t="str">
        <f>IFERROR(__xludf.DUMMYFUNCTION("GoogleTranslate(C66, ""en"", ""ca"")"),"Previsió meteorològica per hora {name}")</f>
        <v>Previsió meteorològica per hora {name}</v>
      </c>
      <c r="O66" s="3" t="str">
        <f>IFERROR(__xludf.DUMMYFUNCTION("GoogleTranslate(C66, ""en"", ""zh-cn"")"),"每小时天气预报{名称}")</f>
        <v>每小时天气预报{名称}</v>
      </c>
      <c r="P66" s="3" t="str">
        <f>IFERROR(__xludf.DUMMYFUNCTION("GoogleTranslate(C66, ""en"", ""zh-TW"")"),"每小時天氣預報{名稱}")</f>
        <v>每小時天氣預報{名稱}</v>
      </c>
      <c r="Q66" s="3" t="str">
        <f>IFERROR(__xludf.DUMMYFUNCTION("GoogleTranslate(C66, ""en"", ""hr"")"),"Vremenska prognoza po satu {name}")</f>
        <v>Vremenska prognoza po satu {name}</v>
      </c>
      <c r="R66" s="3" t="str">
        <f>IFERROR(__xludf.DUMMYFUNCTION("GoogleTranslate(C66, ""en"", ""cs"")"),"Hodinová předpověď počasí {name}")</f>
        <v>Hodinová předpověď počasí {name}</v>
      </c>
      <c r="S66" s="3" t="str">
        <f>IFERROR(__xludf.DUMMYFUNCTION("GoogleTranslate(C66, ""en"", ""da"")"),"Vejrudsigt hver time {name}")</f>
        <v>Vejrudsigt hver time {name}</v>
      </c>
      <c r="T66" s="3" t="str">
        <f>IFERROR(__xludf.DUMMYFUNCTION("GoogleTranslate(C66, ""en"", ""nl"")"),"Weersverwachting per uur {naam}")</f>
        <v>Weersverwachting per uur {naam}</v>
      </c>
      <c r="U66" s="3" t="str">
        <f>IFERROR(__xludf.DUMMYFUNCTION("GoogleTranslate(C66, ""en"", ""et"")"),"Tunnipõhine ilmateade {name}")</f>
        <v>Tunnipõhine ilmateade {name}</v>
      </c>
      <c r="V66" s="1" t="str">
        <f t="shared" si="3"/>
        <v>Hourly weather forecast {name}</v>
      </c>
      <c r="W66" s="3" t="str">
        <f>IFERROR(__xludf.DUMMYFUNCTION("GoogleTranslate(C66, ""en"", ""fi"")"),"Tunneittainen sääennuste {name}")</f>
        <v>Tunneittainen sääennuste {name}</v>
      </c>
      <c r="X66" s="3" t="str">
        <f>IFERROR(__xludf.DUMMYFUNCTION("GoogleTranslate(C66, ""en"", ""fr"")"),"Prévisions météorologiques horaires {nom}")</f>
        <v>Prévisions météorologiques horaires {nom}</v>
      </c>
      <c r="Y66" s="3" t="str">
        <f>IFERROR(__xludf.DUMMYFUNCTION("GoogleTranslate(C66, ""en"", ""de"")"),"Stündliche Wettervorhersage {Name}")</f>
        <v>Stündliche Wettervorhersage {Name}</v>
      </c>
      <c r="Z66" s="3" t="str">
        <f>IFERROR(__xludf.DUMMYFUNCTION("GoogleTranslate(C66, ""en"", ""el"")"),"Ωριαία πρόγνωση καιρού {name}")</f>
        <v>Ωριαία πρόγνωση καιρού {name}</v>
      </c>
      <c r="AA66" s="3" t="str">
        <f>IFERROR(__xludf.DUMMYFUNCTION("GoogleTranslate(C66, ""en"", ""iw"")"),"תחזית מזג אוויר לפי שעה {name}")</f>
        <v>תחזית מזג אוויר לפי שעה {name}</v>
      </c>
      <c r="AB66" s="3" t="str">
        <f>IFERROR(__xludf.DUMMYFUNCTION("GoogleTranslate(C66, ""en"", ""hi"")"),"प्रति घंटा मौसम पूर्वानुमान {नाम}")</f>
        <v>प्रति घंटा मौसम पूर्वानुमान {नाम}</v>
      </c>
      <c r="AC66" s="3" t="str">
        <f>IFERROR(__xludf.DUMMYFUNCTION("GoogleTranslate(C66, ""en"", ""hu"")"),"Óránkénti időjárás-előrejelzés {name}")</f>
        <v>Óránkénti időjárás-előrejelzés {name}</v>
      </c>
      <c r="AD66" s="3" t="str">
        <f>IFERROR(__xludf.DUMMYFUNCTION("GoogleTranslate(C66, ""en"", ""is"")"),"Veðurspá á klukkustund {name}")</f>
        <v>Veðurspá á klukkustund {name}</v>
      </c>
      <c r="AE66" s="3" t="str">
        <f>IFERROR(__xludf.DUMMYFUNCTION("GoogleTranslate(C66, ""en"", ""id"")"),"Prakiraan cuaca setiap jam {name}")</f>
        <v>Prakiraan cuaca setiap jam {name}</v>
      </c>
      <c r="AF66" s="3" t="str">
        <f>IFERROR(__xludf.DUMMYFUNCTION("GoogleTranslate(C66, ""en"", ""in"")"),"Prakiraan cuaca setiap jam {name}")</f>
        <v>Prakiraan cuaca setiap jam {name}</v>
      </c>
      <c r="AG66" s="3" t="str">
        <f>IFERROR(__xludf.DUMMYFUNCTION("GoogleTranslate(C66, ""en"", ""it"")"),"Previsioni meteo orarie {name}")</f>
        <v>Previsioni meteo orarie {name}</v>
      </c>
      <c r="AH66" s="3" t="str">
        <f>IFERROR(__xludf.DUMMYFUNCTION("GoogleTranslate(C66, ""en"", ""ja"")"),"時間ごとの天気予報 {名前}")</f>
        <v>時間ごとの天気予報 {名前}</v>
      </c>
      <c r="AI66" s="3" t="str">
        <f>IFERROR(__xludf.DUMMYFUNCTION("GoogleTranslate(C66, ""en"", ""kn"")"),"ಗಂಟೆಯ ಹವಾಮಾನ ಮುನ್ಸೂಚನೆ {name}")</f>
        <v>ಗಂಟೆಯ ಹವಾಮಾನ ಮುನ್ಸೂಚನೆ {name}</v>
      </c>
      <c r="AJ66" s="3" t="str">
        <f>IFERROR(__xludf.DUMMYFUNCTION("GoogleTranslate(C66, ""en"", ""km"")"),"ការព្យាករណ៍អាកាសធាតុប្រចាំម៉ោង {name}")</f>
        <v>ការព្យាករណ៍អាកាសធាតុប្រចាំម៉ោង {name}</v>
      </c>
      <c r="AK66" s="3" t="str">
        <f>IFERROR(__xludf.DUMMYFUNCTION("GoogleTranslate(C66, ""en"", ""ko"")"),"시간별 일기 예보 {name}")</f>
        <v>시간별 일기 예보 {name}</v>
      </c>
      <c r="AL66" s="3" t="str">
        <f>IFERROR(__xludf.DUMMYFUNCTION("GoogleTranslate(C66, ""en"", ""lo"")"),"ພະຍາກອນອາກາດປະຈຳຊົ່ວໂມງ {name}")</f>
        <v>ພະຍາກອນອາກາດປະຈຳຊົ່ວໂມງ {name}</v>
      </c>
      <c r="AM66" s="3" t="str">
        <f>IFERROR(__xludf.DUMMYFUNCTION("GoogleTranslate(C66, ""en"", ""lv"")"),"Laika prognoze stundā {name}")</f>
        <v>Laika prognoze stundā {name}</v>
      </c>
      <c r="AN66" s="3" t="str">
        <f>IFERROR(__xludf.DUMMYFUNCTION("GoogleTranslate(C66, ""en"", ""lt"")"),"Valandinė orų prognozė {name}")</f>
        <v>Valandinė orų prognozė {name}</v>
      </c>
      <c r="AO66" s="3" t="str">
        <f>IFERROR(__xludf.DUMMYFUNCTION("GoogleTranslate(C66, ""en"", ""mk"")"),"Часовна временска прогноза {name}")</f>
        <v>Часовна временска прогноза {name}</v>
      </c>
      <c r="AP66" s="3" t="str">
        <f>IFERROR(__xludf.DUMMYFUNCTION("GoogleTranslate(C66, ""en"", ""ms"")"),"Ramalan cuaca setiap jam {name}")</f>
        <v>Ramalan cuaca setiap jam {name}</v>
      </c>
      <c r="AQ66" s="3" t="str">
        <f>IFERROR(__xludf.DUMMYFUNCTION("GoogleTranslate(C66, ""en"", ""ml"")"),"മണിക്കൂർ തോറും കാലാവസ്ഥാ പ്രവചനം {name}")</f>
        <v>മണിക്കൂർ തോറും കാലാവസ്ഥാ പ്രവചനം {name}</v>
      </c>
      <c r="AR66" s="3" t="str">
        <f>IFERROR(__xludf.DUMMYFUNCTION("GoogleTranslate(C66, ""en"", ""mr"")"),"प्रति तास हवामान अंदाज {name}")</f>
        <v>प्रति तास हवामान अंदाज {name}</v>
      </c>
      <c r="AS66" s="3" t="str">
        <f>IFERROR(__xludf.DUMMYFUNCTION("GoogleTranslate(C66, ""en"", ""mn"")"),"Цагийн цаг агаарын мэдээ {name}")</f>
        <v>Цагийн цаг агаарын мэдээ {name}</v>
      </c>
      <c r="AT66" s="3" t="str">
        <f>IFERROR(__xludf.DUMMYFUNCTION("GoogleTranslate(C66, ""en"", ""ne"")"),"प्रति घण्टा मौसम पूर्वानुमान {name}")</f>
        <v>प्रति घण्टा मौसम पूर्वानुमान {name}</v>
      </c>
      <c r="AU66" s="3" t="str">
        <f>IFERROR(__xludf.DUMMYFUNCTION("GoogleTranslate(C66, ""en"", ""nb"")"),"Værmelding per time {name}")</f>
        <v>Værmelding per time {name}</v>
      </c>
      <c r="AV66" s="3" t="str">
        <f>IFERROR(__xludf.DUMMYFUNCTION("GoogleTranslate(C66, ""en"", ""fa"")"),"پیش‌بینی هوای ساعتی {name}")</f>
        <v>پیش‌بینی هوای ساعتی {name}</v>
      </c>
      <c r="AW66" s="3" t="str">
        <f>IFERROR(__xludf.DUMMYFUNCTION("GoogleTranslate(C66, ""en"", ""pl"")"),"Godzinowa prognoza pogody {name}")</f>
        <v>Godzinowa prognoza pogody {name}</v>
      </c>
      <c r="AX66" s="3" t="str">
        <f>IFERROR(__xludf.DUMMYFUNCTION("GoogleTranslate(C66, ""en"", ""pt"")"),"Previsão meteorológica por hora {nome}")</f>
        <v>Previsão meteorológica por hora {nome}</v>
      </c>
      <c r="AY66" s="3" t="str">
        <f>IFERROR(__xludf.DUMMYFUNCTION("GoogleTranslate(C66, ""en"", ""ro"")"),"Prognoza meteo pe oră {name}")</f>
        <v>Prognoza meteo pe oră {name}</v>
      </c>
      <c r="AZ66" s="3" t="str">
        <f>IFERROR(__xludf.DUMMYFUNCTION("GoogleTranslate(C66, ""en"", ""ru"")"),"Почасовой прогноз погоды {имя}")</f>
        <v>Почасовой прогноз погоды {имя}</v>
      </c>
      <c r="BA66" s="3" t="str">
        <f>IFERROR(__xludf.DUMMYFUNCTION("GoogleTranslate(C66, ""en"", ""sr"")"),"Временска прогноза по сату {наме}")</f>
        <v>Временска прогноза по сату {наме}</v>
      </c>
      <c r="BB66" s="3" t="str">
        <f>IFERROR(__xludf.DUMMYFUNCTION("GoogleTranslate(C66, ""en"", ""si"")"),"පැයක කාලගුණ අනාවැකිය {name}")</f>
        <v>පැයක කාලගුණ අනාවැකිය {name}</v>
      </c>
      <c r="BC66" s="3" t="str">
        <f>IFERROR(__xludf.DUMMYFUNCTION("GoogleTranslate(C66, ""en"", ""sk"")"),"Hodinová predpoveď počasia {name}")</f>
        <v>Hodinová predpoveď počasia {name}</v>
      </c>
      <c r="BD66" s="3" t="str">
        <f>IFERROR(__xludf.DUMMYFUNCTION("GoogleTranslate(C66, ""en"", ""sl"")"),"Urna vremenska napoved {name}")</f>
        <v>Urna vremenska napoved {name}</v>
      </c>
      <c r="BE66" s="3" t="str">
        <f>IFERROR(__xludf.DUMMYFUNCTION("GoogleTranslate(C66, ""en"", ""es"")"),"Pronóstico del tiempo por hora {nombre}")</f>
        <v>Pronóstico del tiempo por hora {nombre}</v>
      </c>
      <c r="BF66" s="3" t="str">
        <f>IFERROR(__xludf.DUMMYFUNCTION("GoogleTranslate(C66, ""en"", ""sw"")"),"Utabiri wa hali ya hewa wa kila saa {name}")</f>
        <v>Utabiri wa hali ya hewa wa kila saa {name}</v>
      </c>
      <c r="BG66" s="3" t="str">
        <f>IFERROR(__xludf.DUMMYFUNCTION("GoogleTranslate(C66, ""en"", ""sv"")"),"Väderprognos varje timme {name}")</f>
        <v>Väderprognos varje timme {name}</v>
      </c>
      <c r="BH66" s="3" t="str">
        <f>IFERROR(__xludf.DUMMYFUNCTION("GoogleTranslate(C66, ""en"", ""te"")"),"గంట వారీ వాతావరణ సూచన {name}")</f>
        <v>గంట వారీ వాతావరణ సూచన {name}</v>
      </c>
      <c r="BI66" s="3" t="str">
        <f>IFERROR(__xludf.DUMMYFUNCTION("GoogleTranslate(C66, ""en"", ""th"")"),"พยากรณ์อากาศรายชั่วโมง {name}")</f>
        <v>พยากรณ์อากาศรายชั่วโมง {name}</v>
      </c>
      <c r="BJ66" s="3" t="str">
        <f>IFERROR(__xludf.DUMMYFUNCTION("GoogleTranslate(C66, ""en"", ""tr"")"),"Saatlik hava durumu tahmini {name}")</f>
        <v>Saatlik hava durumu tahmini {name}</v>
      </c>
      <c r="BK66" s="3" t="str">
        <f>IFERROR(__xludf.DUMMYFUNCTION("GoogleTranslate(C66, ""en"", ""uk"")"),"Погодинний прогноз погоди {name}")</f>
        <v>Погодинний прогноз погоди {name}</v>
      </c>
      <c r="BL66" s="3" t="str">
        <f>IFERROR(__xludf.DUMMYFUNCTION("GoogleTranslate(C66, ""en"", ""zu"")"),"Isibikezelo sezulu sangehora {name}")</f>
        <v>Isibikezelo sezulu sangehora {name}</v>
      </c>
    </row>
    <row r="67">
      <c r="A67" s="1" t="str">
        <f t="shared" si="1"/>
        <v>Weather_{name}</v>
      </c>
      <c r="B67" s="4" t="s">
        <v>126</v>
      </c>
      <c r="C67" s="1" t="str">
        <f t="shared" si="2"/>
        <v>Weather {name}</v>
      </c>
      <c r="D67" s="3" t="str">
        <f>IFERROR(__xludf.DUMMYFUNCTION("GoogleTranslate(C67, ""en"", ""es"")"),"Tiempo {nombre}")</f>
        <v>Tiempo {nombre}</v>
      </c>
      <c r="E67" s="3" t="str">
        <f>IFERROR(__xludf.DUMMYFUNCTION("GoogleTranslate(C67, ""en"", ""ar"")"),"الطقس {الاسم}")</f>
        <v>الطقس {الاسم}</v>
      </c>
      <c r="F67" s="3" t="str">
        <f>IFERROR(__xludf.DUMMYFUNCTION("GoogleTranslate(C67, ""en"", ""hy"")"),"Եղանակ {name}")</f>
        <v>Եղանակ {name}</v>
      </c>
      <c r="G67" s="3" t="str">
        <f>IFERROR(__xludf.DUMMYFUNCTION("GoogleTranslate(C67, ""en"", ""vi"")"),"Thời tiết {tên}")</f>
        <v>Thời tiết {tên}</v>
      </c>
      <c r="H67" s="3" t="str">
        <f>IFERROR(__xludf.DUMMYFUNCTION("GoogleTranslate(C67, ""en"", ""az"")"),"Hava {name}")</f>
        <v>Hava {name}</v>
      </c>
      <c r="I67" s="3" t="str">
        <f>IFERROR(__xludf.DUMMYFUNCTION("GoogleTranslate(C67, ""en"", ""eu"")"),"Eguraldia {name}")</f>
        <v>Eguraldia {name}</v>
      </c>
      <c r="J67" s="3" t="str">
        <f>IFERROR(__xludf.DUMMYFUNCTION("GoogleTranslate(C67, ""en"", ""be"")"),"Надвор'е {name}")</f>
        <v>Надвор'е {name}</v>
      </c>
      <c r="K67" s="3" t="str">
        <f>IFERROR(__xludf.DUMMYFUNCTION("GoogleTranslate(C67, ""en"", ""bn"")"),"আবহাওয়া {নাম}")</f>
        <v>আবহাওয়া {নাম}</v>
      </c>
      <c r="L67" s="3" t="str">
        <f>IFERROR(__xludf.DUMMYFUNCTION("GoogleTranslate(C67, ""en"", ""bg"")"),"Времето {name}")</f>
        <v>Времето {name}</v>
      </c>
      <c r="M67" s="3" t="str">
        <f>IFERROR(__xludf.DUMMYFUNCTION("GoogleTranslate(C67, ""en"", ""my"")"),"မိုးလေဝသ {အမည်}")</f>
        <v>မိုးလေဝသ {အမည်}</v>
      </c>
      <c r="N67" s="3" t="str">
        <f>IFERROR(__xludf.DUMMYFUNCTION("GoogleTranslate(C67, ""en"", ""ca"")"),"El temps {name}")</f>
        <v>El temps {name}</v>
      </c>
      <c r="O67" s="3" t="str">
        <f>IFERROR(__xludf.DUMMYFUNCTION("GoogleTranslate(C67, ""en"", ""zh-cn"")"),"天气{名称}")</f>
        <v>天气{名称}</v>
      </c>
      <c r="P67" s="3" t="str">
        <f>IFERROR(__xludf.DUMMYFUNCTION("GoogleTranslate(C67, ""en"", ""zh-TW"")"),"天氣{名稱}")</f>
        <v>天氣{名稱}</v>
      </c>
      <c r="Q67" s="3" t="str">
        <f>IFERROR(__xludf.DUMMYFUNCTION("GoogleTranslate(C67, ""en"", ""hr"")"),"Vrijeme {name}")</f>
        <v>Vrijeme {name}</v>
      </c>
      <c r="R67" s="3" t="str">
        <f>IFERROR(__xludf.DUMMYFUNCTION("GoogleTranslate(C67, ""en"", ""cs"")"),"Počasí {name}")</f>
        <v>Počasí {name}</v>
      </c>
      <c r="S67" s="3" t="str">
        <f>IFERROR(__xludf.DUMMYFUNCTION("GoogleTranslate(C67, ""en"", ""da"")"),"Vejret {name}")</f>
        <v>Vejret {name}</v>
      </c>
      <c r="T67" s="3" t="str">
        <f>IFERROR(__xludf.DUMMYFUNCTION("GoogleTranslate(C67, ""en"", ""nl"")"),"Weer {naam}")</f>
        <v>Weer {naam}</v>
      </c>
      <c r="U67" s="3" t="str">
        <f>IFERROR(__xludf.DUMMYFUNCTION("GoogleTranslate(C67, ""en"", ""et"")"),"Ilm {name}")</f>
        <v>Ilm {name}</v>
      </c>
      <c r="V67" s="1" t="str">
        <f t="shared" si="3"/>
        <v>Weather {name}</v>
      </c>
      <c r="W67" s="3" t="str">
        <f>IFERROR(__xludf.DUMMYFUNCTION("GoogleTranslate(C67, ""en"", ""fi"")"),"Sää {name}")</f>
        <v>Sää {name}</v>
      </c>
      <c r="X67" s="3" t="str">
        <f>IFERROR(__xludf.DUMMYFUNCTION("GoogleTranslate(C67, ""en"", ""fr"")"),"Météo {nom}")</f>
        <v>Météo {nom}</v>
      </c>
      <c r="Y67" s="3" t="str">
        <f>IFERROR(__xludf.DUMMYFUNCTION("GoogleTranslate(C67, ""en"", ""de"")"),"Wetter {Name}")</f>
        <v>Wetter {Name}</v>
      </c>
      <c r="Z67" s="3" t="str">
        <f>IFERROR(__xludf.DUMMYFUNCTION("GoogleTranslate(C67, ""en"", ""el"")"),"Καιρός {name}")</f>
        <v>Καιρός {name}</v>
      </c>
      <c r="AA67" s="3" t="str">
        <f>IFERROR(__xludf.DUMMYFUNCTION("GoogleTranslate(C67, ""en"", ""iw"")"),"מזג אוויר {name}")</f>
        <v>מזג אוויר {name}</v>
      </c>
      <c r="AB67" s="3" t="str">
        <f>IFERROR(__xludf.DUMMYFUNCTION("GoogleTranslate(C67, ""en"", ""hi"")"),"मौसम {नाम}")</f>
        <v>मौसम {नाम}</v>
      </c>
      <c r="AC67" s="3" t="str">
        <f>IFERROR(__xludf.DUMMYFUNCTION("GoogleTranslate(C67, ""en"", ""hu"")"),"Időjárás {name}")</f>
        <v>Időjárás {name}</v>
      </c>
      <c r="AD67" s="3" t="str">
        <f>IFERROR(__xludf.DUMMYFUNCTION("GoogleTranslate(C67, ""en"", ""is"")"),"Veður {name}")</f>
        <v>Veður {name}</v>
      </c>
      <c r="AE67" s="3" t="str">
        <f>IFERROR(__xludf.DUMMYFUNCTION("GoogleTranslate(C67, ""en"", ""id"")"),"Cuaca {nama}")</f>
        <v>Cuaca {nama}</v>
      </c>
      <c r="AF67" s="3" t="str">
        <f>IFERROR(__xludf.DUMMYFUNCTION("GoogleTranslate(C67, ""en"", ""in"")"),"Cuaca {nama}")</f>
        <v>Cuaca {nama}</v>
      </c>
      <c r="AG67" s="3" t="str">
        <f>IFERROR(__xludf.DUMMYFUNCTION("GoogleTranslate(C67, ""en"", ""it"")"),"Meteo {nome}")</f>
        <v>Meteo {nome}</v>
      </c>
      <c r="AH67" s="3" t="str">
        <f>IFERROR(__xludf.DUMMYFUNCTION("GoogleTranslate(C67, ""en"", ""ja"")"),"天気 {名前}")</f>
        <v>天気 {名前}</v>
      </c>
      <c r="AI67" s="3" t="str">
        <f>IFERROR(__xludf.DUMMYFUNCTION("GoogleTranslate(C67, ""en"", ""kn"")"),"ಹವಾಮಾನ {name}")</f>
        <v>ಹವಾಮಾನ {name}</v>
      </c>
      <c r="AJ67" s="3" t="str">
        <f>IFERROR(__xludf.DUMMYFUNCTION("GoogleTranslate(C67, ""en"", ""km"")"),"អាកាសធាតុ {ឈ្មោះ}")</f>
        <v>អាកាសធាតុ {ឈ្មោះ}</v>
      </c>
      <c r="AK67" s="3" t="str">
        <f>IFERROR(__xludf.DUMMYFUNCTION("GoogleTranslate(C67, ""en"", ""ko"")"),"날씨 {이름}")</f>
        <v>날씨 {이름}</v>
      </c>
      <c r="AL67" s="3" t="str">
        <f>IFERROR(__xludf.DUMMYFUNCTION("GoogleTranslate(C67, ""en"", ""lo"")"),"ສະພາບອາກາດ {name}")</f>
        <v>ສະພາບອາກາດ {name}</v>
      </c>
      <c r="AM67" s="3" t="str">
        <f>IFERROR(__xludf.DUMMYFUNCTION("GoogleTranslate(C67, ""en"", ""lv"")"),"Laikapstākļi {name}")</f>
        <v>Laikapstākļi {name}</v>
      </c>
      <c r="AN67" s="3" t="str">
        <f>IFERROR(__xludf.DUMMYFUNCTION("GoogleTranslate(C67, ""en"", ""lt"")"),"Oras {name}")</f>
        <v>Oras {name}</v>
      </c>
      <c r="AO67" s="3" t="str">
        <f>IFERROR(__xludf.DUMMYFUNCTION("GoogleTranslate(C67, ""en"", ""mk"")"),"Времето {име}")</f>
        <v>Времето {име}</v>
      </c>
      <c r="AP67" s="3" t="str">
        <f>IFERROR(__xludf.DUMMYFUNCTION("GoogleTranslate(C67, ""en"", ""ms"")"),"Cuaca {nama}")</f>
        <v>Cuaca {nama}</v>
      </c>
      <c r="AQ67" s="3" t="str">
        <f>IFERROR(__xludf.DUMMYFUNCTION("GoogleTranslate(C67, ""en"", ""ml"")"),"കാലാവസ്ഥ {name}")</f>
        <v>കാലാവസ്ഥ {name}</v>
      </c>
      <c r="AR67" s="3" t="str">
        <f>IFERROR(__xludf.DUMMYFUNCTION("GoogleTranslate(C67, ""en"", ""mr"")"),"हवामान {नाम}")</f>
        <v>हवामान {नाम}</v>
      </c>
      <c r="AS67" s="3" t="str">
        <f>IFERROR(__xludf.DUMMYFUNCTION("GoogleTranslate(C67, ""en"", ""mn"")"),"Цаг агаар {нэр}")</f>
        <v>Цаг агаар {нэр}</v>
      </c>
      <c r="AT67" s="3" t="str">
        <f>IFERROR(__xludf.DUMMYFUNCTION("GoogleTranslate(C67, ""en"", ""ne"")"),"मौसम {नाम}")</f>
        <v>मौसम {नाम}</v>
      </c>
      <c r="AU67" s="3" t="str">
        <f>IFERROR(__xludf.DUMMYFUNCTION("GoogleTranslate(C67, ""en"", ""nb"")"),"Været {name}")</f>
        <v>Været {name}</v>
      </c>
      <c r="AV67" s="3" t="str">
        <f>IFERROR(__xludf.DUMMYFUNCTION("GoogleTranslate(C67, ""en"", ""fa"")"),"آب و هوا {name}")</f>
        <v>آب و هوا {name}</v>
      </c>
      <c r="AW67" s="3" t="str">
        <f>IFERROR(__xludf.DUMMYFUNCTION("GoogleTranslate(C67, ""en"", ""pl"")"),"Pogoda {nazwa}")</f>
        <v>Pogoda {nazwa}</v>
      </c>
      <c r="AX67" s="3" t="str">
        <f>IFERROR(__xludf.DUMMYFUNCTION("GoogleTranslate(C67, ""en"", ""pt"")"),"Tempo {nome}")</f>
        <v>Tempo {nome}</v>
      </c>
      <c r="AY67" s="3" t="str">
        <f>IFERROR(__xludf.DUMMYFUNCTION("GoogleTranslate(C67, ""en"", ""ro"")"),"Vremea {name}")</f>
        <v>Vremea {name}</v>
      </c>
      <c r="AZ67" s="3" t="str">
        <f>IFERROR(__xludf.DUMMYFUNCTION("GoogleTranslate(C67, ""en"", ""ru"")"),"Погода {имя}")</f>
        <v>Погода {имя}</v>
      </c>
      <c r="BA67" s="3" t="str">
        <f>IFERROR(__xludf.DUMMYFUNCTION("GoogleTranslate(C67, ""en"", ""sr"")"),"Време {наме}")</f>
        <v>Време {наме}</v>
      </c>
      <c r="BB67" s="3" t="str">
        <f>IFERROR(__xludf.DUMMYFUNCTION("GoogleTranslate(C67, ""en"", ""si"")"),"කාලගුණය {name}")</f>
        <v>කාලගුණය {name}</v>
      </c>
      <c r="BC67" s="3" t="str">
        <f>IFERROR(__xludf.DUMMYFUNCTION("GoogleTranslate(C67, ""en"", ""sk"")"),"Počasie {name}")</f>
        <v>Počasie {name}</v>
      </c>
      <c r="BD67" s="3" t="str">
        <f>IFERROR(__xludf.DUMMYFUNCTION("GoogleTranslate(C67, ""en"", ""sl"")"),"Vreme {name}")</f>
        <v>Vreme {name}</v>
      </c>
      <c r="BE67" s="3" t="str">
        <f>IFERROR(__xludf.DUMMYFUNCTION("GoogleTranslate(C67, ""en"", ""es"")"),"Tiempo {nombre}")</f>
        <v>Tiempo {nombre}</v>
      </c>
      <c r="BF67" s="3" t="str">
        <f>IFERROR(__xludf.DUMMYFUNCTION("GoogleTranslate(C67, ""en"", ""sw"")"),"Hali ya hewa {name}")</f>
        <v>Hali ya hewa {name}</v>
      </c>
      <c r="BG67" s="3" t="str">
        <f>IFERROR(__xludf.DUMMYFUNCTION("GoogleTranslate(C67, ""en"", ""sv"")"),"Väder {name}")</f>
        <v>Väder {name}</v>
      </c>
      <c r="BH67" s="3" t="str">
        <f>IFERROR(__xludf.DUMMYFUNCTION("GoogleTranslate(C67, ""en"", ""te"")"),"వాతావరణం {name}")</f>
        <v>వాతావరణం {name}</v>
      </c>
      <c r="BI67" s="3" t="str">
        <f>IFERROR(__xludf.DUMMYFUNCTION("GoogleTranslate(C67, ""en"", ""th"")"),"สภาพอากาศ {ชื่อ}")</f>
        <v>สภาพอากาศ {ชื่อ}</v>
      </c>
      <c r="BJ67" s="3" t="str">
        <f>IFERROR(__xludf.DUMMYFUNCTION("GoogleTranslate(C67, ""en"", ""tr"")"),"Hava durumu {isim}")</f>
        <v>Hava durumu {isim}</v>
      </c>
      <c r="BK67" s="3" t="str">
        <f>IFERROR(__xludf.DUMMYFUNCTION("GoogleTranslate(C67, ""en"", ""uk"")"),"Погода {name}")</f>
        <v>Погода {name}</v>
      </c>
      <c r="BL67" s="3" t="str">
        <f>IFERROR(__xludf.DUMMYFUNCTION("GoogleTranslate(C67, ""en"", ""zu"")"),"Isimo sezulu {name}")</f>
        <v>Isimo sezulu {name}</v>
      </c>
    </row>
    <row r="68">
      <c r="A68" s="1" t="str">
        <f t="shared" si="1"/>
        <v>Weather_information_for_{name}_in_the_coming_hours</v>
      </c>
      <c r="B68" s="4" t="s">
        <v>127</v>
      </c>
      <c r="C68" s="1" t="str">
        <f t="shared" si="2"/>
        <v>Weather information for {name} in the coming hours</v>
      </c>
      <c r="D68" s="3" t="str">
        <f>IFERROR(__xludf.DUMMYFUNCTION("GoogleTranslate(C68, ""en"", ""es"")"),"Información meteorológica para {nombre} en las próximas horas")</f>
        <v>Información meteorológica para {nombre} en las próximas horas</v>
      </c>
      <c r="E68" s="3" t="str">
        <f>IFERROR(__xludf.DUMMYFUNCTION("GoogleTranslate(C68, ""en"", ""ar"")"),"معلومات الطقس لـ {name} في الساعات القادمة")</f>
        <v>معلومات الطقس لـ {name} في الساعات القادمة</v>
      </c>
      <c r="F68" s="3" t="str">
        <f>IFERROR(__xludf.DUMMYFUNCTION("GoogleTranslate(C68, ""en"", ""hy"")"),"Եղանակի մասին տեղեկություններ {name}-ի համար առաջիկա ժամերին")</f>
        <v>Եղանակի մասին տեղեկություններ {name}-ի համար առաջիկա ժամերին</v>
      </c>
      <c r="G68" s="3" t="str">
        <f>IFERROR(__xludf.DUMMYFUNCTION("GoogleTranslate(C68, ""en"", ""vi"")"),"Thông tin thời tiết cho {name} trong những giờ tới")</f>
        <v>Thông tin thời tiết cho {name} trong những giờ tới</v>
      </c>
      <c r="H68" s="3" t="str">
        <f>IFERROR(__xludf.DUMMYFUNCTION("GoogleTranslate(C68, ""en"", ""az"")"),"Yaxın saatlarda {name} üçün hava məlumatı")</f>
        <v>Yaxın saatlarda {name} üçün hava məlumatı</v>
      </c>
      <c r="I68" s="3" t="str">
        <f>IFERROR(__xludf.DUMMYFUNCTION("GoogleTranslate(C68, ""en"", ""eu"")"),"{name}rako eguraldiaren informazioa datozen orduetan")</f>
        <v>{name}rako eguraldiaren informazioa datozen orduetan</v>
      </c>
      <c r="J68" s="3" t="str">
        <f>IFERROR(__xludf.DUMMYFUNCTION("GoogleTranslate(C68, ""en"", ""be"")"),"Інфармацыя пра надвор'е ў {name} на бліжэйшыя гадзіны")</f>
        <v>Інфармацыя пра надвор'е ў {name} на бліжэйшыя гадзіны</v>
      </c>
      <c r="K68" s="3" t="str">
        <f>IFERROR(__xludf.DUMMYFUNCTION("GoogleTranslate(C68, ""en"", ""bn"")"),"আগামী ঘণ্টায় {name}-এর আবহাওয়ার তথ্য")</f>
        <v>আগামী ঘণ্টায় {name}-এর আবহাওয়ার তথ্য</v>
      </c>
      <c r="L68" s="3" t="str">
        <f>IFERROR(__xludf.DUMMYFUNCTION("GoogleTranslate(C68, ""en"", ""bg"")"),"Информация за времето за {name} в следващите часове")</f>
        <v>Информация за времето за {name} в следващите часове</v>
      </c>
      <c r="M68" s="3" t="str">
        <f>IFERROR(__xludf.DUMMYFUNCTION("GoogleTranslate(C68, ""en"", ""my"")"),"လာမည့် နာရီများတွင် {name} အတွက် မိုးလေဝသ အချက်အလက်")</f>
        <v>လာမည့် နာရီများတွင် {name} အတွက် မိုးလေဝသ အချက်အလက်</v>
      </c>
      <c r="N68" s="3" t="str">
        <f>IFERROR(__xludf.DUMMYFUNCTION("GoogleTranslate(C68, ""en"", ""ca"")"),"Informació meteorològica per a {name} en les properes hores")</f>
        <v>Informació meteorològica per a {name} en les properes hores</v>
      </c>
      <c r="O68" s="3" t="str">
        <f>IFERROR(__xludf.DUMMYFUNCTION("GoogleTranslate(C68, ""en"", ""zh-cn"")"),"{name} 未来几小时内的天气信息")</f>
        <v>{name} 未来几小时内的天气信息</v>
      </c>
      <c r="P68" s="3" t="str">
        <f>IFERROR(__xludf.DUMMYFUNCTION("GoogleTranslate(C68, ""en"", ""zh-TW"")"),"{name} 未來幾小時內的天氣資訊")</f>
        <v>{name} 未來幾小時內的天氣資訊</v>
      </c>
      <c r="Q68" s="3" t="str">
        <f>IFERROR(__xludf.DUMMYFUNCTION("GoogleTranslate(C68, ""en"", ""hr"")"),"Informacije o vremenu za {name} u nadolazećim satima")</f>
        <v>Informacije o vremenu za {name} u nadolazećim satima</v>
      </c>
      <c r="R68" s="3" t="str">
        <f>IFERROR(__xludf.DUMMYFUNCTION("GoogleTranslate(C68, ""en"", ""cs"")"),"Informace o počasí pro {name} v nadcházejících hodinách")</f>
        <v>Informace o počasí pro {name} v nadcházejících hodinách</v>
      </c>
      <c r="S68" s="3" t="str">
        <f>IFERROR(__xludf.DUMMYFUNCTION("GoogleTranslate(C68, ""en"", ""da"")"),"Vejroplysninger for {name} i de kommende timer")</f>
        <v>Vejroplysninger for {name} i de kommende timer</v>
      </c>
      <c r="T68" s="3" t="str">
        <f>IFERROR(__xludf.DUMMYFUNCTION("GoogleTranslate(C68, ""en"", ""nl"")"),"Weersinformatie voor {name} de komende uren")</f>
        <v>Weersinformatie voor {name} de komende uren</v>
      </c>
      <c r="U68" s="3" t="str">
        <f>IFERROR(__xludf.DUMMYFUNCTION("GoogleTranslate(C68, ""en"", ""et"")"),"Ilmateave asukohale {name} lähitundidel")</f>
        <v>Ilmateave asukohale {name} lähitundidel</v>
      </c>
      <c r="V68" s="1" t="str">
        <f t="shared" si="3"/>
        <v>Weather information for {name} in the coming hours</v>
      </c>
      <c r="W68" s="3" t="str">
        <f>IFERROR(__xludf.DUMMYFUNCTION("GoogleTranslate(C68, ""en"", ""fi"")"),"Säätiedot kohteelle {name} tulevina tunteina")</f>
        <v>Säätiedot kohteelle {name} tulevina tunteina</v>
      </c>
      <c r="X68" s="3" t="str">
        <f>IFERROR(__xludf.DUMMYFUNCTION("GoogleTranslate(C68, ""en"", ""fr"")"),"Informations météorologiques pour {name} dans les heures à venir")</f>
        <v>Informations météorologiques pour {name} dans les heures à venir</v>
      </c>
      <c r="Y68" s="3" t="str">
        <f>IFERROR(__xludf.DUMMYFUNCTION("GoogleTranslate(C68, ""en"", ""de"")"),"Wetterinformationen für {name} in den kommenden Stunden")</f>
        <v>Wetterinformationen für {name} in den kommenden Stunden</v>
      </c>
      <c r="Z68" s="3" t="str">
        <f>IFERROR(__xludf.DUMMYFUNCTION("GoogleTranslate(C68, ""en"", ""el"")"),"Πληροφορίες καιρού για το {name} τις επόμενες ώρες")</f>
        <v>Πληροφορίες καιρού για το {name} τις επόμενες ώρες</v>
      </c>
      <c r="AA68" s="3" t="str">
        <f>IFERROR(__xludf.DUMMYFUNCTION("GoogleTranslate(C68, ""en"", ""iw"")"),"מידע על מזג האוויר עבור {name} בשעות הקרובות")</f>
        <v>מידע על מזג האוויר עבור {name} בשעות הקרובות</v>
      </c>
      <c r="AB68" s="3" t="str">
        <f>IFERROR(__xludf.DUMMYFUNCTION("GoogleTranslate(C68, ""en"", ""hi"")"),"आने वाले घंटों में {नाम} के लिए मौसम की जानकारी")</f>
        <v>आने वाले घंटों में {नाम} के लिए मौसम की जानकारी</v>
      </c>
      <c r="AC68" s="3" t="str">
        <f>IFERROR(__xludf.DUMMYFUNCTION("GoogleTranslate(C68, ""en"", ""hu"")"),"Időjárási információk {name} számára az elkövetkező órákban")</f>
        <v>Időjárási információk {name} számára az elkövetkező órákban</v>
      </c>
      <c r="AD68" s="3" t="str">
        <f>IFERROR(__xludf.DUMMYFUNCTION("GoogleTranslate(C68, ""en"", ""is"")"),"Veðurupplýsingar fyrir {name} á næstu klukkustundum")</f>
        <v>Veðurupplýsingar fyrir {name} á næstu klukkustundum</v>
      </c>
      <c r="AE68" s="3" t="str">
        <f>IFERROR(__xludf.DUMMYFUNCTION("GoogleTranslate(C68, ""en"", ""id"")"),"Informasi cuaca untuk {name} dalam beberapa jam mendatang")</f>
        <v>Informasi cuaca untuk {name} dalam beberapa jam mendatang</v>
      </c>
      <c r="AF68" s="3" t="str">
        <f>IFERROR(__xludf.DUMMYFUNCTION("GoogleTranslate(C68, ""en"", ""in"")"),"Informasi cuaca untuk {name} dalam beberapa jam mendatang")</f>
        <v>Informasi cuaca untuk {name} dalam beberapa jam mendatang</v>
      </c>
      <c r="AG68" s="3" t="str">
        <f>IFERROR(__xludf.DUMMYFUNCTION("GoogleTranslate(C68, ""en"", ""it"")"),"Informazioni meteorologiche per {name} nelle prossime ore")</f>
        <v>Informazioni meteorologiche per {name} nelle prossime ore</v>
      </c>
      <c r="AH68" s="3" t="str">
        <f>IFERROR(__xludf.DUMMYFUNCTION("GoogleTranslate(C68, ""en"", ""ja"")"),"今後数時間の {name} の天気情報")</f>
        <v>今後数時間の {name} の天気情報</v>
      </c>
      <c r="AI68" s="3" t="str">
        <f>IFERROR(__xludf.DUMMYFUNCTION("GoogleTranslate(C68, ""en"", ""kn"")"),"ಮುಂಬರುವ ಗಂಟೆಗಳಲ್ಲಿ {name} ಗಾಗಿ ಹವಾಮಾನ ಮಾಹಿತಿ")</f>
        <v>ಮುಂಬರುವ ಗಂಟೆಗಳಲ್ಲಿ {name} ಗಾಗಿ ಹವಾಮಾನ ಮಾಹಿತಿ</v>
      </c>
      <c r="AJ68" s="3" t="str">
        <f>IFERROR(__xludf.DUMMYFUNCTION("GoogleTranslate(C68, ""en"", ""km"")"),"ព័ត៌មានអាកាសធាតុសម្រាប់ {name} នៅប៉ុន្មានម៉ោងខាងមុខនេះ")</f>
        <v>ព័ត៌មានអាកាសធាតុសម្រាប់ {name} នៅប៉ុន្មានម៉ោងខាងមុខនេះ</v>
      </c>
      <c r="AK68" s="3" t="str">
        <f>IFERROR(__xludf.DUMMYFUNCTION("GoogleTranslate(C68, ""en"", ""ko"")"),"앞으로 몇 시간 동안 {name}의 날씨 정보")</f>
        <v>앞으로 몇 시간 동안 {name}의 날씨 정보</v>
      </c>
      <c r="AL68" s="3" t="str">
        <f>IFERROR(__xludf.DUMMYFUNCTION("GoogleTranslate(C68, ""en"", ""lo"")"),"ຂໍ້ມູນສະພາບອາກາດສໍາລັບ {name} ໃນຊົ່ວໂມງຂ້າງຫນ້າ")</f>
        <v>ຂໍ້ມູນສະພາບອາກາດສໍາລັບ {name} ໃນຊົ່ວໂມງຂ້າງຫນ້າ</v>
      </c>
      <c r="AM68" s="3" t="str">
        <f>IFERROR(__xludf.DUMMYFUNCTION("GoogleTranslate(C68, ""en"", ""lv"")"),"Laika informācija par {name} tuvākajās stundās")</f>
        <v>Laika informācija par {name} tuvākajās stundās</v>
      </c>
      <c r="AN68" s="3" t="str">
        <f>IFERROR(__xludf.DUMMYFUNCTION("GoogleTranslate(C68, ""en"", ""lt"")"),"Orų informacija {name} artimiausiomis valandomis")</f>
        <v>Orų informacija {name} artimiausiomis valandomis</v>
      </c>
      <c r="AO68" s="3" t="str">
        <f>IFERROR(__xludf.DUMMYFUNCTION("GoogleTranslate(C68, ""en"", ""mk"")"),"Информации за времето за {name} во наредните часови")</f>
        <v>Информации за времето за {name} во наредните часови</v>
      </c>
      <c r="AP68" s="3" t="str">
        <f>IFERROR(__xludf.DUMMYFUNCTION("GoogleTranslate(C68, ""en"", ""ms"")"),"Maklumat cuaca untuk {name} dalam beberapa jam akan datang")</f>
        <v>Maklumat cuaca untuk {name} dalam beberapa jam akan datang</v>
      </c>
      <c r="AQ68" s="3" t="str">
        <f>IFERROR(__xludf.DUMMYFUNCTION("GoogleTranslate(C68, ""en"", ""ml"")"),"വരും മണിക്കൂറുകളിൽ {name} എന്നതിനായുള്ള കാലാവസ്ഥാ വിവരങ്ങൾ")</f>
        <v>വരും മണിക്കൂറുകളിൽ {name} എന്നതിനായുള്ള കാലാവസ്ഥാ വിവരങ്ങൾ</v>
      </c>
      <c r="AR68" s="3" t="str">
        <f>IFERROR(__xludf.DUMMYFUNCTION("GoogleTranslate(C68, ""en"", ""mr"")"),"येत्या काही तासांमध्ये {name} साठी हवामान माहिती")</f>
        <v>येत्या काही तासांमध्ये {name} साठी हवामान माहिती</v>
      </c>
      <c r="AS68" s="3" t="str">
        <f>IFERROR(__xludf.DUMMYFUNCTION("GoogleTranslate(C68, ""en"", ""mn"")"),"{name}-н ойрын цагийн цаг агаарын мэдээлэл")</f>
        <v>{name}-н ойрын цагийн цаг агаарын мэдээлэл</v>
      </c>
      <c r="AT68" s="3" t="str">
        <f>IFERROR(__xludf.DUMMYFUNCTION("GoogleTranslate(C68, ""en"", ""ne"")"),"आगामी घण्टामा {name} को मौसम जानकारी")</f>
        <v>आगामी घण्टामा {name} को मौसम जानकारी</v>
      </c>
      <c r="AU68" s="3" t="str">
        <f>IFERROR(__xludf.DUMMYFUNCTION("GoogleTranslate(C68, ""en"", ""nb"")"),"Værinformasjon for {name} i de kommende timene")</f>
        <v>Værinformasjon for {name} i de kommende timene</v>
      </c>
      <c r="AV68" s="3" t="str">
        <f>IFERROR(__xludf.DUMMYFUNCTION("GoogleTranslate(C68, ""en"", ""fa"")"),"اطلاعات آب و هوای {name} در ساعات آینده")</f>
        <v>اطلاعات آب و هوای {name} در ساعات آینده</v>
      </c>
      <c r="AW68" s="3" t="str">
        <f>IFERROR(__xludf.DUMMYFUNCTION("GoogleTranslate(C68, ""en"", ""pl"")"),"Informacje o pogodzie dla {name} w nadchodzących godzinach")</f>
        <v>Informacje o pogodzie dla {name} w nadchodzących godzinach</v>
      </c>
      <c r="AX68" s="3" t="str">
        <f>IFERROR(__xludf.DUMMYFUNCTION("GoogleTranslate(C68, ""en"", ""pt"")"),"Informações meteorológicas para {name} nas próximas horas")</f>
        <v>Informações meteorológicas para {name} nas próximas horas</v>
      </c>
      <c r="AY68" s="3" t="str">
        <f>IFERROR(__xludf.DUMMYFUNCTION("GoogleTranslate(C68, ""en"", ""ro"")"),"Informații meteo pentru {name} în următoarele ore")</f>
        <v>Informații meteo pentru {name} în următoarele ore</v>
      </c>
      <c r="AZ68" s="3" t="str">
        <f>IFERROR(__xludf.DUMMYFUNCTION("GoogleTranslate(C68, ""en"", ""ru"")"),"Информация о погоде для {name} в ближайшие часы")</f>
        <v>Информация о погоде для {name} в ближайшие часы</v>
      </c>
      <c r="BA68" s="3" t="str">
        <f>IFERROR(__xludf.DUMMYFUNCTION("GoogleTranslate(C68, ""en"", ""sr"")"),"Информације о времену за {наме} у наредним сатима")</f>
        <v>Информације о времену за {наме} у наредним сатима</v>
      </c>
      <c r="BB68" s="3" t="str">
        <f>IFERROR(__xludf.DUMMYFUNCTION("GoogleTranslate(C68, ""en"", ""si"")"),"ඉදිරි පැය තුළ {name} සඳහා කාලගුණ තොරතුරු")</f>
        <v>ඉදිරි පැය තුළ {name} සඳහා කාලගුණ තොරතුරු</v>
      </c>
      <c r="BC68" s="3" t="str">
        <f>IFERROR(__xludf.DUMMYFUNCTION("GoogleTranslate(C68, ""en"", ""sk"")"),"Informácie o počasí pre {name} v najbližších hodinách")</f>
        <v>Informácie o počasí pre {name} v najbližších hodinách</v>
      </c>
      <c r="BD68" s="3" t="str">
        <f>IFERROR(__xludf.DUMMYFUNCTION("GoogleTranslate(C68, ""en"", ""sl"")"),"Informacije o vremenu za {name} v prihodnjih urah")</f>
        <v>Informacije o vremenu za {name} v prihodnjih urah</v>
      </c>
      <c r="BE68" s="3" t="str">
        <f>IFERROR(__xludf.DUMMYFUNCTION("GoogleTranslate(C68, ""en"", ""es"")"),"Información meteorológica para {nombre} en las próximas horas")</f>
        <v>Información meteorológica para {nombre} en las próximas horas</v>
      </c>
      <c r="BF68" s="3" t="str">
        <f>IFERROR(__xludf.DUMMYFUNCTION("GoogleTranslate(C68, ""en"", ""sw"")"),"Taarifa ya hali ya hewa ya {name} katika saa zijazo")</f>
        <v>Taarifa ya hali ya hewa ya {name} katika saa zijazo</v>
      </c>
      <c r="BG68" s="3" t="str">
        <f>IFERROR(__xludf.DUMMYFUNCTION("GoogleTranslate(C68, ""en"", ""sv"")"),"Väderinformation för {name} under de kommande timmarna")</f>
        <v>Väderinformation för {name} under de kommande timmarna</v>
      </c>
      <c r="BH68" s="3" t="str">
        <f>IFERROR(__xludf.DUMMYFUNCTION("GoogleTranslate(C68, ""en"", ""te"")"),"రాబోయే గంటలలో {name} కోసం వాతావరణ సమాచారం")</f>
        <v>రాబోయే గంటలలో {name} కోసం వాతావరణ సమాచారం</v>
      </c>
      <c r="BI68" s="3" t="str">
        <f>IFERROR(__xludf.DUMMYFUNCTION("GoogleTranslate(C68, ""en"", ""th"")"),"ข้อมูลสภาพอากาศสำหรับ {name} ในอีกไม่กี่ชั่วโมงข้างหน้า")</f>
        <v>ข้อมูลสภาพอากาศสำหรับ {name} ในอีกไม่กี่ชั่วโมงข้างหน้า</v>
      </c>
      <c r="BJ68" s="3" t="str">
        <f>IFERROR(__xludf.DUMMYFUNCTION("GoogleTranslate(C68, ""en"", ""tr"")"),"{name} için önümüzdeki saatlerde hava durumu bilgileri")</f>
        <v>{name} için önümüzdeki saatlerde hava durumu bilgileri</v>
      </c>
      <c r="BK68" s="3" t="str">
        <f>IFERROR(__xludf.DUMMYFUNCTION("GoogleTranslate(C68, ""en"", ""uk"")"),"Інформація про погоду для {name} на найближчі години")</f>
        <v>Інформація про погоду для {name} на найближчі години</v>
      </c>
      <c r="BL68" s="3" t="str">
        <f>IFERROR(__xludf.DUMMYFUNCTION("GoogleTranslate(C68, ""en"", ""zu"")"),"Ulwazi lwesimo sezulu lwe-{name} emahoreni azayo")</f>
        <v>Ulwazi lwesimo sezulu lwe-{name} emahoreni azayo</v>
      </c>
    </row>
    <row r="69">
      <c r="A69" s="1" t="str">
        <f t="shared" si="1"/>
        <v>Dew_point</v>
      </c>
      <c r="B69" s="4" t="s">
        <v>128</v>
      </c>
      <c r="C69" s="1" t="str">
        <f t="shared" si="2"/>
        <v>Dew point</v>
      </c>
      <c r="D69" s="3" t="str">
        <f>IFERROR(__xludf.DUMMYFUNCTION("GoogleTranslate(C69, ""en"", ""es"")"),"Punto de rocío")</f>
        <v>Punto de rocío</v>
      </c>
      <c r="E69" s="3" t="str">
        <f>IFERROR(__xludf.DUMMYFUNCTION("GoogleTranslate(C69, ""en"", ""ar"")"),"نقطة الندى")</f>
        <v>نقطة الندى</v>
      </c>
      <c r="F69" s="3" t="str">
        <f>IFERROR(__xludf.DUMMYFUNCTION("GoogleTranslate(C69, ""en"", ""hy"")"),"Ցողի կետ")</f>
        <v>Ցողի կետ</v>
      </c>
      <c r="G69" s="3" t="str">
        <f>IFERROR(__xludf.DUMMYFUNCTION("GoogleTranslate(C69, ""en"", ""vi"")"),"điểm sương")</f>
        <v>điểm sương</v>
      </c>
      <c r="H69" s="3" t="str">
        <f>IFERROR(__xludf.DUMMYFUNCTION("GoogleTranslate(C69, ""en"", ""az"")"),"Çiy nöqtəsi")</f>
        <v>Çiy nöqtəsi</v>
      </c>
      <c r="I69" s="3" t="str">
        <f>IFERROR(__xludf.DUMMYFUNCTION("GoogleTranslate(C69, ""en"", ""eu"")"),"Ihintza puntua")</f>
        <v>Ihintza puntua</v>
      </c>
      <c r="J69" s="3" t="str">
        <f>IFERROR(__xludf.DUMMYFUNCTION("GoogleTranslate(C69, ""en"", ""be"")"),"Кропка расы")</f>
        <v>Кропка расы</v>
      </c>
      <c r="K69" s="3" t="str">
        <f>IFERROR(__xludf.DUMMYFUNCTION("GoogleTranslate(C69, ""en"", ""bn"")"),"শিশির বিন্দু")</f>
        <v>শিশির বিন্দু</v>
      </c>
      <c r="L69" s="3" t="str">
        <f>IFERROR(__xludf.DUMMYFUNCTION("GoogleTranslate(C69, ""en"", ""bg"")"),"Точка на оросяване")</f>
        <v>Точка на оросяване</v>
      </c>
      <c r="M69" s="3" t="str">
        <f>IFERROR(__xludf.DUMMYFUNCTION("GoogleTranslate(C69, ""en"", ""my"")"),"နှင်းရည်ကျို")</f>
        <v>နှင်းရည်ကျို</v>
      </c>
      <c r="N69" s="3" t="str">
        <f>IFERROR(__xludf.DUMMYFUNCTION("GoogleTranslate(C69, ""en"", ""ca"")"),"Punt de rosada")</f>
        <v>Punt de rosada</v>
      </c>
      <c r="O69" s="3" t="str">
        <f>IFERROR(__xludf.DUMMYFUNCTION("GoogleTranslate(C69, ""en"", ""zh-cn"")"),"露点")</f>
        <v>露点</v>
      </c>
      <c r="P69" s="3" t="str">
        <f>IFERROR(__xludf.DUMMYFUNCTION("GoogleTranslate(C69, ""en"", ""zh-TW"")"),"露點")</f>
        <v>露點</v>
      </c>
      <c r="Q69" s="3" t="str">
        <f>IFERROR(__xludf.DUMMYFUNCTION("GoogleTranslate(C69, ""en"", ""hr"")"),"Rosište")</f>
        <v>Rosište</v>
      </c>
      <c r="R69" s="3" t="str">
        <f>IFERROR(__xludf.DUMMYFUNCTION("GoogleTranslate(C69, ""en"", ""cs"")"),"Rosný bod")</f>
        <v>Rosný bod</v>
      </c>
      <c r="S69" s="3" t="str">
        <f>IFERROR(__xludf.DUMMYFUNCTION("GoogleTranslate(C69, ""en"", ""da"")"),"Dugpunkt")</f>
        <v>Dugpunkt</v>
      </c>
      <c r="T69" s="3" t="str">
        <f>IFERROR(__xludf.DUMMYFUNCTION("GoogleTranslate(C69, ""en"", ""nl"")"),"Dauw punt")</f>
        <v>Dauw punt</v>
      </c>
      <c r="U69" s="3" t="str">
        <f>IFERROR(__xludf.DUMMYFUNCTION("GoogleTranslate(C69, ""en"", ""et"")"),"Kastepunkt")</f>
        <v>Kastepunkt</v>
      </c>
      <c r="V69" s="1" t="str">
        <f t="shared" si="3"/>
        <v>Dew point</v>
      </c>
      <c r="W69" s="3" t="str">
        <f>IFERROR(__xludf.DUMMYFUNCTION("GoogleTranslate(C69, ""en"", ""fi"")"),"Kastepiste")</f>
        <v>Kastepiste</v>
      </c>
      <c r="X69" s="3" t="str">
        <f>IFERROR(__xludf.DUMMYFUNCTION("GoogleTranslate(C69, ""en"", ""fr"")"),"Point de rosée")</f>
        <v>Point de rosée</v>
      </c>
      <c r="Y69" s="3" t="str">
        <f>IFERROR(__xludf.DUMMYFUNCTION("GoogleTranslate(C69, ""en"", ""de"")"),"Taupunkt")</f>
        <v>Taupunkt</v>
      </c>
      <c r="Z69" s="3" t="str">
        <f>IFERROR(__xludf.DUMMYFUNCTION("GoogleTranslate(C69, ""en"", ""el"")"),"Σημείο δρόσου")</f>
        <v>Σημείο δρόσου</v>
      </c>
      <c r="AA69" s="3" t="str">
        <f>IFERROR(__xludf.DUMMYFUNCTION("GoogleTranslate(C69, ""en"", ""iw"")"),"נקודת טל")</f>
        <v>נקודת טל</v>
      </c>
      <c r="AB69" s="3" t="str">
        <f>IFERROR(__xludf.DUMMYFUNCTION("GoogleTranslate(C69, ""en"", ""hi"")"),"ओसांक")</f>
        <v>ओसांक</v>
      </c>
      <c r="AC69" s="3" t="str">
        <f>IFERROR(__xludf.DUMMYFUNCTION("GoogleTranslate(C69, ""en"", ""hu"")"),"Harmatpont")</f>
        <v>Harmatpont</v>
      </c>
      <c r="AD69" s="3" t="str">
        <f>IFERROR(__xludf.DUMMYFUNCTION("GoogleTranslate(C69, ""en"", ""is"")"),"Daggarmark")</f>
        <v>Daggarmark</v>
      </c>
      <c r="AE69" s="3" t="str">
        <f>IFERROR(__xludf.DUMMYFUNCTION("GoogleTranslate(C69, ""en"", ""id"")"),"Titik embun")</f>
        <v>Titik embun</v>
      </c>
      <c r="AF69" s="3" t="str">
        <f>IFERROR(__xludf.DUMMYFUNCTION("GoogleTranslate(C69, ""en"", ""in"")"),"Titik embun")</f>
        <v>Titik embun</v>
      </c>
      <c r="AG69" s="3" t="str">
        <f>IFERROR(__xludf.DUMMYFUNCTION("GoogleTranslate(C69, ""en"", ""it"")"),"Punto di rugiada")</f>
        <v>Punto di rugiada</v>
      </c>
      <c r="AH69" s="3" t="str">
        <f>IFERROR(__xludf.DUMMYFUNCTION("GoogleTranslate(C69, ""en"", ""ja"")"),"露点")</f>
        <v>露点</v>
      </c>
      <c r="AI69" s="3" t="str">
        <f>IFERROR(__xludf.DUMMYFUNCTION("GoogleTranslate(C69, ""en"", ""kn"")"),"ಇಬ್ಬನಿ ಬಿಂದು")</f>
        <v>ಇಬ್ಬನಿ ಬಿಂದು</v>
      </c>
      <c r="AJ69" s="3" t="str">
        <f>IFERROR(__xludf.DUMMYFUNCTION("GoogleTranslate(C69, ""en"", ""km"")"),"ចំណុចទឹកសន្សើម")</f>
        <v>ចំណុចទឹកសន្សើម</v>
      </c>
      <c r="AK69" s="3" t="str">
        <f>IFERROR(__xludf.DUMMYFUNCTION("GoogleTranslate(C69, ""en"", ""ko"")"),"이슬점")</f>
        <v>이슬점</v>
      </c>
      <c r="AL69" s="3" t="str">
        <f>IFERROR(__xludf.DUMMYFUNCTION("GoogleTranslate(C69, ""en"", ""lo"")"),"ຈຸດນ້ໍາຕົກ")</f>
        <v>ຈຸດນ້ໍາຕົກ</v>
      </c>
      <c r="AM69" s="3" t="str">
        <f>IFERROR(__xludf.DUMMYFUNCTION("GoogleTranslate(C69, ""en"", ""lv"")"),"Rasas punkts")</f>
        <v>Rasas punkts</v>
      </c>
      <c r="AN69" s="3" t="str">
        <f>IFERROR(__xludf.DUMMYFUNCTION("GoogleTranslate(C69, ""en"", ""lt"")"),"Rasos taškas")</f>
        <v>Rasos taškas</v>
      </c>
      <c r="AO69" s="3" t="str">
        <f>IFERROR(__xludf.DUMMYFUNCTION("GoogleTranslate(C69, ""en"", ""mk"")"),"Точка на роса")</f>
        <v>Точка на роса</v>
      </c>
      <c r="AP69" s="3" t="str">
        <f>IFERROR(__xludf.DUMMYFUNCTION("GoogleTranslate(C69, ""en"", ""ms"")"),"Titik embun")</f>
        <v>Titik embun</v>
      </c>
      <c r="AQ69" s="3" t="str">
        <f>IFERROR(__xludf.DUMMYFUNCTION("GoogleTranslate(C69, ""en"", ""ml"")"),"മഞ്ഞു പോയിൻ്റ്")</f>
        <v>മഞ്ഞു പോയിൻ്റ്</v>
      </c>
      <c r="AR69" s="3" t="str">
        <f>IFERROR(__xludf.DUMMYFUNCTION("GoogleTranslate(C69, ""en"", ""mr"")"),"दवबिंदू")</f>
        <v>दवबिंदू</v>
      </c>
      <c r="AS69" s="3" t="str">
        <f>IFERROR(__xludf.DUMMYFUNCTION("GoogleTranslate(C69, ""en"", ""mn"")"),"Шүүдэр цэг")</f>
        <v>Шүүдэр цэг</v>
      </c>
      <c r="AT69" s="3" t="str">
        <f>IFERROR(__xludf.DUMMYFUNCTION("GoogleTranslate(C69, ""en"", ""ne"")"),"ओस बिन्दु")</f>
        <v>ओस बिन्दु</v>
      </c>
      <c r="AU69" s="3" t="str">
        <f>IFERROR(__xludf.DUMMYFUNCTION("GoogleTranslate(C69, ""en"", ""nb"")"),"Duggpunkt")</f>
        <v>Duggpunkt</v>
      </c>
      <c r="AV69" s="3" t="str">
        <f>IFERROR(__xludf.DUMMYFUNCTION("GoogleTranslate(C69, ""en"", ""fa"")"),"نقطه شبنم")</f>
        <v>نقطه شبنم</v>
      </c>
      <c r="AW69" s="3" t="str">
        <f>IFERROR(__xludf.DUMMYFUNCTION("GoogleTranslate(C69, ""en"", ""pl"")"),"Punkt rosy")</f>
        <v>Punkt rosy</v>
      </c>
      <c r="AX69" s="3" t="str">
        <f>IFERROR(__xludf.DUMMYFUNCTION("GoogleTranslate(C69, ""en"", ""pt"")"),"Ponto de orvalho")</f>
        <v>Ponto de orvalho</v>
      </c>
      <c r="AY69" s="3" t="str">
        <f>IFERROR(__xludf.DUMMYFUNCTION("GoogleTranslate(C69, ""en"", ""ro"")"),"Punct de rouă")</f>
        <v>Punct de rouă</v>
      </c>
      <c r="AZ69" s="3" t="str">
        <f>IFERROR(__xludf.DUMMYFUNCTION("GoogleTranslate(C69, ""en"", ""ru"")"),"Точка росы")</f>
        <v>Точка росы</v>
      </c>
      <c r="BA69" s="3" t="str">
        <f>IFERROR(__xludf.DUMMYFUNCTION("GoogleTranslate(C69, ""en"", ""sr"")"),"Тачка росе")</f>
        <v>Тачка росе</v>
      </c>
      <c r="BB69" s="3" t="str">
        <f>IFERROR(__xludf.DUMMYFUNCTION("GoogleTranslate(C69, ""en"", ""si"")"),"පිනි පොයින්ට්")</f>
        <v>පිනි පොයින්ට්</v>
      </c>
      <c r="BC69" s="3" t="str">
        <f>IFERROR(__xludf.DUMMYFUNCTION("GoogleTranslate(C69, ""en"", ""sk"")"),"Rosný bod")</f>
        <v>Rosný bod</v>
      </c>
      <c r="BD69" s="3" t="str">
        <f>IFERROR(__xludf.DUMMYFUNCTION("GoogleTranslate(C69, ""en"", ""sl"")"),"Točka rosišča")</f>
        <v>Točka rosišča</v>
      </c>
      <c r="BE69" s="3" t="str">
        <f>IFERROR(__xludf.DUMMYFUNCTION("GoogleTranslate(C69, ""en"", ""es"")"),"Punto de rocío")</f>
        <v>Punto de rocío</v>
      </c>
      <c r="BF69" s="3" t="str">
        <f>IFERROR(__xludf.DUMMYFUNCTION("GoogleTranslate(C69, ""en"", ""sw"")"),"Kiwango cha umande")</f>
        <v>Kiwango cha umande</v>
      </c>
      <c r="BG69" s="3" t="str">
        <f>IFERROR(__xludf.DUMMYFUNCTION("GoogleTranslate(C69, ""en"", ""sv"")"),"Daggpunkt")</f>
        <v>Daggpunkt</v>
      </c>
      <c r="BH69" s="3" t="str">
        <f>IFERROR(__xludf.DUMMYFUNCTION("GoogleTranslate(C69, ""en"", ""te"")"),"మంచు బిందువు")</f>
        <v>మంచు బిందువు</v>
      </c>
      <c r="BI69" s="3" t="str">
        <f>IFERROR(__xludf.DUMMYFUNCTION("GoogleTranslate(C69, ""en"", ""th"")"),"จุดน้ำค้าง")</f>
        <v>จุดน้ำค้าง</v>
      </c>
      <c r="BJ69" s="3" t="str">
        <f>IFERROR(__xludf.DUMMYFUNCTION("GoogleTranslate(C69, ""en"", ""tr"")"),"Çiy noktası")</f>
        <v>Çiy noktası</v>
      </c>
      <c r="BK69" s="3" t="str">
        <f>IFERROR(__xludf.DUMMYFUNCTION("GoogleTranslate(C69, ""en"", ""uk"")"),"Точка роси")</f>
        <v>Точка роси</v>
      </c>
      <c r="BL69" s="3" t="str">
        <f>IFERROR(__xludf.DUMMYFUNCTION("GoogleTranslate(C69, ""en"", ""zu"")"),"Iphuzu lamazolo")</f>
        <v>Iphuzu lamazolo</v>
      </c>
    </row>
    <row r="70">
      <c r="A70" s="1" t="str">
        <f t="shared" si="1"/>
        <v>Pressure</v>
      </c>
      <c r="B70" s="4" t="s">
        <v>109</v>
      </c>
      <c r="C70" s="1" t="str">
        <f t="shared" si="2"/>
        <v>Pressure</v>
      </c>
      <c r="D70" s="3" t="str">
        <f>IFERROR(__xludf.DUMMYFUNCTION("GoogleTranslate(C70, ""en"", ""es"")"),"Presión")</f>
        <v>Presión</v>
      </c>
      <c r="E70" s="3" t="str">
        <f>IFERROR(__xludf.DUMMYFUNCTION("GoogleTranslate(C70, ""en"", ""ar"")"),"ضغط")</f>
        <v>ضغط</v>
      </c>
      <c r="F70" s="3" t="str">
        <f>IFERROR(__xludf.DUMMYFUNCTION("GoogleTranslate(C70, ""en"", ""hy"")"),"Ճնշում")</f>
        <v>Ճնշում</v>
      </c>
      <c r="G70" s="3" t="str">
        <f>IFERROR(__xludf.DUMMYFUNCTION("GoogleTranslate(C70, ""en"", ""vi"")"),"Áp lực")</f>
        <v>Áp lực</v>
      </c>
      <c r="H70" s="3" t="str">
        <f>IFERROR(__xludf.DUMMYFUNCTION("GoogleTranslate(C70, ""en"", ""az"")"),"Təzyiq")</f>
        <v>Təzyiq</v>
      </c>
      <c r="I70" s="3" t="str">
        <f>IFERROR(__xludf.DUMMYFUNCTION("GoogleTranslate(C70, ""en"", ""eu"")"),"Presioa")</f>
        <v>Presioa</v>
      </c>
      <c r="J70" s="3" t="str">
        <f>IFERROR(__xludf.DUMMYFUNCTION("GoogleTranslate(C70, ""en"", ""be"")"),"Ціск")</f>
        <v>Ціск</v>
      </c>
      <c r="K70" s="3" t="str">
        <f>IFERROR(__xludf.DUMMYFUNCTION("GoogleTranslate(C70, ""en"", ""bn"")"),"চাপ")</f>
        <v>চাপ</v>
      </c>
      <c r="L70" s="3" t="str">
        <f>IFERROR(__xludf.DUMMYFUNCTION("GoogleTranslate(C70, ""en"", ""bg"")"),"налягане")</f>
        <v>налягане</v>
      </c>
      <c r="M70" s="3" t="str">
        <f>IFERROR(__xludf.DUMMYFUNCTION("GoogleTranslate(C70, ""en"", ""my"")"),"ဖိအား")</f>
        <v>ဖိအား</v>
      </c>
      <c r="N70" s="3" t="str">
        <f>IFERROR(__xludf.DUMMYFUNCTION("GoogleTranslate(C70, ""en"", ""ca"")"),"Pressió")</f>
        <v>Pressió</v>
      </c>
      <c r="O70" s="3" t="str">
        <f>IFERROR(__xludf.DUMMYFUNCTION("GoogleTranslate(C70, ""en"", ""zh-cn"")"),"压力")</f>
        <v>压力</v>
      </c>
      <c r="P70" s="3" t="str">
        <f>IFERROR(__xludf.DUMMYFUNCTION("GoogleTranslate(C70, ""en"", ""zh-TW"")"),"壓力")</f>
        <v>壓力</v>
      </c>
      <c r="Q70" s="3" t="str">
        <f>IFERROR(__xludf.DUMMYFUNCTION("GoogleTranslate(C70, ""en"", ""hr"")"),"Pritisak")</f>
        <v>Pritisak</v>
      </c>
      <c r="R70" s="3" t="str">
        <f>IFERROR(__xludf.DUMMYFUNCTION("GoogleTranslate(C70, ""en"", ""cs"")"),"Tlak")</f>
        <v>Tlak</v>
      </c>
      <c r="S70" s="3" t="str">
        <f>IFERROR(__xludf.DUMMYFUNCTION("GoogleTranslate(C70, ""en"", ""da"")"),"Tryk")</f>
        <v>Tryk</v>
      </c>
      <c r="T70" s="3" t="str">
        <f>IFERROR(__xludf.DUMMYFUNCTION("GoogleTranslate(C70, ""en"", ""nl"")"),"Druk")</f>
        <v>Druk</v>
      </c>
      <c r="U70" s="3" t="str">
        <f>IFERROR(__xludf.DUMMYFUNCTION("GoogleTranslate(C70, ""en"", ""et"")"),"Surve")</f>
        <v>Surve</v>
      </c>
      <c r="V70" s="1" t="str">
        <f t="shared" si="3"/>
        <v>Pressure</v>
      </c>
      <c r="W70" s="3" t="str">
        <f>IFERROR(__xludf.DUMMYFUNCTION("GoogleTranslate(C70, ""en"", ""fi"")"),"Paine")</f>
        <v>Paine</v>
      </c>
      <c r="X70" s="3" t="str">
        <f>IFERROR(__xludf.DUMMYFUNCTION("GoogleTranslate(C70, ""en"", ""fr"")"),"Pression")</f>
        <v>Pression</v>
      </c>
      <c r="Y70" s="3" t="str">
        <f>IFERROR(__xludf.DUMMYFUNCTION("GoogleTranslate(C70, ""en"", ""de"")"),"Druck")</f>
        <v>Druck</v>
      </c>
      <c r="Z70" s="3" t="str">
        <f>IFERROR(__xludf.DUMMYFUNCTION("GoogleTranslate(C70, ""en"", ""el"")"),"Πίεση")</f>
        <v>Πίεση</v>
      </c>
      <c r="AA70" s="3" t="str">
        <f>IFERROR(__xludf.DUMMYFUNCTION("GoogleTranslate(C70, ""en"", ""iw"")"),"לַחַץ")</f>
        <v>לַחַץ</v>
      </c>
      <c r="AB70" s="3" t="str">
        <f>IFERROR(__xludf.DUMMYFUNCTION("GoogleTranslate(C70, ""en"", ""hi"")"),"दबाव")</f>
        <v>दबाव</v>
      </c>
      <c r="AC70" s="3" t="str">
        <f>IFERROR(__xludf.DUMMYFUNCTION("GoogleTranslate(C70, ""en"", ""hu"")"),"Nyomás")</f>
        <v>Nyomás</v>
      </c>
      <c r="AD70" s="3" t="str">
        <f>IFERROR(__xludf.DUMMYFUNCTION("GoogleTranslate(C70, ""en"", ""is"")"),"Þrýstingur")</f>
        <v>Þrýstingur</v>
      </c>
      <c r="AE70" s="3" t="str">
        <f>IFERROR(__xludf.DUMMYFUNCTION("GoogleTranslate(C70, ""en"", ""id"")"),"Tekanan")</f>
        <v>Tekanan</v>
      </c>
      <c r="AF70" s="3" t="str">
        <f>IFERROR(__xludf.DUMMYFUNCTION("GoogleTranslate(C70, ""en"", ""in"")"),"Tekanan")</f>
        <v>Tekanan</v>
      </c>
      <c r="AG70" s="3" t="str">
        <f>IFERROR(__xludf.DUMMYFUNCTION("GoogleTranslate(C70, ""en"", ""it"")"),"Pressione")</f>
        <v>Pressione</v>
      </c>
      <c r="AH70" s="3" t="str">
        <f>IFERROR(__xludf.DUMMYFUNCTION("GoogleTranslate(C70, ""en"", ""ja"")"),"プレッシャー")</f>
        <v>プレッシャー</v>
      </c>
      <c r="AI70" s="3" t="str">
        <f>IFERROR(__xludf.DUMMYFUNCTION("GoogleTranslate(C70, ""en"", ""kn"")"),"ಒತ್ತಡ")</f>
        <v>ಒತ್ತಡ</v>
      </c>
      <c r="AJ70" s="3" t="str">
        <f>IFERROR(__xludf.DUMMYFUNCTION("GoogleTranslate(C70, ""en"", ""km"")"),"សម្ពាធ")</f>
        <v>សម្ពាធ</v>
      </c>
      <c r="AK70" s="3" t="str">
        <f>IFERROR(__xludf.DUMMYFUNCTION("GoogleTranslate(C70, ""en"", ""ko"")"),"압력")</f>
        <v>압력</v>
      </c>
      <c r="AL70" s="3" t="str">
        <f>IFERROR(__xludf.DUMMYFUNCTION("GoogleTranslate(C70, ""en"", ""lo"")"),"ຄວາມກົດດັນ")</f>
        <v>ຄວາມກົດດັນ</v>
      </c>
      <c r="AM70" s="3" t="str">
        <f>IFERROR(__xludf.DUMMYFUNCTION("GoogleTranslate(C70, ""en"", ""lv"")"),"Spiediens")</f>
        <v>Spiediens</v>
      </c>
      <c r="AN70" s="3" t="str">
        <f>IFERROR(__xludf.DUMMYFUNCTION("GoogleTranslate(C70, ""en"", ""lt"")"),"Slėgis")</f>
        <v>Slėgis</v>
      </c>
      <c r="AO70" s="3" t="str">
        <f>IFERROR(__xludf.DUMMYFUNCTION("GoogleTranslate(C70, ""en"", ""mk"")"),"Притисок")</f>
        <v>Притисок</v>
      </c>
      <c r="AP70" s="3" t="str">
        <f>IFERROR(__xludf.DUMMYFUNCTION("GoogleTranslate(C70, ""en"", ""ms"")"),"Tekanan")</f>
        <v>Tekanan</v>
      </c>
      <c r="AQ70" s="3" t="str">
        <f>IFERROR(__xludf.DUMMYFUNCTION("GoogleTranslate(C70, ""en"", ""ml"")"),"സമ്മർദ്ദം")</f>
        <v>സമ്മർദ്ദം</v>
      </c>
      <c r="AR70" s="3" t="str">
        <f>IFERROR(__xludf.DUMMYFUNCTION("GoogleTranslate(C70, ""en"", ""mr"")"),"दाब")</f>
        <v>दाब</v>
      </c>
      <c r="AS70" s="3" t="str">
        <f>IFERROR(__xludf.DUMMYFUNCTION("GoogleTranslate(C70, ""en"", ""mn"")"),"Даралт")</f>
        <v>Даралт</v>
      </c>
      <c r="AT70" s="3" t="str">
        <f>IFERROR(__xludf.DUMMYFUNCTION("GoogleTranslate(C70, ""en"", ""ne"")"),"दबाब")</f>
        <v>दबाब</v>
      </c>
      <c r="AU70" s="3" t="str">
        <f>IFERROR(__xludf.DUMMYFUNCTION("GoogleTranslate(C70, ""en"", ""nb"")"),"Trykk")</f>
        <v>Trykk</v>
      </c>
      <c r="AV70" s="3" t="str">
        <f>IFERROR(__xludf.DUMMYFUNCTION("GoogleTranslate(C70, ""en"", ""fa"")"),"فشار")</f>
        <v>فشار</v>
      </c>
      <c r="AW70" s="3" t="str">
        <f>IFERROR(__xludf.DUMMYFUNCTION("GoogleTranslate(C70, ""en"", ""pl"")"),"Ciśnienie")</f>
        <v>Ciśnienie</v>
      </c>
      <c r="AX70" s="3" t="str">
        <f>IFERROR(__xludf.DUMMYFUNCTION("GoogleTranslate(C70, ""en"", ""pt"")"),"Pressão")</f>
        <v>Pressão</v>
      </c>
      <c r="AY70" s="3" t="str">
        <f>IFERROR(__xludf.DUMMYFUNCTION("GoogleTranslate(C70, ""en"", ""ro"")"),"Presiune")</f>
        <v>Presiune</v>
      </c>
      <c r="AZ70" s="3" t="str">
        <f>IFERROR(__xludf.DUMMYFUNCTION("GoogleTranslate(C70, ""en"", ""ru"")"),"Давление")</f>
        <v>Давление</v>
      </c>
      <c r="BA70" s="3" t="str">
        <f>IFERROR(__xludf.DUMMYFUNCTION("GoogleTranslate(C70, ""en"", ""sr"")"),"Притисак")</f>
        <v>Притисак</v>
      </c>
      <c r="BB70" s="3" t="str">
        <f>IFERROR(__xludf.DUMMYFUNCTION("GoogleTranslate(C70, ""en"", ""si"")"),"පීඩනය")</f>
        <v>පීඩනය</v>
      </c>
      <c r="BC70" s="3" t="str">
        <f>IFERROR(__xludf.DUMMYFUNCTION("GoogleTranslate(C70, ""en"", ""sk"")"),"Tlak")</f>
        <v>Tlak</v>
      </c>
      <c r="BD70" s="3" t="str">
        <f>IFERROR(__xludf.DUMMYFUNCTION("GoogleTranslate(C70, ""en"", ""sl"")"),"Pritisk")</f>
        <v>Pritisk</v>
      </c>
      <c r="BE70" s="3" t="str">
        <f>IFERROR(__xludf.DUMMYFUNCTION("GoogleTranslate(C70, ""en"", ""es"")"),"Presión")</f>
        <v>Presión</v>
      </c>
      <c r="BF70" s="3" t="str">
        <f>IFERROR(__xludf.DUMMYFUNCTION("GoogleTranslate(C70, ""en"", ""sw"")"),"Shinikizo")</f>
        <v>Shinikizo</v>
      </c>
      <c r="BG70" s="3" t="str">
        <f>IFERROR(__xludf.DUMMYFUNCTION("GoogleTranslate(C70, ""en"", ""sv"")"),"Tryck")</f>
        <v>Tryck</v>
      </c>
      <c r="BH70" s="3" t="str">
        <f>IFERROR(__xludf.DUMMYFUNCTION("GoogleTranslate(C70, ""en"", ""te"")"),"ఒత్తిడి")</f>
        <v>ఒత్తిడి</v>
      </c>
      <c r="BI70" s="3" t="str">
        <f>IFERROR(__xludf.DUMMYFUNCTION("GoogleTranslate(C70, ""en"", ""th"")"),"ความดัน")</f>
        <v>ความดัน</v>
      </c>
      <c r="BJ70" s="3" t="str">
        <f>IFERROR(__xludf.DUMMYFUNCTION("GoogleTranslate(C70, ""en"", ""tr"")"),"Basınç")</f>
        <v>Basınç</v>
      </c>
      <c r="BK70" s="3" t="str">
        <f>IFERROR(__xludf.DUMMYFUNCTION("GoogleTranslate(C70, ""en"", ""uk"")"),"Тиск")</f>
        <v>Тиск</v>
      </c>
      <c r="BL70" s="3" t="str">
        <f>IFERROR(__xludf.DUMMYFUNCTION("GoogleTranslate(C70, ""en"", ""zu"")"),"Ingcindezi")</f>
        <v>Ingcindezi</v>
      </c>
    </row>
    <row r="71">
      <c r="A71" s="1" t="str">
        <f t="shared" si="1"/>
        <v>Wind_direction</v>
      </c>
      <c r="B71" s="4" t="s">
        <v>129</v>
      </c>
      <c r="C71" s="1" t="str">
        <f t="shared" si="2"/>
        <v>Wind direction</v>
      </c>
      <c r="D71" s="3" t="str">
        <f>IFERROR(__xludf.DUMMYFUNCTION("GoogleTranslate(C71, ""en"", ""es"")"),"Dirección del viento")</f>
        <v>Dirección del viento</v>
      </c>
      <c r="E71" s="3" t="str">
        <f>IFERROR(__xludf.DUMMYFUNCTION("GoogleTranslate(C71, ""en"", ""ar"")"),"اتجاه الرياح")</f>
        <v>اتجاه الرياح</v>
      </c>
      <c r="F71" s="3" t="str">
        <f>IFERROR(__xludf.DUMMYFUNCTION("GoogleTranslate(C71, ""en"", ""hy"")"),"Քամու ուղղությունը")</f>
        <v>Քամու ուղղությունը</v>
      </c>
      <c r="G71" s="3" t="str">
        <f>IFERROR(__xludf.DUMMYFUNCTION("GoogleTranslate(C71, ""en"", ""vi"")"),"Hướng gió")</f>
        <v>Hướng gió</v>
      </c>
      <c r="H71" s="3" t="str">
        <f>IFERROR(__xludf.DUMMYFUNCTION("GoogleTranslate(C71, ""en"", ""az"")"),"Küləyin istiqaməti")</f>
        <v>Küləyin istiqaməti</v>
      </c>
      <c r="I71" s="3" t="str">
        <f>IFERROR(__xludf.DUMMYFUNCTION("GoogleTranslate(C71, ""en"", ""eu"")"),"Haizearen norabidea")</f>
        <v>Haizearen norabidea</v>
      </c>
      <c r="J71" s="3" t="str">
        <f>IFERROR(__xludf.DUMMYFUNCTION("GoogleTranslate(C71, ""en"", ""be"")"),"Напрамак ветру")</f>
        <v>Напрамак ветру</v>
      </c>
      <c r="K71" s="3" t="str">
        <f>IFERROR(__xludf.DUMMYFUNCTION("GoogleTranslate(C71, ""en"", ""bn"")"),"বাতাসের দিক")</f>
        <v>বাতাসের দিক</v>
      </c>
      <c r="L71" s="3" t="str">
        <f>IFERROR(__xludf.DUMMYFUNCTION("GoogleTranslate(C71, ""en"", ""bg"")"),"Посока на вятъра")</f>
        <v>Посока на вятъра</v>
      </c>
      <c r="M71" s="3" t="str">
        <f>IFERROR(__xludf.DUMMYFUNCTION("GoogleTranslate(C71, ""en"", ""my"")"),"လေတိုက်နှုန်း")</f>
        <v>လေတိုက်နှုန်း</v>
      </c>
      <c r="N71" s="3" t="str">
        <f>IFERROR(__xludf.DUMMYFUNCTION("GoogleTranslate(C71, ""en"", ""ca"")"),"Direcció del vent")</f>
        <v>Direcció del vent</v>
      </c>
      <c r="O71" s="3" t="str">
        <f>IFERROR(__xludf.DUMMYFUNCTION("GoogleTranslate(C71, ""en"", ""zh-cn"")"),"风向")</f>
        <v>风向</v>
      </c>
      <c r="P71" s="3" t="str">
        <f>IFERROR(__xludf.DUMMYFUNCTION("GoogleTranslate(C71, ""en"", ""zh-TW"")"),"風向")</f>
        <v>風向</v>
      </c>
      <c r="Q71" s="3" t="str">
        <f>IFERROR(__xludf.DUMMYFUNCTION("GoogleTranslate(C71, ""en"", ""hr"")"),"Smjer vjetra")</f>
        <v>Smjer vjetra</v>
      </c>
      <c r="R71" s="3" t="str">
        <f>IFERROR(__xludf.DUMMYFUNCTION("GoogleTranslate(C71, ""en"", ""cs"")"),"Směr větru")</f>
        <v>Směr větru</v>
      </c>
      <c r="S71" s="3" t="str">
        <f>IFERROR(__xludf.DUMMYFUNCTION("GoogleTranslate(C71, ""en"", ""da"")"),"Vindretning")</f>
        <v>Vindretning</v>
      </c>
      <c r="T71" s="3" t="str">
        <f>IFERROR(__xludf.DUMMYFUNCTION("GoogleTranslate(C71, ""en"", ""nl"")"),"Windrichting")</f>
        <v>Windrichting</v>
      </c>
      <c r="U71" s="3" t="str">
        <f>IFERROR(__xludf.DUMMYFUNCTION("GoogleTranslate(C71, ""en"", ""et"")"),"Tuule suund")</f>
        <v>Tuule suund</v>
      </c>
      <c r="V71" s="1" t="str">
        <f t="shared" si="3"/>
        <v>Wind direction</v>
      </c>
      <c r="W71" s="3" t="str">
        <f>IFERROR(__xludf.DUMMYFUNCTION("GoogleTranslate(C71, ""en"", ""fi"")"),"Tuulen suunta")</f>
        <v>Tuulen suunta</v>
      </c>
      <c r="X71" s="3" t="str">
        <f>IFERROR(__xludf.DUMMYFUNCTION("GoogleTranslate(C71, ""en"", ""fr"")"),"Direction du vent")</f>
        <v>Direction du vent</v>
      </c>
      <c r="Y71" s="3" t="str">
        <f>IFERROR(__xludf.DUMMYFUNCTION("GoogleTranslate(C71, ""en"", ""de"")"),"Windrichtung")</f>
        <v>Windrichtung</v>
      </c>
      <c r="Z71" s="3" t="str">
        <f>IFERROR(__xludf.DUMMYFUNCTION("GoogleTranslate(C71, ""en"", ""el"")"),"Διεύθυνση ανέμου")</f>
        <v>Διεύθυνση ανέμου</v>
      </c>
      <c r="AA71" s="3" t="str">
        <f>IFERROR(__xludf.DUMMYFUNCTION("GoogleTranslate(C71, ""en"", ""iw"")"),"כיוון הרוח")</f>
        <v>כיוון הרוח</v>
      </c>
      <c r="AB71" s="3" t="str">
        <f>IFERROR(__xludf.DUMMYFUNCTION("GoogleTranslate(C71, ""en"", ""hi"")"),"हवा की दिशा")</f>
        <v>हवा की दिशा</v>
      </c>
      <c r="AC71" s="3" t="str">
        <f>IFERROR(__xludf.DUMMYFUNCTION("GoogleTranslate(C71, ""en"", ""hu"")"),"A szél iránya")</f>
        <v>A szél iránya</v>
      </c>
      <c r="AD71" s="3" t="str">
        <f>IFERROR(__xludf.DUMMYFUNCTION("GoogleTranslate(C71, ""en"", ""is"")"),"Vindátt")</f>
        <v>Vindátt</v>
      </c>
      <c r="AE71" s="3" t="str">
        <f>IFERROR(__xludf.DUMMYFUNCTION("GoogleTranslate(C71, ""en"", ""id"")"),"Arah angin")</f>
        <v>Arah angin</v>
      </c>
      <c r="AF71" s="3" t="str">
        <f>IFERROR(__xludf.DUMMYFUNCTION("GoogleTranslate(C71, ""en"", ""in"")"),"Arah angin")</f>
        <v>Arah angin</v>
      </c>
      <c r="AG71" s="3" t="str">
        <f>IFERROR(__xludf.DUMMYFUNCTION("GoogleTranslate(C71, ""en"", ""it"")"),"Direzione del vento")</f>
        <v>Direzione del vento</v>
      </c>
      <c r="AH71" s="3" t="str">
        <f>IFERROR(__xludf.DUMMYFUNCTION("GoogleTranslate(C71, ""en"", ""ja"")"),"風向き")</f>
        <v>風向き</v>
      </c>
      <c r="AI71" s="3" t="str">
        <f>IFERROR(__xludf.DUMMYFUNCTION("GoogleTranslate(C71, ""en"", ""kn"")"),"ಗಾಳಿಯ ದಿಕ್ಕು")</f>
        <v>ಗಾಳಿಯ ದಿಕ್ಕು</v>
      </c>
      <c r="AJ71" s="3" t="str">
        <f>IFERROR(__xludf.DUMMYFUNCTION("GoogleTranslate(C71, ""en"", ""km"")"),"ទិសដៅខ្យល់")</f>
        <v>ទិសដៅខ្យល់</v>
      </c>
      <c r="AK71" s="3" t="str">
        <f>IFERROR(__xludf.DUMMYFUNCTION("GoogleTranslate(C71, ""en"", ""ko"")"),"풍향")</f>
        <v>풍향</v>
      </c>
      <c r="AL71" s="3" t="str">
        <f>IFERROR(__xludf.DUMMYFUNCTION("GoogleTranslate(C71, ""en"", ""lo"")"),"ທິດທາງລົມ")</f>
        <v>ທິດທາງລົມ</v>
      </c>
      <c r="AM71" s="3" t="str">
        <f>IFERROR(__xludf.DUMMYFUNCTION("GoogleTranslate(C71, ""en"", ""lv"")"),"Vēja virziens")</f>
        <v>Vēja virziens</v>
      </c>
      <c r="AN71" s="3" t="str">
        <f>IFERROR(__xludf.DUMMYFUNCTION("GoogleTranslate(C71, ""en"", ""lt"")"),"Vėjo kryptis")</f>
        <v>Vėjo kryptis</v>
      </c>
      <c r="AO71" s="3" t="str">
        <f>IFERROR(__xludf.DUMMYFUNCTION("GoogleTranslate(C71, ""en"", ""mk"")"),"Насока на ветерот")</f>
        <v>Насока на ветерот</v>
      </c>
      <c r="AP71" s="3" t="str">
        <f>IFERROR(__xludf.DUMMYFUNCTION("GoogleTranslate(C71, ""en"", ""ms"")"),"Arah angin")</f>
        <v>Arah angin</v>
      </c>
      <c r="AQ71" s="3" t="str">
        <f>IFERROR(__xludf.DUMMYFUNCTION("GoogleTranslate(C71, ""en"", ""ml"")"),"കാറ്റിൻ്റെ ദിശ")</f>
        <v>കാറ്റിൻ്റെ ദിശ</v>
      </c>
      <c r="AR71" s="3" t="str">
        <f>IFERROR(__xludf.DUMMYFUNCTION("GoogleTranslate(C71, ""en"", ""mr"")"),"वाऱ्याची दिशा")</f>
        <v>वाऱ्याची दिशा</v>
      </c>
      <c r="AS71" s="3" t="str">
        <f>IFERROR(__xludf.DUMMYFUNCTION("GoogleTranslate(C71, ""en"", ""mn"")"),"Салхины чиглэл")</f>
        <v>Салхины чиглэл</v>
      </c>
      <c r="AT71" s="3" t="str">
        <f>IFERROR(__xludf.DUMMYFUNCTION("GoogleTranslate(C71, ""en"", ""ne"")"),"हावाको दिशा")</f>
        <v>हावाको दिशा</v>
      </c>
      <c r="AU71" s="3" t="str">
        <f>IFERROR(__xludf.DUMMYFUNCTION("GoogleTranslate(C71, ""en"", ""nb"")"),"Vindretning")</f>
        <v>Vindretning</v>
      </c>
      <c r="AV71" s="3" t="str">
        <f>IFERROR(__xludf.DUMMYFUNCTION("GoogleTranslate(C71, ""en"", ""fa"")"),"جهت باد")</f>
        <v>جهت باد</v>
      </c>
      <c r="AW71" s="3" t="str">
        <f>IFERROR(__xludf.DUMMYFUNCTION("GoogleTranslate(C71, ""en"", ""pl"")"),"Kierunek wiatru")</f>
        <v>Kierunek wiatru</v>
      </c>
      <c r="AX71" s="3" t="str">
        <f>IFERROR(__xludf.DUMMYFUNCTION("GoogleTranslate(C71, ""en"", ""pt"")"),"Direção do vento")</f>
        <v>Direção do vento</v>
      </c>
      <c r="AY71" s="3" t="str">
        <f>IFERROR(__xludf.DUMMYFUNCTION("GoogleTranslate(C71, ""en"", ""ro"")"),"Direcția vântului")</f>
        <v>Direcția vântului</v>
      </c>
      <c r="AZ71" s="3" t="str">
        <f>IFERROR(__xludf.DUMMYFUNCTION("GoogleTranslate(C71, ""en"", ""ru"")"),"Направление ветра")</f>
        <v>Направление ветра</v>
      </c>
      <c r="BA71" s="3" t="str">
        <f>IFERROR(__xludf.DUMMYFUNCTION("GoogleTranslate(C71, ""en"", ""sr"")"),"Правац ветра")</f>
        <v>Правац ветра</v>
      </c>
      <c r="BB71" s="3" t="str">
        <f>IFERROR(__xludf.DUMMYFUNCTION("GoogleTranslate(C71, ""en"", ""si"")"),"සුළං දිශාව")</f>
        <v>සුළං දිශාව</v>
      </c>
      <c r="BC71" s="3" t="str">
        <f>IFERROR(__xludf.DUMMYFUNCTION("GoogleTranslate(C71, ""en"", ""sk"")"),"Smer vetra")</f>
        <v>Smer vetra</v>
      </c>
      <c r="BD71" s="3" t="str">
        <f>IFERROR(__xludf.DUMMYFUNCTION("GoogleTranslate(C71, ""en"", ""sl"")"),"Smer vetra")</f>
        <v>Smer vetra</v>
      </c>
      <c r="BE71" s="3" t="str">
        <f>IFERROR(__xludf.DUMMYFUNCTION("GoogleTranslate(C71, ""en"", ""es"")"),"Dirección del viento")</f>
        <v>Dirección del viento</v>
      </c>
      <c r="BF71" s="3" t="str">
        <f>IFERROR(__xludf.DUMMYFUNCTION("GoogleTranslate(C71, ""en"", ""sw"")"),"Mwelekeo wa upepo")</f>
        <v>Mwelekeo wa upepo</v>
      </c>
      <c r="BG71" s="3" t="str">
        <f>IFERROR(__xludf.DUMMYFUNCTION("GoogleTranslate(C71, ""en"", ""sv"")"),"Vindriktning")</f>
        <v>Vindriktning</v>
      </c>
      <c r="BH71" s="3" t="str">
        <f>IFERROR(__xludf.DUMMYFUNCTION("GoogleTranslate(C71, ""en"", ""te"")"),"గాలి దిశ")</f>
        <v>గాలి దిశ</v>
      </c>
      <c r="BI71" s="3" t="str">
        <f>IFERROR(__xludf.DUMMYFUNCTION("GoogleTranslate(C71, ""en"", ""th"")"),"ทิศทางลม")</f>
        <v>ทิศทางลม</v>
      </c>
      <c r="BJ71" s="3" t="str">
        <f>IFERROR(__xludf.DUMMYFUNCTION("GoogleTranslate(C71, ""en"", ""tr"")"),"Rüzgar yönü")</f>
        <v>Rüzgar yönü</v>
      </c>
      <c r="BK71" s="3" t="str">
        <f>IFERROR(__xludf.DUMMYFUNCTION("GoogleTranslate(C71, ""en"", ""uk"")"),"Напрямок вітру")</f>
        <v>Напрямок вітру</v>
      </c>
      <c r="BL71" s="3" t="str">
        <f>IFERROR(__xludf.DUMMYFUNCTION("GoogleTranslate(C71, ""en"", ""zu"")"),"Isiqondiso somoya")</f>
        <v>Isiqondiso somoya</v>
      </c>
    </row>
    <row r="72">
      <c r="A72" s="1" t="str">
        <f t="shared" si="1"/>
        <v>Forecast_wind_speed_and_wind_direction_in_{name}</v>
      </c>
      <c r="B72" s="4" t="s">
        <v>130</v>
      </c>
      <c r="C72" s="1" t="str">
        <f t="shared" si="2"/>
        <v>Forecast wind speed and wind direction in {name}</v>
      </c>
      <c r="D72" s="3" t="str">
        <f>IFERROR(__xludf.DUMMYFUNCTION("GoogleTranslate(C72, ""en"", ""es"")"),"Pronosticar la velocidad y dirección del viento en {nombre}")</f>
        <v>Pronosticar la velocidad y dirección del viento en {nombre}</v>
      </c>
      <c r="E72" s="3" t="str">
        <f>IFERROR(__xludf.DUMMYFUNCTION("GoogleTranslate(C72, ""en"", ""ar"")"),"توقعات سرعة الرياح واتجاه الرياح في {name}")</f>
        <v>توقعات سرعة الرياح واتجاه الرياح في {name}</v>
      </c>
      <c r="F72" s="3" t="str">
        <f>IFERROR(__xludf.DUMMYFUNCTION("GoogleTranslate(C72, ""en"", ""hy"")"),"Քամու արագության և ուղղության կանխատեսում {name}-ում")</f>
        <v>Քամու արագության և ուղղության կանխատեսում {name}-ում</v>
      </c>
      <c r="G72" s="3" t="str">
        <f>IFERROR(__xludf.DUMMYFUNCTION("GoogleTranslate(C72, ""en"", ""vi"")"),"Dự báo tốc độ gió và hướng gió tại {name}")</f>
        <v>Dự báo tốc độ gió và hướng gió tại {name}</v>
      </c>
      <c r="H72" s="3" t="str">
        <f>IFERROR(__xludf.DUMMYFUNCTION("GoogleTranslate(C72, ""en"", ""az"")"),"{name} ərazisində küləyin sürəti və küləyin istiqaməti proqnozu")</f>
        <v>{name} ərazisində küləyin sürəti və küləyin istiqaməti proqnozu</v>
      </c>
      <c r="I72" s="3" t="str">
        <f>IFERROR(__xludf.DUMMYFUNCTION("GoogleTranslate(C72, ""en"", ""eu"")"),"Iragarpena haizearen abiadura eta haizearen norabidea {name}n")</f>
        <v>Iragarpena haizearen abiadura eta haizearen norabidea {name}n</v>
      </c>
      <c r="J72" s="3" t="str">
        <f>IFERROR(__xludf.DUMMYFUNCTION("GoogleTranslate(C72, ""en"", ""be"")"),"Прагноз хуткасці і напрамку ветру ў {name}")</f>
        <v>Прагноз хуткасці і напрамку ветру ў {name}</v>
      </c>
      <c r="K72" s="3" t="str">
        <f>IFERROR(__xludf.DUMMYFUNCTION("GoogleTranslate(C72, ""en"", ""bn"")"),"{name} এ বাতাসের গতি এবং বাতাসের দিকনির্দেশের পূর্বাভাস")</f>
        <v>{name} এ বাতাসের গতি এবং বাতাসের দিকনির্দেশের পূর্বাভাস</v>
      </c>
      <c r="L72" s="3" t="str">
        <f>IFERROR(__xludf.DUMMYFUNCTION("GoogleTranslate(C72, ""en"", ""bg"")"),"Прогноза за скоростта и посоката на вятъра в {name}")</f>
        <v>Прогноза за скоростта и посоката на вятъра в {name}</v>
      </c>
      <c r="M72" s="3" t="str">
        <f>IFERROR(__xludf.DUMMYFUNCTION("GoogleTranslate(C72, ""en"", ""my"")"),"လေတိုက်နှုန်းနှင့် လေတိုက်နှုန်းကို {name} ဖြင့် ခန့်မှန်းပါ")</f>
        <v>လေတိုက်နှုန်းနှင့် လေတိုက်နှုန်းကို {name} ဖြင့် ခန့်မှန်းပါ</v>
      </c>
      <c r="N72" s="3" t="str">
        <f>IFERROR(__xludf.DUMMYFUNCTION("GoogleTranslate(C72, ""en"", ""ca"")"),"Previsió de la velocitat i la direcció del vent a {name}")</f>
        <v>Previsió de la velocitat i la direcció del vent a {name}</v>
      </c>
      <c r="O72" s="3" t="str">
        <f>IFERROR(__xludf.DUMMYFUNCTION("GoogleTranslate(C72, ""en"", ""zh-cn"")"),"预测{name}的风速和风向")</f>
        <v>预测{name}的风速和风向</v>
      </c>
      <c r="P72" s="3" t="str">
        <f>IFERROR(__xludf.DUMMYFUNCTION("GoogleTranslate(C72, ""en"", ""zh-TW"")"),"預測{name}的風速和風向")</f>
        <v>預測{name}的風速和風向</v>
      </c>
      <c r="Q72" s="3" t="str">
        <f>IFERROR(__xludf.DUMMYFUNCTION("GoogleTranslate(C72, ""en"", ""hr"")"),"Prognozirajte brzinu i smjer vjetra u {name}")</f>
        <v>Prognozirajte brzinu i smjer vjetra u {name}</v>
      </c>
      <c r="R72" s="3" t="str">
        <f>IFERROR(__xludf.DUMMYFUNCTION("GoogleTranslate(C72, ""en"", ""cs"")"),"Předpověď rychlosti a směru větru v {name}")</f>
        <v>Předpověď rychlosti a směru větru v {name}</v>
      </c>
      <c r="S72" s="3" t="str">
        <f>IFERROR(__xludf.DUMMYFUNCTION("GoogleTranslate(C72, ""en"", ""da"")"),"Forudsig vindhastighed og vindretning i {name}")</f>
        <v>Forudsig vindhastighed og vindretning i {name}</v>
      </c>
      <c r="T72" s="3" t="str">
        <f>IFERROR(__xludf.DUMMYFUNCTION("GoogleTranslate(C72, ""en"", ""nl"")"),"Verwachte windsnelheid en windrichting in {name}")</f>
        <v>Verwachte windsnelheid en windrichting in {name}</v>
      </c>
      <c r="U72" s="3" t="str">
        <f>IFERROR(__xludf.DUMMYFUNCTION("GoogleTranslate(C72, ""en"", ""et"")"),"Tuule kiiruse ja suuna prognoosimine asukohas {name}")</f>
        <v>Tuule kiiruse ja suuna prognoosimine asukohas {name}</v>
      </c>
      <c r="V72" s="1" t="str">
        <f t="shared" si="3"/>
        <v>Forecast wind speed and wind direction in {name}</v>
      </c>
      <c r="W72" s="3" t="str">
        <f>IFERROR(__xludf.DUMMYFUNCTION("GoogleTranslate(C72, ""en"", ""fi"")"),"Ennuste tuulen nopeus ja suunta paikassa {name}")</f>
        <v>Ennuste tuulen nopeus ja suunta paikassa {name}</v>
      </c>
      <c r="X72" s="3" t="str">
        <f>IFERROR(__xludf.DUMMYFUNCTION("GoogleTranslate(C72, ""en"", ""fr"")"),"Prévisions de la vitesse et de la direction du vent à {name}")</f>
        <v>Prévisions de la vitesse et de la direction du vent à {name}</v>
      </c>
      <c r="Y72" s="3" t="str">
        <f>IFERROR(__xludf.DUMMYFUNCTION("GoogleTranslate(C72, ""en"", ""de"")"),"Windgeschwindigkeit und Windrichtung in {name} vorhersagen")</f>
        <v>Windgeschwindigkeit und Windrichtung in {name} vorhersagen</v>
      </c>
      <c r="Z72" s="3" t="str">
        <f>IFERROR(__xludf.DUMMYFUNCTION("GoogleTranslate(C72, ""en"", ""el"")"),"Πρόγνωση ταχύτητας και κατεύθυνσης ανέμου στο {name}")</f>
        <v>Πρόγνωση ταχύτητας και κατεύθυνσης ανέμου στο {name}</v>
      </c>
      <c r="AA72" s="3" t="str">
        <f>IFERROR(__xludf.DUMMYFUNCTION("GoogleTranslate(C72, ""en"", ""iw"")"),"חזוי מהירות הרוח וכיוון הרוח ב-{name}")</f>
        <v>חזוי מהירות הרוח וכיוון הרוח ב-{name}</v>
      </c>
      <c r="AB72" s="3" t="str">
        <f>IFERROR(__xludf.DUMMYFUNCTION("GoogleTranslate(C72, ""en"", ""hi"")"),"{नाम} में हवा की गति और हवा की दिशा का पूर्वानुमान लगाएं")</f>
        <v>{नाम} में हवा की गति और हवा की दिशा का पूर्वानुमान लगाएं</v>
      </c>
      <c r="AC72" s="3" t="str">
        <f>IFERROR(__xludf.DUMMYFUNCTION("GoogleTranslate(C72, ""en"", ""hu"")"),"Szélsebesség és szélirány előrejelzése itt: {name}")</f>
        <v>Szélsebesség és szélirány előrejelzése itt: {name}</v>
      </c>
      <c r="AD72" s="3" t="str">
        <f>IFERROR(__xludf.DUMMYFUNCTION("GoogleTranslate(C72, ""en"", ""is"")"),"Spáðu vindhraða og vindátt í {name}")</f>
        <v>Spáðu vindhraða og vindátt í {name}</v>
      </c>
      <c r="AE72" s="3" t="str">
        <f>IFERROR(__xludf.DUMMYFUNCTION("GoogleTranslate(C72, ""en"", ""id"")"),"Prakiraan kecepatan angin dan arah angin di {name}")</f>
        <v>Prakiraan kecepatan angin dan arah angin di {name}</v>
      </c>
      <c r="AF72" s="3" t="str">
        <f>IFERROR(__xludf.DUMMYFUNCTION("GoogleTranslate(C72, ""en"", ""in"")"),"Prakiraan kecepatan angin dan arah angin di {name}")</f>
        <v>Prakiraan kecepatan angin dan arah angin di {name}</v>
      </c>
      <c r="AG72" s="3" t="str">
        <f>IFERROR(__xludf.DUMMYFUNCTION("GoogleTranslate(C72, ""en"", ""it"")"),"Prevedi la velocità e la direzione del vento a {name}")</f>
        <v>Prevedi la velocità e la direzione del vento a {name}</v>
      </c>
      <c r="AH72" s="3" t="str">
        <f>IFERROR(__xludf.DUMMYFUNCTION("GoogleTranslate(C72, ""en"", ""ja"")"),"{name}の風速と風向を予測します")</f>
        <v>{name}の風速と風向を予測します</v>
      </c>
      <c r="AI72" s="3" t="str">
        <f>IFERROR(__xludf.DUMMYFUNCTION("GoogleTranslate(C72, ""en"", ""kn"")"),"{name} ನಲ್ಲಿ ಗಾಳಿಯ ವೇಗ ಮತ್ತು ಗಾಳಿಯ ದಿಕ್ಕನ್ನು ಮುನ್ಸೂಚನೆ")</f>
        <v>{name} ನಲ್ಲಿ ಗಾಳಿಯ ವೇಗ ಮತ್ತು ಗಾಳಿಯ ದಿಕ್ಕನ್ನು ಮುನ್ಸೂಚನೆ</v>
      </c>
      <c r="AJ72" s="3" t="str">
        <f>IFERROR(__xludf.DUMMYFUNCTION("GoogleTranslate(C72, ""en"", ""km"")"),"ព្យាករណ៍ល្បឿនខ្យល់ និងទិសដៅខ្យល់ក្នុង {name}")</f>
        <v>ព្យាករណ៍ល្បឿនខ្យល់ និងទិសដៅខ្យល់ក្នុង {name}</v>
      </c>
      <c r="AK72" s="3" t="str">
        <f>IFERROR(__xludf.DUMMYFUNCTION("GoogleTranslate(C72, ""en"", ""ko"")"),"{name}의 풍속 및 풍향 예측")</f>
        <v>{name}의 풍속 및 풍향 예측</v>
      </c>
      <c r="AL72" s="3" t="str">
        <f>IFERROR(__xludf.DUMMYFUNCTION("GoogleTranslate(C72, ""en"", ""lo"")"),"ພະຍາກອນຄວາມໄວລົມ ແລະທິດທາງລົມໃນ {name}")</f>
        <v>ພະຍາກອນຄວາມໄວລົມ ແລະທິດທາງລົມໃນ {name}</v>
      </c>
      <c r="AM72" s="3" t="str">
        <f>IFERROR(__xludf.DUMMYFUNCTION("GoogleTranslate(C72, ""en"", ""lv"")"),"Prognozēt vēja ātrumu un virzienu šādā atrašanās vietā: {name}")</f>
        <v>Prognozēt vēja ātrumu un virzienu šādā atrašanās vietā: {name}</v>
      </c>
      <c r="AN72" s="3" t="str">
        <f>IFERROR(__xludf.DUMMYFUNCTION("GoogleTranslate(C72, ""en"", ""lt"")"),"Vėjo greičio ir krypties prognozė {name}")</f>
        <v>Vėjo greičio ir krypties prognozė {name}</v>
      </c>
      <c r="AO72" s="3" t="str">
        <f>IFERROR(__xludf.DUMMYFUNCTION("GoogleTranslate(C72, ""en"", ""mk"")"),"Прогноза за брзина и насока на ветерот во {name}")</f>
        <v>Прогноза за брзина и насока на ветерот во {name}</v>
      </c>
      <c r="AP72" s="3" t="str">
        <f>IFERROR(__xludf.DUMMYFUNCTION("GoogleTranslate(C72, ""en"", ""ms"")"),"Ramalan kelajuan angin dan arah angin dalam {name}")</f>
        <v>Ramalan kelajuan angin dan arah angin dalam {name}</v>
      </c>
      <c r="AQ72" s="3" t="str">
        <f>IFERROR(__xludf.DUMMYFUNCTION("GoogleTranslate(C72, ""en"", ""ml"")"),"കാറ്റിൻ്റെ വേഗതയും കാറ്റിൻ്റെ ദിശയും {name} ൽ പ്രവചിക്കുക")</f>
        <v>കാറ്റിൻ്റെ വേഗതയും കാറ്റിൻ്റെ ദിശയും {name} ൽ പ്രവചിക്കുക</v>
      </c>
      <c r="AR72" s="3" t="str">
        <f>IFERROR(__xludf.DUMMYFUNCTION("GoogleTranslate(C72, ""en"", ""mr"")"),"{name} मध्ये वाऱ्याचा वेग आणि वाऱ्याची दिशा अंदाज")</f>
        <v>{name} मध्ये वाऱ्याचा वेग आणि वाऱ्याची दिशा अंदाज</v>
      </c>
      <c r="AS72" s="3" t="str">
        <f>IFERROR(__xludf.DUMMYFUNCTION("GoogleTranslate(C72, ""en"", ""mn"")"),"{name} дахь салхины хурд болон салхины чиглэлийн урьдчилсан мэдээ")</f>
        <v>{name} дахь салхины хурд болон салхины чиглэлийн урьдчилсан мэдээ</v>
      </c>
      <c r="AT72" s="3" t="str">
        <f>IFERROR(__xludf.DUMMYFUNCTION("GoogleTranslate(C72, ""en"", ""ne"")"),"हावाको गति र हावाको दिशा {name} मा पूर्वानुमान गर्नुहोस्")</f>
        <v>हावाको गति र हावाको दिशा {name} मा पूर्वानुमान गर्नुहोस्</v>
      </c>
      <c r="AU72" s="3" t="str">
        <f>IFERROR(__xludf.DUMMYFUNCTION("GoogleTranslate(C72, ""en"", ""nb"")"),"Varsel vindhastighet og vindretning i {name}")</f>
        <v>Varsel vindhastighet og vindretning i {name}</v>
      </c>
      <c r="AV72" s="3" t="str">
        <f>IFERROR(__xludf.DUMMYFUNCTION("GoogleTranslate(C72, ""en"", ""fa"")"),"پیش بینی سرعت باد و جهت باد در {name}")</f>
        <v>پیش بینی سرعت باد و جهت باد در {name}</v>
      </c>
      <c r="AW72" s="3" t="str">
        <f>IFERROR(__xludf.DUMMYFUNCTION("GoogleTranslate(C72, ""en"", ""pl"")"),"Prognozowana prędkość i kierunek wiatru w {name}")</f>
        <v>Prognozowana prędkość i kierunek wiatru w {name}</v>
      </c>
      <c r="AX72" s="3" t="str">
        <f>IFERROR(__xludf.DUMMYFUNCTION("GoogleTranslate(C72, ""en"", ""pt"")"),"Previsão da velocidade e direção do vento em {nome}")</f>
        <v>Previsão da velocidade e direção do vento em {nome}</v>
      </c>
      <c r="AY72" s="3" t="str">
        <f>IFERROR(__xludf.DUMMYFUNCTION("GoogleTranslate(C72, ""en"", ""ro"")"),"Prognozați viteza și direcția vântului în {name}")</f>
        <v>Prognozați viteza și direcția vântului în {name}</v>
      </c>
      <c r="AZ72" s="3" t="str">
        <f>IFERROR(__xludf.DUMMYFUNCTION("GoogleTranslate(C72, ""en"", ""ru"")"),"Прогноз скорости и направления ветра в {name}")</f>
        <v>Прогноз скорости и направления ветра в {name}</v>
      </c>
      <c r="BA72" s="3" t="str">
        <f>IFERROR(__xludf.DUMMYFUNCTION("GoogleTranslate(C72, ""en"", ""sr"")"),"Прогноза брзине и смера ветра за {наме}")</f>
        <v>Прогноза брзине и смера ветра за {наме}</v>
      </c>
      <c r="BB72" s="3" t="str">
        <f>IFERROR(__xludf.DUMMYFUNCTION("GoogleTranslate(C72, ""en"", ""si"")"),"{name} හි සුළගේ වේගය සහ සුළං දිශාව පුරෝකථනය කරන්න")</f>
        <v>{name} හි සුළගේ වේගය සහ සුළං දිශාව පුරෝකථනය කරන්න</v>
      </c>
      <c r="BC72" s="3" t="str">
        <f>IFERROR(__xludf.DUMMYFUNCTION("GoogleTranslate(C72, ""en"", ""sk"")"),"Predpoveď rýchlosti a smeru vetra v meste {name}")</f>
        <v>Predpoveď rýchlosti a smeru vetra v meste {name}</v>
      </c>
      <c r="BD72" s="3" t="str">
        <f>IFERROR(__xludf.DUMMYFUNCTION("GoogleTranslate(C72, ""en"", ""sl"")"),"Napoved hitrosti in smeri vetra v {name}")</f>
        <v>Napoved hitrosti in smeri vetra v {name}</v>
      </c>
      <c r="BE72" s="3" t="str">
        <f>IFERROR(__xludf.DUMMYFUNCTION("GoogleTranslate(C72, ""en"", ""es"")"),"Pronosticar la velocidad y dirección del viento en {nombre}")</f>
        <v>Pronosticar la velocidad y dirección del viento en {nombre}</v>
      </c>
      <c r="BF72" s="3" t="str">
        <f>IFERROR(__xludf.DUMMYFUNCTION("GoogleTranslate(C72, ""en"", ""sw"")"),"Utabiri wa kasi ya upepo na mwelekeo wa upepo katika {name}")</f>
        <v>Utabiri wa kasi ya upepo na mwelekeo wa upepo katika {name}</v>
      </c>
      <c r="BG72" s="3" t="str">
        <f>IFERROR(__xludf.DUMMYFUNCTION("GoogleTranslate(C72, ""en"", ""sv"")"),"Prognostisera vindhastighet och vindriktning i {name}")</f>
        <v>Prognostisera vindhastighet och vindriktning i {name}</v>
      </c>
      <c r="BH72" s="3" t="str">
        <f>IFERROR(__xludf.DUMMYFUNCTION("GoogleTranslate(C72, ""en"", ""te"")"),"{name}లో గాలి వేగం మరియు గాలి దిశను అంచనా వేయండి")</f>
        <v>{name}లో గాలి వేగం మరియు గాలి దిశను అంచనా వేయండి</v>
      </c>
      <c r="BI72" s="3" t="str">
        <f>IFERROR(__xludf.DUMMYFUNCTION("GoogleTranslate(C72, ""en"", ""th"")"),"พยากรณ์ความเร็วลมและทิศทางลมใน {name}")</f>
        <v>พยากรณ์ความเร็วลมและทิศทางลมใน {name}</v>
      </c>
      <c r="BJ72" s="3" t="str">
        <f>IFERROR(__xludf.DUMMYFUNCTION("GoogleTranslate(C72, ""en"", ""tr"")"),"{name} için tahmini rüzgar hızı ve rüzgar yönü")</f>
        <v>{name} için tahmini rüzgar hızı ve rüzgar yönü</v>
      </c>
      <c r="BK72" s="3" t="str">
        <f>IFERROR(__xludf.DUMMYFUNCTION("GoogleTranslate(C72, ""en"", ""uk"")"),"Прогноз швидкості та напрямку вітру в {name}")</f>
        <v>Прогноз швидкості та напрямку вітру в {name}</v>
      </c>
      <c r="BL72" s="3" t="str">
        <f>IFERROR(__xludf.DUMMYFUNCTION("GoogleTranslate(C72, ""en"", ""zu"")"),"Isibikezelo sesivinini somoya nesiqondiso somoya e-{name}")</f>
        <v>Isibikezelo sesivinini somoya nesiqondiso somoya e-{name}</v>
      </c>
    </row>
    <row r="73">
      <c r="A73" s="1" t="str">
        <f t="shared" si="1"/>
        <v>Humidity_in_the_coming_hours_in_{name}</v>
      </c>
      <c r="B73" s="4" t="s">
        <v>131</v>
      </c>
      <c r="C73" s="1" t="str">
        <f t="shared" si="2"/>
        <v>Humidity in the coming hours in {name}</v>
      </c>
      <c r="D73" s="3" t="str">
        <f>IFERROR(__xludf.DUMMYFUNCTION("GoogleTranslate(C73, ""en"", ""es"")"),"Humedad en las próximas horas en {nombre}")</f>
        <v>Humedad en las próximas horas en {nombre}</v>
      </c>
      <c r="E73" s="3" t="str">
        <f>IFERROR(__xludf.DUMMYFUNCTION("GoogleTranslate(C73, ""en"", ""ar"")"),"الرطوبة خلال الساعات القادمة في {الاسم}")</f>
        <v>الرطوبة خلال الساعات القادمة في {الاسم}</v>
      </c>
      <c r="F73" s="3" t="str">
        <f>IFERROR(__xludf.DUMMYFUNCTION("GoogleTranslate(C73, ""en"", ""hy"")"),"Խոնավությունը առաջիկա ժամերին {name}-ում")</f>
        <v>Խոնավությունը առաջիկա ժամերին {name}-ում</v>
      </c>
      <c r="G73" s="3" t="str">
        <f>IFERROR(__xludf.DUMMYFUNCTION("GoogleTranslate(C73, ""en"", ""vi"")"),"Độ ẩm trong những giờ tới ở {name}")</f>
        <v>Độ ẩm trong những giờ tới ở {name}</v>
      </c>
      <c r="H73" s="3" t="str">
        <f>IFERROR(__xludf.DUMMYFUNCTION("GoogleTranslate(C73, ""en"", ""az"")"),"{name} ərazisində yaxın saatlarda rütubət")</f>
        <v>{name} ərazisində yaxın saatlarda rütubət</v>
      </c>
      <c r="I73" s="3" t="str">
        <f>IFERROR(__xludf.DUMMYFUNCTION("GoogleTranslate(C73, ""en"", ""eu"")"),"Hezetasuna datozen orduetan {name}-n")</f>
        <v>Hezetasuna datozen orduetan {name}-n</v>
      </c>
      <c r="J73" s="3" t="str">
        <f>IFERROR(__xludf.DUMMYFUNCTION("GoogleTranslate(C73, ""en"", ""be"")"),"Вільготнасць у бліжэйшыя гадзіны ў {name}")</f>
        <v>Вільготнасць у бліжэйшыя гадзіны ў {name}</v>
      </c>
      <c r="K73" s="3" t="str">
        <f>IFERROR(__xludf.DUMMYFUNCTION("GoogleTranslate(C73, ""en"", ""bn"")"),"{name} এ আগামী ঘণ্টায় আর্দ্রতা")</f>
        <v>{name} এ আগামী ঘণ্টায় আর্দ্রতা</v>
      </c>
      <c r="L73" s="3" t="str">
        <f>IFERROR(__xludf.DUMMYFUNCTION("GoogleTranslate(C73, ""en"", ""bg"")"),"Влажност през следващите часове в {name}")</f>
        <v>Влажност през следващите часове в {name}</v>
      </c>
      <c r="M73" s="3" t="str">
        <f>IFERROR(__xludf.DUMMYFUNCTION("GoogleTranslate(C73, ""en"", ""my"")"),"လာမည့်နာရီများတွင် {name} တွင် စိုထိုင်းဆ")</f>
        <v>လာမည့်နာရီများတွင် {name} တွင် စိုထိုင်းဆ</v>
      </c>
      <c r="N73" s="3" t="str">
        <f>IFERROR(__xludf.DUMMYFUNCTION("GoogleTranslate(C73, ""en"", ""ca"")"),"Humitat en les properes hores a {name}")</f>
        <v>Humitat en les properes hores a {name}</v>
      </c>
      <c r="O73" s="3" t="str">
        <f>IFERROR(__xludf.DUMMYFUNCTION("GoogleTranslate(C73, ""en"", ""zh-cn"")"),"未来几小时内{name}的湿度")</f>
        <v>未来几小时内{name}的湿度</v>
      </c>
      <c r="P73" s="3" t="str">
        <f>IFERROR(__xludf.DUMMYFUNCTION("GoogleTranslate(C73, ""en"", ""zh-TW"")"),"未來幾小時內{name}的濕度")</f>
        <v>未來幾小時內{name}的濕度</v>
      </c>
      <c r="Q73" s="3" t="str">
        <f>IFERROR(__xludf.DUMMYFUNCTION("GoogleTranslate(C73, ""en"", ""hr"")"),"Vlažnost u sljedećim satima u {name}")</f>
        <v>Vlažnost u sljedećim satima u {name}</v>
      </c>
      <c r="R73" s="3" t="str">
        <f>IFERROR(__xludf.DUMMYFUNCTION("GoogleTranslate(C73, ""en"", ""cs"")"),"Vlhkost v nadcházejících hodinách v {name}")</f>
        <v>Vlhkost v nadcházejících hodinách v {name}</v>
      </c>
      <c r="S73" s="3" t="str">
        <f>IFERROR(__xludf.DUMMYFUNCTION("GoogleTranslate(C73, ""en"", ""da"")"),"Fugtighed i de kommende timer i {name}")</f>
        <v>Fugtighed i de kommende timer i {name}</v>
      </c>
      <c r="T73" s="3" t="str">
        <f>IFERROR(__xludf.DUMMYFUNCTION("GoogleTranslate(C73, ""en"", ""nl"")"),"Luchtvochtigheid de komende uren in {name}")</f>
        <v>Luchtvochtigheid de komende uren in {name}</v>
      </c>
      <c r="U73" s="3" t="str">
        <f>IFERROR(__xludf.DUMMYFUNCTION("GoogleTranslate(C73, ""en"", ""et"")"),"Niiskus lähitundidel asukohas {name}")</f>
        <v>Niiskus lähitundidel asukohas {name}</v>
      </c>
      <c r="V73" s="1" t="str">
        <f t="shared" si="3"/>
        <v>Humidity in the coming hours in {name}</v>
      </c>
      <c r="W73" s="3" t="str">
        <f>IFERROR(__xludf.DUMMYFUNCTION("GoogleTranslate(C73, ""en"", ""fi"")"),"Kosteus lähiaikoina paikassa {name}")</f>
        <v>Kosteus lähiaikoina paikassa {name}</v>
      </c>
      <c r="X73" s="3" t="str">
        <f>IFERROR(__xludf.DUMMYFUNCTION("GoogleTranslate(C73, ""en"", ""fr"")"),"Humidité dans les prochaines heures à {name}")</f>
        <v>Humidité dans les prochaines heures à {name}</v>
      </c>
      <c r="Y73" s="3" t="str">
        <f>IFERROR(__xludf.DUMMYFUNCTION("GoogleTranslate(C73, ""en"", ""de"")"),"Luftfeuchtigkeit in den kommenden Stunden in {name}")</f>
        <v>Luftfeuchtigkeit in den kommenden Stunden in {name}</v>
      </c>
      <c r="Z73" s="3" t="str">
        <f>IFERROR(__xludf.DUMMYFUNCTION("GoogleTranslate(C73, ""en"", ""el"")"),"Υγρασία τις επόμενες ώρες στο {name}")</f>
        <v>Υγρασία τις επόμενες ώρες στο {name}</v>
      </c>
      <c r="AA73" s="3" t="str">
        <f>IFERROR(__xludf.DUMMYFUNCTION("GoogleTranslate(C73, ""en"", ""iw"")"),"לחות בשעות הקרובות ב-{name}")</f>
        <v>לחות בשעות הקרובות ב-{name}</v>
      </c>
      <c r="AB73" s="3" t="str">
        <f>IFERROR(__xludf.DUMMYFUNCTION("GoogleTranslate(C73, ""en"", ""hi"")"),"{नाम} में आने वाले घंटों में आर्द्रता")</f>
        <v>{नाम} में आने वाले घंटों में आर्द्रता</v>
      </c>
      <c r="AC73" s="3" t="str">
        <f>IFERROR(__xludf.DUMMYFUNCTION("GoogleTranslate(C73, ""en"", ""hu"")"),"Páratartalom a következő órákban itt: {name}")</f>
        <v>Páratartalom a következő órákban itt: {name}</v>
      </c>
      <c r="AD73" s="3" t="str">
        <f>IFERROR(__xludf.DUMMYFUNCTION("GoogleTranslate(C73, ""en"", ""is"")"),"Raki á næstu klukkustundum í {name}")</f>
        <v>Raki á næstu klukkustundum í {name}</v>
      </c>
      <c r="AE73" s="3" t="str">
        <f>IFERROR(__xludf.DUMMYFUNCTION("GoogleTranslate(C73, ""en"", ""id"")"),"Kelembapan dalam beberapa jam mendatang di {name}")</f>
        <v>Kelembapan dalam beberapa jam mendatang di {name}</v>
      </c>
      <c r="AF73" s="3" t="str">
        <f>IFERROR(__xludf.DUMMYFUNCTION("GoogleTranslate(C73, ""en"", ""in"")"),"Kelembapan dalam beberapa jam mendatang di {name}")</f>
        <v>Kelembapan dalam beberapa jam mendatang di {name}</v>
      </c>
      <c r="AG73" s="3" t="str">
        <f>IFERROR(__xludf.DUMMYFUNCTION("GoogleTranslate(C73, ""en"", ""it"")"),"Umidità nelle prossime ore a {name}")</f>
        <v>Umidità nelle prossime ore a {name}</v>
      </c>
      <c r="AH73" s="3" t="str">
        <f>IFERROR(__xludf.DUMMYFUNCTION("GoogleTranslate(C73, ""en"", ""ja"")"),"{name}の今後数時間の湿度")</f>
        <v>{name}の今後数時間の湿度</v>
      </c>
      <c r="AI73" s="3" t="str">
        <f>IFERROR(__xludf.DUMMYFUNCTION("GoogleTranslate(C73, ""en"", ""kn"")"),"{name} ನಲ್ಲಿ ಮುಂಬರುವ ಗಂಟೆಗಳಲ್ಲಿ ಆರ್ದ್ರತೆ")</f>
        <v>{name} ನಲ್ಲಿ ಮುಂಬರುವ ಗಂಟೆಗಳಲ್ಲಿ ಆರ್ದ್ರತೆ</v>
      </c>
      <c r="AJ73" s="3" t="str">
        <f>IFERROR(__xludf.DUMMYFUNCTION("GoogleTranslate(C73, ""en"", ""km"")"),"សំណើមនៅប៉ុន្មានម៉ោងខាងមុខនៅក្នុង {name}")</f>
        <v>សំណើមនៅប៉ុន្មានម៉ោងខាងមុខនៅក្នុង {name}</v>
      </c>
      <c r="AK73" s="3" t="str">
        <f>IFERROR(__xludf.DUMMYFUNCTION("GoogleTranslate(C73, ""en"", ""ko"")"),"{name} 지역은 앞으로 몇 시간 동안 습도가 높아질 예정입니다")</f>
        <v>{name} 지역은 앞으로 몇 시간 동안 습도가 높아질 예정입니다</v>
      </c>
      <c r="AL73" s="3" t="str">
        <f>IFERROR(__xludf.DUMMYFUNCTION("GoogleTranslate(C73, ""en"", ""lo"")"),"ຄວາມຊຸ່ມຊື່ນໃນຊົ່ວໂມງຂ້າງຫນ້າໃນ {name}")</f>
        <v>ຄວາມຊຸ່ມຊື່ນໃນຊົ່ວໂມງຂ້າງຫນ້າໃນ {name}</v>
      </c>
      <c r="AM73" s="3" t="str">
        <f>IFERROR(__xludf.DUMMYFUNCTION("GoogleTranslate(C73, ""en"", ""lv"")"),"Mitrums tuvākajās stundās šeit: {name}")</f>
        <v>Mitrums tuvākajās stundās šeit: {name}</v>
      </c>
      <c r="AN73" s="3" t="str">
        <f>IFERROR(__xludf.DUMMYFUNCTION("GoogleTranslate(C73, ""en"", ""lt"")"),"Drėgmė artimiausiomis valandomis {name}")</f>
        <v>Drėgmė artimiausiomis valandomis {name}</v>
      </c>
      <c r="AO73" s="3" t="str">
        <f>IFERROR(__xludf.DUMMYFUNCTION("GoogleTranslate(C73, ""en"", ""mk"")"),"Влажност во наредните часови во {name}")</f>
        <v>Влажност во наредните часови во {name}</v>
      </c>
      <c r="AP73" s="3" t="str">
        <f>IFERROR(__xludf.DUMMYFUNCTION("GoogleTranslate(C73, ""en"", ""ms"")"),"Kelembapan dalam beberapa jam akan datang di {name}")</f>
        <v>Kelembapan dalam beberapa jam akan datang di {name}</v>
      </c>
      <c r="AQ73" s="3" t="str">
        <f>IFERROR(__xludf.DUMMYFUNCTION("GoogleTranslate(C73, ""en"", ""ml"")"),"{name} എന്ന സ്ഥലത്ത് വരും മണിക്കൂറുകളിൽ ഈർപ്പം")</f>
        <v>{name} എന്ന സ്ഥലത്ത് വരും മണിക്കൂറുകളിൽ ഈർപ്പം</v>
      </c>
      <c r="AR73" s="3" t="str">
        <f>IFERROR(__xludf.DUMMYFUNCTION("GoogleTranslate(C73, ""en"", ""mr"")"),"{name} मध्ये येत्या काही तासांत आर्द्रता")</f>
        <v>{name} मध्ये येत्या काही तासांत आर्द्रता</v>
      </c>
      <c r="AS73" s="3" t="str">
        <f>IFERROR(__xludf.DUMMYFUNCTION("GoogleTranslate(C73, ""en"", ""mn"")"),"{name}-д ойрын цагийн чийгшил")</f>
        <v>{name}-д ойрын цагийн чийгшил</v>
      </c>
      <c r="AT73" s="3" t="str">
        <f>IFERROR(__xludf.DUMMYFUNCTION("GoogleTranslate(C73, ""en"", ""ne"")"),"{name} मा आगामी घण्टामा आर्द्रता")</f>
        <v>{name} मा आगामी घण्टामा आर्द्रता</v>
      </c>
      <c r="AU73" s="3" t="str">
        <f>IFERROR(__xludf.DUMMYFUNCTION("GoogleTranslate(C73, ""en"", ""nb"")"),"Fuktighet de kommende timene i {name}")</f>
        <v>Fuktighet de kommende timene i {name}</v>
      </c>
      <c r="AV73" s="3" t="str">
        <f>IFERROR(__xludf.DUMMYFUNCTION("GoogleTranslate(C73, ""en"", ""fa"")"),"رطوبت در ساعات آینده در {name}")</f>
        <v>رطوبت در ساعات آینده در {name}</v>
      </c>
      <c r="AW73" s="3" t="str">
        <f>IFERROR(__xludf.DUMMYFUNCTION("GoogleTranslate(C73, ""en"", ""pl"")"),"Wilgotność w nadchodzących godzinach w {name}")</f>
        <v>Wilgotność w nadchodzących godzinach w {name}</v>
      </c>
      <c r="AX73" s="3" t="str">
        <f>IFERROR(__xludf.DUMMYFUNCTION("GoogleTranslate(C73, ""en"", ""pt"")"),"Umidade nas próximas horas em {name}")</f>
        <v>Umidade nas próximas horas em {name}</v>
      </c>
      <c r="AY73" s="3" t="str">
        <f>IFERROR(__xludf.DUMMYFUNCTION("GoogleTranslate(C73, ""en"", ""ro"")"),"Umiditate în următoarele ore în {name}")</f>
        <v>Umiditate în următoarele ore în {name}</v>
      </c>
      <c r="AZ73" s="3" t="str">
        <f>IFERROR(__xludf.DUMMYFUNCTION("GoogleTranslate(C73, ""en"", ""ru"")"),"Влажность в ближайшие часы в {name}")</f>
        <v>Влажность в ближайшие часы в {name}</v>
      </c>
      <c r="BA73" s="3" t="str">
        <f>IFERROR(__xludf.DUMMYFUNCTION("GoogleTranslate(C73, ""en"", ""sr"")"),"Влажност у наредним сатима у {наме}")</f>
        <v>Влажност у наредним сатима у {наме}</v>
      </c>
      <c r="BB73" s="3" t="str">
        <f>IFERROR(__xludf.DUMMYFUNCTION("GoogleTranslate(C73, ""en"", ""si"")"),"{name} හි ඉදිරි පැය වල ආර්ද්‍රතාවය")</f>
        <v>{name} හි ඉදිරි පැය වල ආර්ද්‍රතාවය</v>
      </c>
      <c r="BC73" s="3" t="str">
        <f>IFERROR(__xludf.DUMMYFUNCTION("GoogleTranslate(C73, ""en"", ""sk"")"),"Vlhkosť v najbližších hodinách v meste {name}")</f>
        <v>Vlhkosť v najbližších hodinách v meste {name}</v>
      </c>
      <c r="BD73" s="3" t="str">
        <f>IFERROR(__xludf.DUMMYFUNCTION("GoogleTranslate(C73, ""en"", ""sl"")"),"Vlažnost v prihodnjih urah v {name}")</f>
        <v>Vlažnost v prihodnjih urah v {name}</v>
      </c>
      <c r="BE73" s="3" t="str">
        <f>IFERROR(__xludf.DUMMYFUNCTION("GoogleTranslate(C73, ""en"", ""es"")"),"Humedad en las próximas horas en {nombre}")</f>
        <v>Humedad en las próximas horas en {nombre}</v>
      </c>
      <c r="BF73" s="3" t="str">
        <f>IFERROR(__xludf.DUMMYFUNCTION("GoogleTranslate(C73, ""en"", ""sw"")"),"Unyevu katika saa zijazo katika {name}")</f>
        <v>Unyevu katika saa zijazo katika {name}</v>
      </c>
      <c r="BG73" s="3" t="str">
        <f>IFERROR(__xludf.DUMMYFUNCTION("GoogleTranslate(C73, ""en"", ""sv"")"),"Fuktighet under de kommande timmarna i {name}")</f>
        <v>Fuktighet under de kommande timmarna i {name}</v>
      </c>
      <c r="BH73" s="3" t="str">
        <f>IFERROR(__xludf.DUMMYFUNCTION("GoogleTranslate(C73, ""en"", ""te"")"),"{name}లో రాబోయే గంటలలో తేమ")</f>
        <v>{name}లో రాబోయే గంటలలో తేమ</v>
      </c>
      <c r="BI73" s="3" t="str">
        <f>IFERROR(__xludf.DUMMYFUNCTION("GoogleTranslate(C73, ""en"", ""th"")"),"ความชื้นในอีกไม่กี่ชั่วโมงข้างหน้าใน {name}")</f>
        <v>ความชื้นในอีกไม่กี่ชั่วโมงข้างหน้าใน {name}</v>
      </c>
      <c r="BJ73" s="3" t="str">
        <f>IFERROR(__xludf.DUMMYFUNCTION("GoogleTranslate(C73, ""en"", ""tr"")"),"{name} için önümüzdeki saatlerde nem oranı")</f>
        <v>{name} için önümüzdeki saatlerde nem oranı</v>
      </c>
      <c r="BK73" s="3" t="str">
        <f>IFERROR(__xludf.DUMMYFUNCTION("GoogleTranslate(C73, ""en"", ""uk"")"),"Вологість у найближчі години в {name}")</f>
        <v>Вологість у найближчі години в {name}</v>
      </c>
      <c r="BL73" s="3" t="str">
        <f>IFERROR(__xludf.DUMMYFUNCTION("GoogleTranslate(C73, ""en"", ""zu"")"),"Umswakamo emahoreni azayo e-{name}")</f>
        <v>Umswakamo emahoreni azayo e-{name}</v>
      </c>
    </row>
    <row r="74">
      <c r="A74" s="1" t="str">
        <f t="shared" si="1"/>
        <v>Cloud_cover_in_the_coming_hours_in_{name}</v>
      </c>
      <c r="B74" s="4" t="s">
        <v>132</v>
      </c>
      <c r="C74" s="1" t="str">
        <f t="shared" si="2"/>
        <v>Cloud cover in the coming hours in {name}</v>
      </c>
      <c r="D74" s="3" t="str">
        <f>IFERROR(__xludf.DUMMYFUNCTION("GoogleTranslate(C74, ""en"", ""es"")"),"Nubosidad en las próximas horas en {nombre}")</f>
        <v>Nubosidad en las próximas horas en {nombre}</v>
      </c>
      <c r="E74" s="3" t="str">
        <f>IFERROR(__xludf.DUMMYFUNCTION("GoogleTranslate(C74, ""en"", ""ar"")"),"غطاء سحابي خلال الساعات القادمة في {الاسم}")</f>
        <v>غطاء سحابي خلال الساعات القادمة في {الاسم}</v>
      </c>
      <c r="F74" s="3" t="str">
        <f>IFERROR(__xludf.DUMMYFUNCTION("GoogleTranslate(C74, ""en"", ""hy"")"),"Ամպային ծածկույթ առաջիկա ժամերին {name}-ում")</f>
        <v>Ամպային ծածկույթ առաջիկա ժամերին {name}-ում</v>
      </c>
      <c r="G74" s="3" t="str">
        <f>IFERROR(__xludf.DUMMYFUNCTION("GoogleTranslate(C74, ""en"", ""vi"")"),"Mây che phủ trong những giờ tới ở {name}")</f>
        <v>Mây che phủ trong những giờ tới ở {name}</v>
      </c>
      <c r="H74" s="3" t="str">
        <f>IFERROR(__xludf.DUMMYFUNCTION("GoogleTranslate(C74, ""en"", ""az"")"),"{name} ərazisində yaxın saatlarda bulud örtüyü")</f>
        <v>{name} ərazisində yaxın saatlarda bulud örtüyü</v>
      </c>
      <c r="I74" s="3" t="str">
        <f>IFERROR(__xludf.DUMMYFUNCTION("GoogleTranslate(C74, ""en"", ""eu"")"),"Laino-estaldura datozen orduetan {name}-n")</f>
        <v>Laino-estaldura datozen orduetan {name}-n</v>
      </c>
      <c r="J74" s="3" t="str">
        <f>IFERROR(__xludf.DUMMYFUNCTION("GoogleTranslate(C74, ""en"", ""be"")"),"Воблачнасць у бліжэйшыя гадзіны ў {name}")</f>
        <v>Воблачнасць у бліжэйшыя гадзіны ў {name}</v>
      </c>
      <c r="K74" s="3" t="str">
        <f>IFERROR(__xludf.DUMMYFUNCTION("GoogleTranslate(C74, ""en"", ""bn"")"),"আগামী ঘন্টায় {name} এ মেঘের আচ্ছাদন")</f>
        <v>আগামী ঘন্টায় {name} এ মেঘের আচ্ছাদন</v>
      </c>
      <c r="L74" s="3" t="str">
        <f>IFERROR(__xludf.DUMMYFUNCTION("GoogleTranslate(C74, ""en"", ""bg"")"),"Облачно покритие през следващите часове в {name}")</f>
        <v>Облачно покритие през следващите часове в {name}</v>
      </c>
      <c r="M74" s="3" t="str">
        <f>IFERROR(__xludf.DUMMYFUNCTION("GoogleTranslate(C74, ""en"", ""my"")"),"လာမည့်နာရီများတွင် {name} ဖြင့် တိမ်ဖုံးသည်")</f>
        <v>လာမည့်နာရီများတွင် {name} ဖြင့် တိမ်ဖုံးသည်</v>
      </c>
      <c r="N74" s="3" t="str">
        <f>IFERROR(__xludf.DUMMYFUNCTION("GoogleTranslate(C74, ""en"", ""ca"")"),"Coberta de núvols en les properes hores a {name}")</f>
        <v>Coberta de núvols en les properes hores a {name}</v>
      </c>
      <c r="O74" s="3" t="str">
        <f>IFERROR(__xludf.DUMMYFUNCTION("GoogleTranslate(C74, ""en"", ""zh-cn"")"),"未来几小时内{name}将有云层覆盖")</f>
        <v>未来几小时内{name}将有云层覆盖</v>
      </c>
      <c r="P74" s="3" t="str">
        <f>IFERROR(__xludf.DUMMYFUNCTION("GoogleTranslate(C74, ""en"", ""zh-TW"")"),"未來幾小時內{name}將有雲覆蓋")</f>
        <v>未來幾小時內{name}將有雲覆蓋</v>
      </c>
      <c r="Q74" s="3" t="str">
        <f>IFERROR(__xludf.DUMMYFUNCTION("GoogleTranslate(C74, ""en"", ""hr"")"),"Naoblaka u sljedećim satima u {name}")</f>
        <v>Naoblaka u sljedećim satima u {name}</v>
      </c>
      <c r="R74" s="3" t="str">
        <f>IFERROR(__xludf.DUMMYFUNCTION("GoogleTranslate(C74, ""en"", ""cs"")"),"Oblačnost v nadcházejících hodinách v {name}")</f>
        <v>Oblačnost v nadcházejících hodinách v {name}</v>
      </c>
      <c r="S74" s="3" t="str">
        <f>IFERROR(__xludf.DUMMYFUNCTION("GoogleTranslate(C74, ""en"", ""da"")"),"Skydække i de kommende timer i {name}")</f>
        <v>Skydække i de kommende timer i {name}</v>
      </c>
      <c r="T74" s="3" t="str">
        <f>IFERROR(__xludf.DUMMYFUNCTION("GoogleTranslate(C74, ""en"", ""nl"")"),"Bewolking de komende uren in {name}")</f>
        <v>Bewolking de komende uren in {name}</v>
      </c>
      <c r="U74" s="3" t="str">
        <f>IFERROR(__xludf.DUMMYFUNCTION("GoogleTranslate(C74, ""en"", ""et"")"),"Pilvkate lähitundidel asukohas {name}")</f>
        <v>Pilvkate lähitundidel asukohas {name}</v>
      </c>
      <c r="V74" s="1" t="str">
        <f t="shared" si="3"/>
        <v>Cloud cover in the coming hours in {name}</v>
      </c>
      <c r="W74" s="3" t="str">
        <f>IFERROR(__xludf.DUMMYFUNCTION("GoogleTranslate(C74, ""en"", ""fi"")"),"Pilvipeite lähiaikoina paikassa {name}")</f>
        <v>Pilvipeite lähiaikoina paikassa {name}</v>
      </c>
      <c r="X74" s="3" t="str">
        <f>IFERROR(__xludf.DUMMYFUNCTION("GoogleTranslate(C74, ""en"", ""fr"")"),"Couverture nuageuse dans les prochaines heures à {name}")</f>
        <v>Couverture nuageuse dans les prochaines heures à {name}</v>
      </c>
      <c r="Y74" s="3" t="str">
        <f>IFERROR(__xludf.DUMMYFUNCTION("GoogleTranslate(C74, ""en"", ""de"")"),"Bewölkung in den kommenden Stunden in {name}")</f>
        <v>Bewölkung in den kommenden Stunden in {name}</v>
      </c>
      <c r="Z74" s="3" t="str">
        <f>IFERROR(__xludf.DUMMYFUNCTION("GoogleTranslate(C74, ""en"", ""el"")"),"Cloud cover τις επόμενες ώρες στο {name}")</f>
        <v>Cloud cover τις επόμενες ώρες στο {name}</v>
      </c>
      <c r="AA74" s="3" t="str">
        <f>IFERROR(__xludf.DUMMYFUNCTION("GoogleTranslate(C74, ""en"", ""iw"")"),"כיסוי עננים בשעות הקרובות ב-{name}")</f>
        <v>כיסוי עננים בשעות הקרובות ב-{name}</v>
      </c>
      <c r="AB74" s="3" t="str">
        <f>IFERROR(__xludf.DUMMYFUNCTION("GoogleTranslate(C74, ""en"", ""hi"")"),"{नाम} में आने वाले घंटों में बादल छाए रहेंगे")</f>
        <v>{नाम} में आने वाले घंटों में बादल छाए रहेंगे</v>
      </c>
      <c r="AC74" s="3" t="str">
        <f>IFERROR(__xludf.DUMMYFUNCTION("GoogleTranslate(C74, ""en"", ""hu"")"),"Felhőzet a következő órákban itt: {name}")</f>
        <v>Felhőzet a következő órákban itt: {name}</v>
      </c>
      <c r="AD74" s="3" t="str">
        <f>IFERROR(__xludf.DUMMYFUNCTION("GoogleTranslate(C74, ""en"", ""is"")"),"Skýjahula á næstu klukkustundum í {name}")</f>
        <v>Skýjahula á næstu klukkustundum í {name}</v>
      </c>
      <c r="AE74" s="3" t="str">
        <f>IFERROR(__xludf.DUMMYFUNCTION("GoogleTranslate(C74, ""en"", ""id"")"),"Tutupan awan dalam beberapa jam mendatang di {name}")</f>
        <v>Tutupan awan dalam beberapa jam mendatang di {name}</v>
      </c>
      <c r="AF74" s="3" t="str">
        <f>IFERROR(__xludf.DUMMYFUNCTION("GoogleTranslate(C74, ""en"", ""in"")"),"Tutupan awan dalam beberapa jam mendatang di {name}")</f>
        <v>Tutupan awan dalam beberapa jam mendatang di {name}</v>
      </c>
      <c r="AG74" s="3" t="str">
        <f>IFERROR(__xludf.DUMMYFUNCTION("GoogleTranslate(C74, ""en"", ""it"")"),"Nuvolosità nelle prossime ore a {name}")</f>
        <v>Nuvolosità nelle prossime ore a {name}</v>
      </c>
      <c r="AH74" s="3" t="str">
        <f>IFERROR(__xludf.DUMMYFUNCTION("GoogleTranslate(C74, ""en"", ""ja"")"),"{name}では今後数時間の雲量が予想されます")</f>
        <v>{name}では今後数時間の雲量が予想されます</v>
      </c>
      <c r="AI74" s="3" t="str">
        <f>IFERROR(__xludf.DUMMYFUNCTION("GoogleTranslate(C74, ""en"", ""kn"")"),"{name} ನಲ್ಲಿ ಮುಂಬರುವ ಗಂಟೆಗಳಲ್ಲಿ ಮೇಘ ಕವರ್")</f>
        <v>{name} ನಲ್ಲಿ ಮುಂಬರುವ ಗಂಟೆಗಳಲ್ಲಿ ಮೇಘ ಕವರ್</v>
      </c>
      <c r="AJ74" s="3" t="str">
        <f>IFERROR(__xludf.DUMMYFUNCTION("GoogleTranslate(C74, ""en"", ""km"")"),"ពពកគ្របដណ្តប់នៅប៉ុន្មានម៉ោងខាងមុខនេះនៅក្នុង {name}")</f>
        <v>ពពកគ្របដណ្តប់នៅប៉ុន្មានម៉ោងខាងមុខនេះនៅក្នុង {name}</v>
      </c>
      <c r="AK74" s="3" t="str">
        <f>IFERROR(__xludf.DUMMYFUNCTION("GoogleTranslate(C74, ""en"", ""ko"")"),"앞으로 몇 시간 안에 {name}에 구름이 덮일 것입니다")</f>
        <v>앞으로 몇 시간 안에 {name}에 구름이 덮일 것입니다</v>
      </c>
      <c r="AL74" s="3" t="str">
        <f>IFERROR(__xludf.DUMMYFUNCTION("GoogleTranslate(C74, ""en"", ""lo"")"),"ການປົກຫຸ້ມຂອງຄລາວໃນຊົ່ວໂມງຂ້າງຫນ້າໃນ {name}")</f>
        <v>ການປົກຫຸ້ມຂອງຄລາວໃນຊົ່ວໂມງຂ້າງຫນ້າໃນ {name}</v>
      </c>
      <c r="AM74" s="3" t="str">
        <f>IFERROR(__xludf.DUMMYFUNCTION("GoogleTranslate(C74, ""en"", ""lv"")"),"Mākoņa sega tuvākajās stundās šeit: {name}")</f>
        <v>Mākoņa sega tuvākajās stundās šeit: {name}</v>
      </c>
      <c r="AN74" s="3" t="str">
        <f>IFERROR(__xludf.DUMMYFUNCTION("GoogleTranslate(C74, ""en"", ""lt"")"),"Debesų danga artimiausiomis valandomis {name}")</f>
        <v>Debesų danga artimiausiomis valandomis {name}</v>
      </c>
      <c r="AO74" s="3" t="str">
        <f>IFERROR(__xludf.DUMMYFUNCTION("GoogleTranslate(C74, ""en"", ""mk"")"),"Облак во наредните часови во {name}")</f>
        <v>Облак во наредните часови во {name}</v>
      </c>
      <c r="AP74" s="3" t="str">
        <f>IFERROR(__xludf.DUMMYFUNCTION("GoogleTranslate(C74, ""en"", ""ms"")"),"Litupan awan dalam beberapa jam akan datang di {name}")</f>
        <v>Litupan awan dalam beberapa jam akan datang di {name}</v>
      </c>
      <c r="AQ74" s="3" t="str">
        <f>IFERROR(__xludf.DUMMYFUNCTION("GoogleTranslate(C74, ""en"", ""ml"")"),"{name} എന്നതിൽ വരും മണിക്കൂറുകളിൽ ക്ലൗഡ് കവർ")</f>
        <v>{name} എന്നതിൽ വരും മണിക്കൂറുകളിൽ ക്ലൗഡ് കവർ</v>
      </c>
      <c r="AR74" s="3" t="str">
        <f>IFERROR(__xludf.DUMMYFUNCTION("GoogleTranslate(C74, ""en"", ""mr"")"),"{name} मध्ये येत्या काही तासांत ढगांचे आच्छादन")</f>
        <v>{name} मध्ये येत्या काही तासांत ढगांचे आच्छादन</v>
      </c>
      <c r="AS74" s="3" t="str">
        <f>IFERROR(__xludf.DUMMYFUNCTION("GoogleTranslate(C74, ""en"", ""mn"")"),"{name}-д ойрын цагт үүлэрхэг болно")</f>
        <v>{name}-д ойрын цагт үүлэрхэг болно</v>
      </c>
      <c r="AT74" s="3" t="str">
        <f>IFERROR(__xludf.DUMMYFUNCTION("GoogleTranslate(C74, ""en"", ""ne"")"),"{name} मा आउँदो घण्टामा बादलले ढाक्ने")</f>
        <v>{name} मा आउँदो घण्टामा बादलले ढाक्ने</v>
      </c>
      <c r="AU74" s="3" t="str">
        <f>IFERROR(__xludf.DUMMYFUNCTION("GoogleTranslate(C74, ""en"", ""nb"")"),"Skydekke i de kommende timene i {name}")</f>
        <v>Skydekke i de kommende timene i {name}</v>
      </c>
      <c r="AV74" s="3" t="str">
        <f>IFERROR(__xludf.DUMMYFUNCTION("GoogleTranslate(C74, ""en"", ""fa"")"),"پوشش ابری در ساعات آینده در {name}")</f>
        <v>پوشش ابری در ساعات آینده در {name}</v>
      </c>
      <c r="AW74" s="3" t="str">
        <f>IFERROR(__xludf.DUMMYFUNCTION("GoogleTranslate(C74, ""en"", ""pl"")"),"Zachmurzenie w nadchodzących godzinach w {name}")</f>
        <v>Zachmurzenie w nadchodzących godzinach w {name}</v>
      </c>
      <c r="AX74" s="3" t="str">
        <f>IFERROR(__xludf.DUMMYFUNCTION("GoogleTranslate(C74, ""en"", ""pt"")"),"Nuvens nas próximas horas em {name}")</f>
        <v>Nuvens nas próximas horas em {name}</v>
      </c>
      <c r="AY74" s="3" t="str">
        <f>IFERROR(__xludf.DUMMYFUNCTION("GoogleTranslate(C74, ""en"", ""ro"")"),"Acoperire cu nori în următoarele ore în {name}")</f>
        <v>Acoperire cu nori în următoarele ore în {name}</v>
      </c>
      <c r="AZ74" s="3" t="str">
        <f>IFERROR(__xludf.DUMMYFUNCTION("GoogleTranslate(C74, ""en"", ""ru"")"),"Облачность в ближайшие часы в {name}")</f>
        <v>Облачность в ближайшие часы в {name}</v>
      </c>
      <c r="BA74" s="3" t="str">
        <f>IFERROR(__xludf.DUMMYFUNCTION("GoogleTranslate(C74, ""en"", ""sr"")"),"Облачност у наредним сатима у {наме}")</f>
        <v>Облачност у наредним сатима у {наме}</v>
      </c>
      <c r="BB74" s="3" t="str">
        <f>IFERROR(__xludf.DUMMYFUNCTION("GoogleTranslate(C74, ""en"", ""si"")"),"{name} හි ඉදිරි පැය වල වලාකුළු ආවරණය")</f>
        <v>{name} හි ඉදිරි පැය වල වලාකුළු ආවරණය</v>
      </c>
      <c r="BC74" s="3" t="str">
        <f>IFERROR(__xludf.DUMMYFUNCTION("GoogleTranslate(C74, ""en"", ""sk"")"),"Oblačnosť v najbližších hodinách v meste {name}")</f>
        <v>Oblačnosť v najbližších hodinách v meste {name}</v>
      </c>
      <c r="BD74" s="3" t="str">
        <f>IFERROR(__xludf.DUMMYFUNCTION("GoogleTranslate(C74, ""en"", ""sl"")"),"Oblačnost v prihodnjih urah v {name}")</f>
        <v>Oblačnost v prihodnjih urah v {name}</v>
      </c>
      <c r="BE74" s="3" t="str">
        <f>IFERROR(__xludf.DUMMYFUNCTION("GoogleTranslate(C74, ""en"", ""es"")"),"Nubosidad en las próximas horas en {nombre}")</f>
        <v>Nubosidad en las próximas horas en {nombre}</v>
      </c>
      <c r="BF74" s="3" t="str">
        <f>IFERROR(__xludf.DUMMYFUNCTION("GoogleTranslate(C74, ""en"", ""sw"")"),"Wingu cover saa zijazo katika {name}")</f>
        <v>Wingu cover saa zijazo katika {name}</v>
      </c>
      <c r="BG74" s="3" t="str">
        <f>IFERROR(__xludf.DUMMYFUNCTION("GoogleTranslate(C74, ""en"", ""sv"")"),"Molntäcke under de kommande timmarna i {name}")</f>
        <v>Molntäcke under de kommande timmarna i {name}</v>
      </c>
      <c r="BH74" s="3" t="str">
        <f>IFERROR(__xludf.DUMMYFUNCTION("GoogleTranslate(C74, ""en"", ""te"")"),"{name}లో రాబోయే గంటలలో క్లౌడ్ కవర్")</f>
        <v>{name}లో రాబోయే గంటలలో క్లౌడ్ కవర్</v>
      </c>
      <c r="BI74" s="3" t="str">
        <f>IFERROR(__xludf.DUMMYFUNCTION("GoogleTranslate(C74, ""en"", ""th"")"),"เมฆปกคลุมในอีกไม่กี่ชั่วโมงข้างหน้าใน {name}")</f>
        <v>เมฆปกคลุมในอีกไม่กี่ชั่วโมงข้างหน้าใน {name}</v>
      </c>
      <c r="BJ74" s="3" t="str">
        <f>IFERROR(__xludf.DUMMYFUNCTION("GoogleTranslate(C74, ""en"", ""tr"")"),"Önümüzdeki saatlerde {name} bölgesinde bulut örtüsü")</f>
        <v>Önümüzdeki saatlerde {name} bölgesinde bulut örtüsü</v>
      </c>
      <c r="BK74" s="3" t="str">
        <f>IFERROR(__xludf.DUMMYFUNCTION("GoogleTranslate(C74, ""en"", ""uk"")"),"Хмарність у найближчі години в {name}")</f>
        <v>Хмарність у найближчі години в {name}</v>
      </c>
      <c r="BL74" s="3" t="str">
        <f>IFERROR(__xludf.DUMMYFUNCTION("GoogleTranslate(C74, ""en"", ""zu"")"),"Ikhava yefu emahoreni azayo ngo-{name}")</f>
        <v>Ikhava yefu emahoreni azayo ngo-{name}</v>
      </c>
    </row>
    <row r="75">
      <c r="A75" s="1" t="str">
        <f t="shared" si="1"/>
        <v>Pressure_in_the_coming_times_in_{name}</v>
      </c>
      <c r="B75" s="4" t="s">
        <v>133</v>
      </c>
      <c r="C75" s="1" t="str">
        <f t="shared" si="2"/>
        <v>Pressure in the coming times in {name}</v>
      </c>
      <c r="D75" s="3" t="str">
        <f>IFERROR(__xludf.DUMMYFUNCTION("GoogleTranslate(C75, ""en"", ""es"")"),"Presión en los próximos tiempos en {nombre}")</f>
        <v>Presión en los próximos tiempos en {nombre}</v>
      </c>
      <c r="E75" s="3" t="str">
        <f>IFERROR(__xludf.DUMMYFUNCTION("GoogleTranslate(C75, ""en"", ""ar"")"),"الضغط في المرات القادمة في {الاسم}")</f>
        <v>الضغط في المرات القادمة في {الاسم}</v>
      </c>
      <c r="F75" s="3" t="str">
        <f>IFERROR(__xludf.DUMMYFUNCTION("GoogleTranslate(C75, ""en"", ""hy"")"),"Առաջիկա ժամանակներում ճնշումը {name}-ում")</f>
        <v>Առաջիկա ժամանակներում ճնշումը {name}-ում</v>
      </c>
      <c r="G75" s="3" t="str">
        <f>IFERROR(__xludf.DUMMYFUNCTION("GoogleTranslate(C75, ""en"", ""vi"")"),"Áp lực trong thời gian tới ở {name}")</f>
        <v>Áp lực trong thời gian tới ở {name}</v>
      </c>
      <c r="H75" s="3" t="str">
        <f>IFERROR(__xludf.DUMMYFUNCTION("GoogleTranslate(C75, ""en"", ""az"")"),"{name} bölgəsində yaxın vaxtlarda təzyiq")</f>
        <v>{name} bölgəsində yaxın vaxtlarda təzyiq</v>
      </c>
      <c r="I75" s="3" t="str">
        <f>IFERROR(__xludf.DUMMYFUNCTION("GoogleTranslate(C75, ""en"", ""eu"")"),"Presioa datozen garaietan {name}-n")</f>
        <v>Presioa datozen garaietan {name}-n</v>
      </c>
      <c r="J75" s="3" t="str">
        <f>IFERROR(__xludf.DUMMYFUNCTION("GoogleTranslate(C75, ""en"", ""be"")"),"Ціск у бліжэйшы час у {name}")</f>
        <v>Ціск у бліжэйшы час у {name}</v>
      </c>
      <c r="K75" s="3" t="str">
        <f>IFERROR(__xludf.DUMMYFUNCTION("GoogleTranslate(C75, ""en"", ""bn"")"),"আগামী সময়ে চাপ {name} এ")</f>
        <v>আগামী সময়ে চাপ {name} এ</v>
      </c>
      <c r="L75" s="3" t="str">
        <f>IFERROR(__xludf.DUMMYFUNCTION("GoogleTranslate(C75, ""en"", ""bg"")"),"Натиск в следващите времена в {name}")</f>
        <v>Натиск в следващите времена в {name}</v>
      </c>
      <c r="M75" s="3" t="str">
        <f>IFERROR(__xludf.DUMMYFUNCTION("GoogleTranslate(C75, ""en"", ""my"")"),"လာမည့်အချိန်များတွင် {name} တွင် ဖိအား")</f>
        <v>လာမည့်အချိန်များတွင် {name} တွင် ဖိအား</v>
      </c>
      <c r="N75" s="3" t="str">
        <f>IFERROR(__xludf.DUMMYFUNCTION("GoogleTranslate(C75, ""en"", ""ca"")"),"Pressió en els propers temps a {name}")</f>
        <v>Pressió en els propers temps a {name}</v>
      </c>
      <c r="O75" s="3" t="str">
        <f>IFERROR(__xludf.DUMMYFUNCTION("GoogleTranslate(C75, ""en"", ""zh-cn"")"),"{name}未来的压力")</f>
        <v>{name}未来的压力</v>
      </c>
      <c r="P75" s="3" t="str">
        <f>IFERROR(__xludf.DUMMYFUNCTION("GoogleTranslate(C75, ""en"", ""zh-TW"")"),"{name}未來的壓力")</f>
        <v>{name}未來的壓力</v>
      </c>
      <c r="Q75" s="3" t="str">
        <f>IFERROR(__xludf.DUMMYFUNCTION("GoogleTranslate(C75, ""en"", ""hr"")"),"Pritisak u nadolazećim vremenima u {name}")</f>
        <v>Pritisak u nadolazećim vremenima u {name}</v>
      </c>
      <c r="R75" s="3" t="str">
        <f>IFERROR(__xludf.DUMMYFUNCTION("GoogleTranslate(C75, ""en"", ""cs"")"),"Tlak v nadcházejících časech v {name}")</f>
        <v>Tlak v nadcházejících časech v {name}</v>
      </c>
      <c r="S75" s="3" t="str">
        <f>IFERROR(__xludf.DUMMYFUNCTION("GoogleTranslate(C75, ""en"", ""da"")"),"Pres i de kommende tider i {name}")</f>
        <v>Pres i de kommende tider i {name}</v>
      </c>
      <c r="T75" s="3" t="str">
        <f>IFERROR(__xludf.DUMMYFUNCTION("GoogleTranslate(C75, ""en"", ""nl"")"),"Druk de komende tijd in {name}")</f>
        <v>Druk de komende tijd in {name}</v>
      </c>
      <c r="U75" s="3" t="str">
        <f>IFERROR(__xludf.DUMMYFUNCTION("GoogleTranslate(C75, ""en"", ""et"")"),"Surve lähiajal riigis {name}")</f>
        <v>Surve lähiajal riigis {name}</v>
      </c>
      <c r="V75" s="1" t="str">
        <f t="shared" si="3"/>
        <v>Pressure in the coming times in {name}</v>
      </c>
      <c r="W75" s="3" t="str">
        <f>IFERROR(__xludf.DUMMYFUNCTION("GoogleTranslate(C75, ""en"", ""fi"")"),"Paineita tulevina aikoina alueella {name}")</f>
        <v>Paineita tulevina aikoina alueella {name}</v>
      </c>
      <c r="X75" s="3" t="str">
        <f>IFERROR(__xludf.DUMMYFUNCTION("GoogleTranslate(C75, ""en"", ""fr"")"),"Pression dans les temps à venir à {name}")</f>
        <v>Pression dans les temps à venir à {name}</v>
      </c>
      <c r="Y75" s="3" t="str">
        <f>IFERROR(__xludf.DUMMYFUNCTION("GoogleTranslate(C75, ""en"", ""de"")"),"Druck in den kommenden Zeiten in {Name}")</f>
        <v>Druck in den kommenden Zeiten in {Name}</v>
      </c>
      <c r="Z75" s="3" t="str">
        <f>IFERROR(__xludf.DUMMYFUNCTION("GoogleTranslate(C75, ""en"", ""el"")"),"Πίεση τους επόμενους χρόνους στο {name}")</f>
        <v>Πίεση τους επόμενους χρόνους στο {name}</v>
      </c>
      <c r="AA75" s="3" t="str">
        <f>IFERROR(__xludf.DUMMYFUNCTION("GoogleTranslate(C75, ""en"", ""iw"")"),"לחץ בזמנים הקרובים ב-{name}")</f>
        <v>לחץ בזמנים הקרובים ב-{name}</v>
      </c>
      <c r="AB75" s="3" t="str">
        <f>IFERROR(__xludf.DUMMYFUNCTION("GoogleTranslate(C75, ""en"", ""hi"")"),"आने वाले समय में {नाम} पर दबाव")</f>
        <v>आने वाले समय में {नाम} पर दबाव</v>
      </c>
      <c r="AC75" s="3" t="str">
        <f>IFERROR(__xludf.DUMMYFUNCTION("GoogleTranslate(C75, ""en"", ""hu"")"),"Nyomás az elkövetkező időkben {name} területén")</f>
        <v>Nyomás az elkövetkező időkben {name} területén</v>
      </c>
      <c r="AD75" s="3" t="str">
        <f>IFERROR(__xludf.DUMMYFUNCTION("GoogleTranslate(C75, ""en"", ""is"")"),"Þrýstingur á næstu tímum í {name}")</f>
        <v>Þrýstingur á næstu tímum í {name}</v>
      </c>
      <c r="AE75" s="3" t="str">
        <f>IFERROR(__xludf.DUMMYFUNCTION("GoogleTranslate(C75, ""en"", ""id"")"),"Tekanan dalam waktu dekat di {name}")</f>
        <v>Tekanan dalam waktu dekat di {name}</v>
      </c>
      <c r="AF75" s="3" t="str">
        <f>IFERROR(__xludf.DUMMYFUNCTION("GoogleTranslate(C75, ""en"", ""in"")"),"Tekanan dalam waktu dekat di {name}")</f>
        <v>Tekanan dalam waktu dekat di {name}</v>
      </c>
      <c r="AG75" s="3" t="str">
        <f>IFERROR(__xludf.DUMMYFUNCTION("GoogleTranslate(C75, ""en"", ""it"")"),"Pressione nei prossimi tempi a {name}")</f>
        <v>Pressione nei prossimi tempi a {name}</v>
      </c>
      <c r="AH75" s="3" t="str">
        <f>IFERROR(__xludf.DUMMYFUNCTION("GoogleTranslate(C75, ""en"", ""ja"")"),"{name} における今後のプレッシャー")</f>
        <v>{name} における今後のプレッシャー</v>
      </c>
      <c r="AI75" s="3" t="str">
        <f>IFERROR(__xludf.DUMMYFUNCTION("GoogleTranslate(C75, ""en"", ""kn"")"),"{name} ನಲ್ಲಿ ಮುಂಬರುವ ಸಮಯದಲ್ಲಿ ಒತ್ತಡ")</f>
        <v>{name} ನಲ್ಲಿ ಮುಂಬರುವ ಸಮಯದಲ್ಲಿ ಒತ್ತಡ</v>
      </c>
      <c r="AJ75" s="3" t="str">
        <f>IFERROR(__xludf.DUMMYFUNCTION("GoogleTranslate(C75, ""en"", ""km"")"),"សម្ពាធនាពេលខាងមុខនៅក្នុង {name}")</f>
        <v>សម្ពាធនាពេលខាងមុខនៅក្នុង {name}</v>
      </c>
      <c r="AK75" s="3" t="str">
        <f>IFERROR(__xludf.DUMMYFUNCTION("GoogleTranslate(C75, ""en"", ""ko"")"),"{name}의 향후 압력")</f>
        <v>{name}의 향후 압력</v>
      </c>
      <c r="AL75" s="3" t="str">
        <f>IFERROR(__xludf.DUMMYFUNCTION("GoogleTranslate(C75, ""en"", ""lo"")"),"ຄວາມກົດດັນໃນເວລາຕໍ່ໄປໃນ {name}")</f>
        <v>ຄວາມກົດດັນໃນເວລາຕໍ່ໄປໃນ {name}</v>
      </c>
      <c r="AM75" s="3" t="str">
        <f>IFERROR(__xludf.DUMMYFUNCTION("GoogleTranslate(C75, ""en"", ""lv"")"),"Spiediens turpmākajos laikos šeit: {name}")</f>
        <v>Spiediens turpmākajos laikos šeit: {name}</v>
      </c>
      <c r="AN75" s="3" t="str">
        <f>IFERROR(__xludf.DUMMYFUNCTION("GoogleTranslate(C75, ""en"", ""lt"")"),"Spaudimas artimiausiu metu {name}")</f>
        <v>Spaudimas artimiausiu metu {name}</v>
      </c>
      <c r="AO75" s="3" t="str">
        <f>IFERROR(__xludf.DUMMYFUNCTION("GoogleTranslate(C75, ""en"", ""mk"")"),"Притисок во наредните времиња во {name}")</f>
        <v>Притисок во наредните времиња во {name}</v>
      </c>
      <c r="AP75" s="3" t="str">
        <f>IFERROR(__xludf.DUMMYFUNCTION("GoogleTranslate(C75, ""en"", ""ms"")"),"Tekanan pada masa akan datang dalam {name}")</f>
        <v>Tekanan pada masa akan datang dalam {name}</v>
      </c>
      <c r="AQ75" s="3" t="str">
        <f>IFERROR(__xludf.DUMMYFUNCTION("GoogleTranslate(C75, ""en"", ""ml"")"),"{name} ൽ വരാനിരിക്കുന്ന സമയങ്ങളിൽ സമ്മർദ്ദം")</f>
        <v>{name} ൽ വരാനിരിക്കുന്ന സമയങ്ങളിൽ സമ്മർദ്ദം</v>
      </c>
      <c r="AR75" s="3" t="str">
        <f>IFERROR(__xludf.DUMMYFUNCTION("GoogleTranslate(C75, ""en"", ""mr"")"),"आगामी काळात {name} वर दबाव")</f>
        <v>आगामी काळात {name} वर दबाव</v>
      </c>
      <c r="AS75" s="3" t="str">
        <f>IFERROR(__xludf.DUMMYFUNCTION("GoogleTranslate(C75, ""en"", ""mn"")"),"{name}-д ойрын үед даралт")</f>
        <v>{name}-д ойрын үед даралт</v>
      </c>
      <c r="AT75" s="3" t="str">
        <f>IFERROR(__xludf.DUMMYFUNCTION("GoogleTranslate(C75, ""en"", ""ne"")"),"{name} मा आगामी समयमा दबाब")</f>
        <v>{name} मा आगामी समयमा दबाब</v>
      </c>
      <c r="AU75" s="3" t="str">
        <f>IFERROR(__xludf.DUMMYFUNCTION("GoogleTranslate(C75, ""en"", ""nb"")"),"Press i de kommende tidene i {name}")</f>
        <v>Press i de kommende tidene i {name}</v>
      </c>
      <c r="AV75" s="3" t="str">
        <f>IFERROR(__xludf.DUMMYFUNCTION("GoogleTranslate(C75, ""en"", ""fa"")"),"فشار در زمان های آینده در {name}")</f>
        <v>فشار در زمان های آینده در {name}</v>
      </c>
      <c r="AW75" s="3" t="str">
        <f>IFERROR(__xludf.DUMMYFUNCTION("GoogleTranslate(C75, ""en"", ""pl"")"),"Presja w nadchodzących czasach w {name}")</f>
        <v>Presja w nadchodzących czasach w {name}</v>
      </c>
      <c r="AX75" s="3" t="str">
        <f>IFERROR(__xludf.DUMMYFUNCTION("GoogleTranslate(C75, ""en"", ""pt"")"),"Pressão nos próximos tempos em {name}")</f>
        <v>Pressão nos próximos tempos em {name}</v>
      </c>
      <c r="AY75" s="3" t="str">
        <f>IFERROR(__xludf.DUMMYFUNCTION("GoogleTranslate(C75, ""en"", ""ro"")"),"Presiunea în perioadele următoare în {name}")</f>
        <v>Presiunea în perioadele următoare în {name}</v>
      </c>
      <c r="AZ75" s="3" t="str">
        <f>IFERROR(__xludf.DUMMYFUNCTION("GoogleTranslate(C75, ""en"", ""ru"")"),"Давление в ближайшие времена в {name}")</f>
        <v>Давление в ближайшие времена в {name}</v>
      </c>
      <c r="BA75" s="3" t="str">
        <f>IFERROR(__xludf.DUMMYFUNCTION("GoogleTranslate(C75, ""en"", ""sr"")"),"Притисак у наредним временима у {наме}")</f>
        <v>Притисак у наредним временима у {наме}</v>
      </c>
      <c r="BB75" s="3" t="str">
        <f>IFERROR(__xludf.DUMMYFUNCTION("GoogleTranslate(C75, ""en"", ""si"")"),"{name} හි ඉදිරි කාලවලදී පීඩනය")</f>
        <v>{name} හි ඉදිරි කාලවලදී පීඩනය</v>
      </c>
      <c r="BC75" s="3" t="str">
        <f>IFERROR(__xludf.DUMMYFUNCTION("GoogleTranslate(C75, ""en"", ""sk"")"),"Tlak v nadchádzajúcich časoch v {name}")</f>
        <v>Tlak v nadchádzajúcich časoch v {name}</v>
      </c>
      <c r="BD75" s="3" t="str">
        <f>IFERROR(__xludf.DUMMYFUNCTION("GoogleTranslate(C75, ""en"", ""sl"")"),"Pritisk v prihodnjih časih v {name}")</f>
        <v>Pritisk v prihodnjih časih v {name}</v>
      </c>
      <c r="BE75" s="3" t="str">
        <f>IFERROR(__xludf.DUMMYFUNCTION("GoogleTranslate(C75, ""en"", ""es"")"),"Presión en los próximos tiempos en {nombre}")</f>
        <v>Presión en los próximos tiempos en {nombre}</v>
      </c>
      <c r="BF75" s="3" t="str">
        <f>IFERROR(__xludf.DUMMYFUNCTION("GoogleTranslate(C75, ""en"", ""sw"")"),"Shinikizo katika nyakati zijazo katika {name}")</f>
        <v>Shinikizo katika nyakati zijazo katika {name}</v>
      </c>
      <c r="BG75" s="3" t="str">
        <f>IFERROR(__xludf.DUMMYFUNCTION("GoogleTranslate(C75, ""en"", ""sv"")"),"Tryck under de kommande tiderna i {name}")</f>
        <v>Tryck under de kommande tiderna i {name}</v>
      </c>
      <c r="BH75" s="3" t="str">
        <f>IFERROR(__xludf.DUMMYFUNCTION("GoogleTranslate(C75, ""en"", ""te"")"),"{name}లో రాబోయే కాలంలో ఒత్తిడి")</f>
        <v>{name}లో రాబోయే కాలంలో ఒత్తిడి</v>
      </c>
      <c r="BI75" s="3" t="str">
        <f>IFERROR(__xludf.DUMMYFUNCTION("GoogleTranslate(C75, ""en"", ""th"")"),"ความกดดันในเวลาที่จะมาถึงใน {name}")</f>
        <v>ความกดดันในเวลาที่จะมาถึงใน {name}</v>
      </c>
      <c r="BJ75" s="3" t="str">
        <f>IFERROR(__xludf.DUMMYFUNCTION("GoogleTranslate(C75, ""en"", ""tr"")"),"{name}'da önümüzdeki dönemde baskı")</f>
        <v>{name}'da önümüzdeki dönemde baskı</v>
      </c>
      <c r="BK75" s="3" t="str">
        <f>IFERROR(__xludf.DUMMYFUNCTION("GoogleTranslate(C75, ""en"", ""uk"")"),"Тиск у найближчі часи в {name}")</f>
        <v>Тиск у найближчі часи в {name}</v>
      </c>
      <c r="BL75" s="3" t="str">
        <f>IFERROR(__xludf.DUMMYFUNCTION("GoogleTranslate(C75, ""en"", ""zu"")"),"Ingcindezi ezikhathini ezizayo ngo-{name}")</f>
        <v>Ingcindezi ezikhathini ezizayo ngo-{name}</v>
      </c>
    </row>
    <row r="76">
      <c r="A76" s="1" t="str">
        <f t="shared" si="1"/>
        <v>Sun_rise_&amp;_sun_set_in_the_coming_hours_in_{name}</v>
      </c>
      <c r="B76" s="4" t="s">
        <v>134</v>
      </c>
      <c r="C76" s="1" t="str">
        <f t="shared" si="2"/>
        <v>Sun rise &amp; sun set in the coming hours in {name}</v>
      </c>
      <c r="D76" s="3" t="str">
        <f>IFERROR(__xludf.DUMMYFUNCTION("GoogleTranslate(C76, ""en"", ""es"")"),"Salida y puesta del sol en las próximas horas en {nombre}")</f>
        <v>Salida y puesta del sol en las próximas horas en {nombre}</v>
      </c>
      <c r="E76" s="3" t="str">
        <f>IFERROR(__xludf.DUMMYFUNCTION("GoogleTranslate(C76, ""en"", ""ar"")"),"شروق الشمس وغروبها خلال الساعات القادمة في {الاسم}")</f>
        <v>شروق الشمس وغروبها خلال الساعات القادمة في {الاسم}</v>
      </c>
      <c r="F76" s="3" t="str">
        <f>IFERROR(__xludf.DUMMYFUNCTION("GoogleTranslate(C76, ""en"", ""hy"")"),"Արևածագ և մայրամուտ մոտակա ժամերին {name}-ում")</f>
        <v>Արևածագ և մայրամուտ մոտակա ժամերին {name}-ում</v>
      </c>
      <c r="G76" s="3" t="str">
        <f>IFERROR(__xludf.DUMMYFUNCTION("GoogleTranslate(C76, ""en"", ""vi"")"),"Mặt trời mọc và mặt trời lặn trong những giờ tới ở {name}")</f>
        <v>Mặt trời mọc và mặt trời lặn trong những giờ tới ở {name}</v>
      </c>
      <c r="H76" s="3" t="str">
        <f>IFERROR(__xludf.DUMMYFUNCTION("GoogleTranslate(C76, ""en"", ""az"")"),"{name} ərazisində yaxın saatlarda günəşin doğuşu və batması")</f>
        <v>{name} ərazisində yaxın saatlarda günəşin doğuşu və batması</v>
      </c>
      <c r="I76" s="3" t="str">
        <f>IFERROR(__xludf.DUMMYFUNCTION("GoogleTranslate(C76, ""en"", ""eu"")"),"Eguzkia irten eta ilunabarra datozen orduetan {name}")</f>
        <v>Eguzkia irten eta ilunabarra datozen orduetan {name}</v>
      </c>
      <c r="J76" s="3" t="str">
        <f>IFERROR(__xludf.DUMMYFUNCTION("GoogleTranslate(C76, ""en"", ""be"")"),"Узыход і заход сонца ў бліжэйшыя гадзіны ў {name}")</f>
        <v>Узыход і заход сонца ў бліжэйшыя гадзіны ў {name}</v>
      </c>
      <c r="K76" s="3" t="str">
        <f>IFERROR(__xludf.DUMMYFUNCTION("GoogleTranslate(C76, ""en"", ""bn"")"),"সূর্যোদয় এবং সূর্যাস্ত আগামী ঘন্টায় {name} এ")</f>
        <v>সূর্যোদয় এবং সূর্যাস্ত আগামী ঘন্টায় {name} এ</v>
      </c>
      <c r="L76" s="3" t="str">
        <f>IFERROR(__xludf.DUMMYFUNCTION("GoogleTranslate(C76, ""en"", ""bg"")"),"Изгрев и залез през следващите часове в {name}")</f>
        <v>Изгрев и залез през следващите часове в {name}</v>
      </c>
      <c r="M76" s="3" t="str">
        <f>IFERROR(__xludf.DUMMYFUNCTION("GoogleTranslate(C76, ""en"", ""my"")"),"{name} ဖြင့် လာမည့်နာရီများတွင် နေထွက်ပြီး နေဝင်သည်")</f>
        <v>{name} ဖြင့် လာမည့်နာရီများတွင် နေထွက်ပြီး နေဝင်သည်</v>
      </c>
      <c r="N76" s="3" t="str">
        <f>IFERROR(__xludf.DUMMYFUNCTION("GoogleTranslate(C76, ""en"", ""ca"")"),"Sortida i posta de sol en les properes hores a {name}")</f>
        <v>Sortida i posta de sol en les properes hores a {name}</v>
      </c>
      <c r="O76" s="3" t="str">
        <f>IFERROR(__xludf.DUMMYFUNCTION("GoogleTranslate(C76, ""en"", ""zh-cn"")"),"未来几小时内{name}的日出和日落")</f>
        <v>未来几小时内{name}的日出和日落</v>
      </c>
      <c r="P76" s="3" t="str">
        <f>IFERROR(__xludf.DUMMYFUNCTION("GoogleTranslate(C76, ""en"", ""zh-TW"")"),"未來幾小時內{name}的日出和日落")</f>
        <v>未來幾小時內{name}的日出和日落</v>
      </c>
      <c r="Q76" s="3" t="str">
        <f>IFERROR(__xludf.DUMMYFUNCTION("GoogleTranslate(C76, ""en"", ""hr"")"),"Izlazak i zalazak sunca u nadolazećim satima u {name}")</f>
        <v>Izlazak i zalazak sunca u nadolazećim satima u {name}</v>
      </c>
      <c r="R76" s="3" t="str">
        <f>IFERROR(__xludf.DUMMYFUNCTION("GoogleTranslate(C76, ""en"", ""cs"")"),"Východ a západ slunce v nadcházejících hodinách v {name}")</f>
        <v>Východ a západ slunce v nadcházejících hodinách v {name}</v>
      </c>
      <c r="S76" s="3" t="str">
        <f>IFERROR(__xludf.DUMMYFUNCTION("GoogleTranslate(C76, ""en"", ""da"")"),"Solopgang og solnedgang i de kommende timer i {name}")</f>
        <v>Solopgang og solnedgang i de kommende timer i {name}</v>
      </c>
      <c r="T76" s="3" t="str">
        <f>IFERROR(__xludf.DUMMYFUNCTION("GoogleTranslate(C76, ""en"", ""nl"")"),"Zonopkomst en zonsondergang in de komende uren in {name}")</f>
        <v>Zonopkomst en zonsondergang in de komende uren in {name}</v>
      </c>
      <c r="U76" s="3" t="str">
        <f>IFERROR(__xludf.DUMMYFUNCTION("GoogleTranslate(C76, ""en"", ""et"")"),"Päikesetõus ja loojumine lähitundidel asukohas {name}")</f>
        <v>Päikesetõus ja loojumine lähitundidel asukohas {name}</v>
      </c>
      <c r="V76" s="1" t="str">
        <f t="shared" si="3"/>
        <v>Sun rise &amp; sun set in the coming hours in {name}</v>
      </c>
      <c r="W76" s="3" t="str">
        <f>IFERROR(__xludf.DUMMYFUNCTION("GoogleTranslate(C76, ""en"", ""fi"")"),"Auringon nousu ja lasku lähiaikoina paikassa {name}")</f>
        <v>Auringon nousu ja lasku lähiaikoina paikassa {name}</v>
      </c>
      <c r="X76" s="3" t="str">
        <f>IFERROR(__xludf.DUMMYFUNCTION("GoogleTranslate(C76, ""en"", ""fr"")"),"Lever et coucher du soleil dans les heures à venir à {name}")</f>
        <v>Lever et coucher du soleil dans les heures à venir à {name}</v>
      </c>
      <c r="Y76" s="3" t="str">
        <f>IFERROR(__xludf.DUMMYFUNCTION("GoogleTranslate(C76, ""en"", ""de"")"),"Sonnenaufgang und Sonnenuntergang in den kommenden Stunden in {Name}")</f>
        <v>Sonnenaufgang und Sonnenuntergang in den kommenden Stunden in {Name}</v>
      </c>
      <c r="Z76" s="3" t="str">
        <f>IFERROR(__xludf.DUMMYFUNCTION("GoogleTranslate(C76, ""en"", ""el"")"),"Ανατολή και δύση ηλίου τις επόμενες ώρες στο {name}")</f>
        <v>Ανατολή και δύση ηλίου τις επόμενες ώρες στο {name}</v>
      </c>
      <c r="AA76" s="3" t="str">
        <f>IFERROR(__xludf.DUMMYFUNCTION("GoogleTranslate(C76, ""en"", ""iw"")"),"זריחה ושקיעה של השמש בשעות הקרובות ב-{name}")</f>
        <v>זריחה ושקיעה של השמש בשעות הקרובות ב-{name}</v>
      </c>
      <c r="AB76" s="3" t="str">
        <f>IFERROR(__xludf.DUMMYFUNCTION("GoogleTranslate(C76, ""en"", ""hi"")"),"{नाम} में आने वाले घंटों में सूर्योदय और सूर्यास्त")</f>
        <v>{नाम} में आने वाले घंटों में सूर्योदय और सूर्यास्त</v>
      </c>
      <c r="AC76" s="3" t="str">
        <f>IFERROR(__xludf.DUMMYFUNCTION("GoogleTranslate(C76, ""en"", ""hu"")"),"Napkelte és napnyugta a következő órákban itt: {name}")</f>
        <v>Napkelte és napnyugta a következő órákban itt: {name}</v>
      </c>
      <c r="AD76" s="3" t="str">
        <f>IFERROR(__xludf.DUMMYFUNCTION("GoogleTranslate(C76, ""en"", ""is"")"),"Sólarupprás og sólsetur á næstu klukkustundum í {name}")</f>
        <v>Sólarupprás og sólsetur á næstu klukkustundum í {name}</v>
      </c>
      <c r="AE76" s="3" t="str">
        <f>IFERROR(__xludf.DUMMYFUNCTION("GoogleTranslate(C76, ""en"", ""id"")"),"Matahari terbit &amp; terbenam dalam beberapa jam mendatang di {name}")</f>
        <v>Matahari terbit &amp; terbenam dalam beberapa jam mendatang di {name}</v>
      </c>
      <c r="AF76" s="3" t="str">
        <f>IFERROR(__xludf.DUMMYFUNCTION("GoogleTranslate(C76, ""en"", ""in"")"),"Matahari terbit &amp; terbenam dalam beberapa jam mendatang di {name}")</f>
        <v>Matahari terbit &amp; terbenam dalam beberapa jam mendatang di {name}</v>
      </c>
      <c r="AG76" s="3" t="str">
        <f>IFERROR(__xludf.DUMMYFUNCTION("GoogleTranslate(C76, ""en"", ""it"")"),"Il sole sorge e tramonta nelle prossime ore a {name}")</f>
        <v>Il sole sorge e tramonta nelle prossime ore a {name}</v>
      </c>
      <c r="AH76" s="3" t="str">
        <f>IFERROR(__xludf.DUMMYFUNCTION("GoogleTranslate(C76, ""en"", ""ja"")"),"{name}では今後数時間に日の出と日の入りが予想されます")</f>
        <v>{name}では今後数時間に日の出と日の入りが予想されます</v>
      </c>
      <c r="AI76" s="3" t="str">
        <f>IFERROR(__xludf.DUMMYFUNCTION("GoogleTranslate(C76, ""en"", ""kn"")"),"{name} ನಲ್ಲಿ ಮುಂಬರುವ ಗಂಟೆಗಳಲ್ಲಿ ಸೂರ್ಯೋದಯ ಮತ್ತು ಸೂರ್ಯಾಸ್ತ")</f>
        <v>{name} ನಲ್ಲಿ ಮುಂಬರುವ ಗಂಟೆಗಳಲ್ಲಿ ಸೂರ್ಯೋದಯ ಮತ್ತು ಸೂರ್ಯಾಸ್ತ</v>
      </c>
      <c r="AJ76" s="3" t="str">
        <f>IFERROR(__xludf.DUMMYFUNCTION("GoogleTranslate(C76, ""en"", ""km"")"),"ព្រះ​អាទិត្យ​រះ និង​ថ្ងៃ​លិច​នៅ​ម៉ោង​ខាង​មុខ​ក្នុង {name}")</f>
        <v>ព្រះ​អាទិត្យ​រះ និង​ថ្ងៃ​លិច​នៅ​ម៉ោង​ខាង​មុខ​ក្នុង {name}</v>
      </c>
      <c r="AK76" s="3" t="str">
        <f>IFERROR(__xludf.DUMMYFUNCTION("GoogleTranslate(C76, ""en"", ""ko"")"),"앞으로 몇 시간 안에 {name}에서 해가 뜨고 해가 집니다.")</f>
        <v>앞으로 몇 시간 안에 {name}에서 해가 뜨고 해가 집니다.</v>
      </c>
      <c r="AL76" s="3" t="str">
        <f>IFERROR(__xludf.DUMMYFUNCTION("GoogleTranslate(C76, ""en"", ""lo"")"),"ຕາເວັນຂຶ້ນ ແລະ ຕາເວັນຕົກໃນຊົ່ວໂມງຂ້າງໜ້າໃນ {name}")</f>
        <v>ຕາເວັນຂຶ້ນ ແລະ ຕາເວັນຕົກໃນຊົ່ວໂມງຂ້າງໜ້າໃນ {name}</v>
      </c>
      <c r="AM76" s="3" t="str">
        <f>IFERROR(__xludf.DUMMYFUNCTION("GoogleTranslate(C76, ""en"", ""lv"")"),"Saullēkts un saulrieta tuvākajās stundās šeit: {name}")</f>
        <v>Saullēkts un saulrieta tuvākajās stundās šeit: {name}</v>
      </c>
      <c r="AN76" s="3" t="str">
        <f>IFERROR(__xludf.DUMMYFUNCTION("GoogleTranslate(C76, ""en"", ""lt"")"),"Saulėtekis ir saulėtekis artimiausiomis valandomis {name}")</f>
        <v>Saulėtekis ir saulėtekis artimiausiomis valandomis {name}</v>
      </c>
      <c r="AO76" s="3" t="str">
        <f>IFERROR(__xludf.DUMMYFUNCTION("GoogleTranslate(C76, ""en"", ""mk"")"),"Изгрејсонце и зајде во наредните часови во {name}")</f>
        <v>Изгрејсонце и зајде во наредните часови во {name}</v>
      </c>
      <c r="AP76" s="3" t="str">
        <f>IFERROR(__xludf.DUMMYFUNCTION("GoogleTranslate(C76, ""en"", ""ms"")"),"Matahari terbit &amp; matahari terbenam dalam beberapa jam akan datang di {name}")</f>
        <v>Matahari terbit &amp; matahari terbenam dalam beberapa jam akan datang di {name}</v>
      </c>
      <c r="AQ76" s="3" t="str">
        <f>IFERROR(__xludf.DUMMYFUNCTION("GoogleTranslate(C76, ""en"", ""ml"")"),"{name} എന്ന സ്ഥലത്ത് വരും മണിക്കൂറുകളിൽ സൂര്യോദയവും സൂര്യാസ്തമയവും")</f>
        <v>{name} എന്ന സ്ഥലത്ത് വരും മണിക്കൂറുകളിൽ സൂര്യോദയവും സൂര്യാസ്തമയവും</v>
      </c>
      <c r="AR76" s="3" t="str">
        <f>IFERROR(__xludf.DUMMYFUNCTION("GoogleTranslate(C76, ""en"", ""mr"")"),"{name} मध्ये येत्या काही तासांत सूर्योदय आणि सूर्यास्त")</f>
        <v>{name} मध्ये येत्या काही तासांत सूर्योदय आणि सूर्यास्त</v>
      </c>
      <c r="AS76" s="3" t="str">
        <f>IFERROR(__xludf.DUMMYFUNCTION("GoogleTranslate(C76, ""en"", ""mn"")"),"{name}-д ойрын цагт нар мандна, жаргана")</f>
        <v>{name}-д ойрын цагт нар мандна, жаргана</v>
      </c>
      <c r="AT76" s="3" t="str">
        <f>IFERROR(__xludf.DUMMYFUNCTION("GoogleTranslate(C76, ""en"", ""ne"")"),"{name} मा सूर्योदय र सूर्यास्त आगामी घण्टामा")</f>
        <v>{name} मा सूर्योदय र सूर्यास्त आगामी घण्टामा</v>
      </c>
      <c r="AU76" s="3" t="str">
        <f>IFERROR(__xludf.DUMMYFUNCTION("GoogleTranslate(C76, ""en"", ""nb"")"),"Solen står opp og går ned de kommende timene i {name}")</f>
        <v>Solen står opp og går ned de kommende timene i {name}</v>
      </c>
      <c r="AV76" s="3" t="str">
        <f>IFERROR(__xludf.DUMMYFUNCTION("GoogleTranslate(C76, ""en"", ""fa"")"),"طلوع و غروب خورشید در ساعات آینده در {name}")</f>
        <v>طلوع و غروب خورشید در ساعات آینده در {name}</v>
      </c>
      <c r="AW76" s="3" t="str">
        <f>IFERROR(__xludf.DUMMYFUNCTION("GoogleTranslate(C76, ""en"", ""pl"")"),"Wschody i zachody słońca w nadchodzących godzinach w {name}")</f>
        <v>Wschody i zachody słońca w nadchodzących godzinach w {name}</v>
      </c>
      <c r="AX76" s="3" t="str">
        <f>IFERROR(__xludf.DUMMYFUNCTION("GoogleTranslate(C76, ""en"", ""pt"")"),"Nascer e pôr do sol nas próximas horas em {nome}")</f>
        <v>Nascer e pôr do sol nas próximas horas em {nome}</v>
      </c>
      <c r="AY76" s="3" t="str">
        <f>IFERROR(__xludf.DUMMYFUNCTION("GoogleTranslate(C76, ""en"", ""ro"")"),"Răsărit și apus în următoarele ore în {name}")</f>
        <v>Răsărit și apus în următoarele ore în {name}</v>
      </c>
      <c r="AZ76" s="3" t="str">
        <f>IFERROR(__xludf.DUMMYFUNCTION("GoogleTranslate(C76, ""en"", ""ru"")"),"Восход и закат солнца в ближайшие часы в {name}")</f>
        <v>Восход и закат солнца в ближайшие часы в {name}</v>
      </c>
      <c r="BA76" s="3" t="str">
        <f>IFERROR(__xludf.DUMMYFUNCTION("GoogleTranslate(C76, ""en"", ""sr"")"),"Излазак и залазак сунца у наредним сатима у {наме}")</f>
        <v>Излазак и залазак сунца у наредним сатима у {наме}</v>
      </c>
      <c r="BB76" s="3" t="str">
        <f>IFERROR(__xludf.DUMMYFUNCTION("GoogleTranslate(C76, ""en"", ""si"")"),"ඉදිරි පැයවලදී {name} හි හිරු උදාව සහ හිරු බැසීම")</f>
        <v>ඉදිරි පැයවලදී {name} හි හිරු උදාව සහ හිරු බැසීම</v>
      </c>
      <c r="BC76" s="3" t="str">
        <f>IFERROR(__xludf.DUMMYFUNCTION("GoogleTranslate(C76, ""en"", ""sk"")"),"Východ a západ slnka v najbližších hodinách v meste {name}")</f>
        <v>Východ a západ slnka v najbližších hodinách v meste {name}</v>
      </c>
      <c r="BD76" s="3" t="str">
        <f>IFERROR(__xludf.DUMMYFUNCTION("GoogleTranslate(C76, ""en"", ""sl"")"),"Sončni vzhod in zahod v prihodnjih urah v {name}")</f>
        <v>Sončni vzhod in zahod v prihodnjih urah v {name}</v>
      </c>
      <c r="BE76" s="3" t="str">
        <f>IFERROR(__xludf.DUMMYFUNCTION("GoogleTranslate(C76, ""en"", ""es"")"),"Salida y puesta del sol en las próximas horas en {nombre}")</f>
        <v>Salida y puesta del sol en las próximas horas en {nombre}</v>
      </c>
      <c r="BF76" s="3" t="str">
        <f>IFERROR(__xludf.DUMMYFUNCTION("GoogleTranslate(C76, ""en"", ""sw"")"),"Jua kuchomoza na kutua katika saa zijazo katika {name}")</f>
        <v>Jua kuchomoza na kutua katika saa zijazo katika {name}</v>
      </c>
      <c r="BG76" s="3" t="str">
        <f>IFERROR(__xludf.DUMMYFUNCTION("GoogleTranslate(C76, ""en"", ""sv"")"),"Solens uppgång och solnedgång under de kommande timmarna i {name}")</f>
        <v>Solens uppgång och solnedgång under de kommande timmarna i {name}</v>
      </c>
      <c r="BH76" s="3" t="str">
        <f>IFERROR(__xludf.DUMMYFUNCTION("GoogleTranslate(C76, ""en"", ""te"")"),"{name}లో రాబోయే గంటల్లో సూర్యోదయం &amp; సూర్యాస్తమయం")</f>
        <v>{name}లో రాబోయే గంటల్లో సూర్యోదయం &amp; సూర్యాస్తమయం</v>
      </c>
      <c r="BI76" s="3" t="str">
        <f>IFERROR(__xludf.DUMMYFUNCTION("GoogleTranslate(C76, ""en"", ""th"")"),"พระอาทิตย์ขึ้นและพระอาทิตย์ตกในอีกไม่กี่ชั่วโมงข้างหน้าใน {name}")</f>
        <v>พระอาทิตย์ขึ้นและพระอาทิตย์ตกในอีกไม่กี่ชั่วโมงข้างหน้าใน {name}</v>
      </c>
      <c r="BJ76" s="3" t="str">
        <f>IFERROR(__xludf.DUMMYFUNCTION("GoogleTranslate(C76, ""en"", ""tr"")"),"Önümüzdeki saatlerde {name} şehrinde güneşin doğuşu ve batışı")</f>
        <v>Önümüzdeki saatlerde {name} şehrinde güneşin doğuşu ve batışı</v>
      </c>
      <c r="BK76" s="3" t="str">
        <f>IFERROR(__xludf.DUMMYFUNCTION("GoogleTranslate(C76, ""en"", ""uk"")"),"Схід і захід сонця найближчими годинами в {name}")</f>
        <v>Схід і захід сонця найближчими годинами в {name}</v>
      </c>
      <c r="BL76" s="3" t="str">
        <f>IFERROR(__xludf.DUMMYFUNCTION("GoogleTranslate(C76, ""en"", ""zu"")"),"Ukuphuma kwelanga nokushona kwelanga emahoreni azayo e-{name}")</f>
        <v>Ukuphuma kwelanga nokushona kwelanga emahoreni azayo e-{name}</v>
      </c>
    </row>
    <row r="77">
      <c r="A77" s="1" t="str">
        <f t="shared" si="1"/>
        <v>Rainfall_and_chance_of_rain_in_the_coming_hours_in_{name}</v>
      </c>
      <c r="B77" s="4" t="s">
        <v>135</v>
      </c>
      <c r="C77" s="1" t="str">
        <f t="shared" si="2"/>
        <v>Rainfall and chance of rain in the coming hours in {name}</v>
      </c>
      <c r="D77" s="3" t="str">
        <f>IFERROR(__xludf.DUMMYFUNCTION("GoogleTranslate(C77, ""en"", ""es"")"),"Precipitaciones y probabilidad de lluvia en las próximas horas en {nombre}")</f>
        <v>Precipitaciones y probabilidad de lluvia en las próximas horas en {nombre}</v>
      </c>
      <c r="E77" s="3" t="str">
        <f>IFERROR(__xludf.DUMMYFUNCTION("GoogleTranslate(C77, ""en"", ""ar"")"),"هطول الأمطار واحتمال هطول الأمطار خلال الساعات القادمة في {الاسم}")</f>
        <v>هطول الأمطار واحتمال هطول الأمطار خلال الساعات القادمة في {الاسم}</v>
      </c>
      <c r="F77" s="3" t="str">
        <f>IFERROR(__xludf.DUMMYFUNCTION("GoogleTranslate(C77, ""en"", ""hy"")"),"Առաջիկա ժամերին տեղումներ և անձրևի հավանականություն {name}-ում")</f>
        <v>Առաջիկա ժամերին տեղումներ և անձրևի հավանականություն {name}-ում</v>
      </c>
      <c r="G77" s="3" t="str">
        <f>IFERROR(__xludf.DUMMYFUNCTION("GoogleTranslate(C77, ""en"", ""vi"")"),"Lượng mưa và khả năng có mưa trong những giờ tới tại {name}")</f>
        <v>Lượng mưa và khả năng có mưa trong những giờ tới tại {name}</v>
      </c>
      <c r="H77" s="3" t="str">
        <f>IFERROR(__xludf.DUMMYFUNCTION("GoogleTranslate(C77, ""en"", ""az"")"),"{name} ərazisində yaxın saatlarda yağış və yağış ehtimalı")</f>
        <v>{name} ərazisində yaxın saatlarda yağış və yağış ehtimalı</v>
      </c>
      <c r="I77" s="3" t="str">
        <f>IFERROR(__xludf.DUMMYFUNCTION("GoogleTranslate(C77, ""en"", ""eu"")"),"Euria eta euria egiteko aukera datozen orduetan {name}")</f>
        <v>Euria eta euria egiteko aukera datozen orduetan {name}</v>
      </c>
      <c r="J77" s="3" t="str">
        <f>IFERROR(__xludf.DUMMYFUNCTION("GoogleTranslate(C77, ""en"", ""be"")"),"Ападкі і верагоднасць дажджу ў бліжэйшыя гадзіны ў {name}")</f>
        <v>Ападкі і верагоднасць дажджу ў бліжэйшыя гадзіны ў {name}</v>
      </c>
      <c r="K77" s="3" t="str">
        <f>IFERROR(__xludf.DUMMYFUNCTION("GoogleTranslate(C77, ""en"", ""bn"")"),"{name} এ আগামী ঘণ্টায় বৃষ্টিপাত এবং বৃষ্টির সম্ভাবনা")</f>
        <v>{name} এ আগামী ঘণ্টায় বৃষ্টিপাত এবং বৃষ্টির সম্ভাবনা</v>
      </c>
      <c r="L77" s="3" t="str">
        <f>IFERROR(__xludf.DUMMYFUNCTION("GoogleTranslate(C77, ""en"", ""bg"")"),"Валежи и вероятност за дъжд през следващите часове в {name}")</f>
        <v>Валежи и вероятност за дъжд през следващите часове в {name}</v>
      </c>
      <c r="M77" s="3" t="str">
        <f>IFERROR(__xludf.DUMMYFUNCTION("GoogleTranslate(C77, ""en"", ""my"")"),"လာမည့်နာရီများတွင် မိုးရွာသွန်းမှုနှင့် မိုးရွာသွန်းနိုင်ခြေ {name}")</f>
        <v>လာမည့်နာရီများတွင် မိုးရွာသွန်းမှုနှင့် မိုးရွာသွန်းနိုင်ခြေ {name}</v>
      </c>
      <c r="N77" s="3" t="str">
        <f>IFERROR(__xludf.DUMMYFUNCTION("GoogleTranslate(C77, ""en"", ""ca"")"),"Precipitacions i possibilitats de pluja en les properes hores a {name}")</f>
        <v>Precipitacions i possibilitats de pluja en les properes hores a {name}</v>
      </c>
      <c r="O77" s="3" t="str">
        <f>IFERROR(__xludf.DUMMYFUNCTION("GoogleTranslate(C77, ""en"", ""zh-cn"")"),"{name} 未来几小时的降雨量和下雨概率")</f>
        <v>{name} 未来几小时的降雨量和下雨概率</v>
      </c>
      <c r="P77" s="3" t="str">
        <f>IFERROR(__xludf.DUMMYFUNCTION("GoogleTranslate(C77, ""en"", ""zh-TW"")"),"{name} 未來幾小時的降雨量和下雨機率")</f>
        <v>{name} 未來幾小時的降雨量和下雨機率</v>
      </c>
      <c r="Q77" s="3" t="str">
        <f>IFERROR(__xludf.DUMMYFUNCTION("GoogleTranslate(C77, ""en"", ""hr"")"),"Oborine i mogućnost kiše u sljedećim satima u {name}")</f>
        <v>Oborine i mogućnost kiše u sljedećim satima u {name}</v>
      </c>
      <c r="R77" s="3" t="str">
        <f>IFERROR(__xludf.DUMMYFUNCTION("GoogleTranslate(C77, ""en"", ""cs"")"),"Srážky a možnost deště v nadcházejících hodinách v {name}")</f>
        <v>Srážky a možnost deště v nadcházejících hodinách v {name}</v>
      </c>
      <c r="S77" s="3" t="str">
        <f>IFERROR(__xludf.DUMMYFUNCTION("GoogleTranslate(C77, ""en"", ""da"")"),"Regn og chance for regn i de kommende timer i {name}")</f>
        <v>Regn og chance for regn i de kommende timer i {name}</v>
      </c>
      <c r="T77" s="3" t="str">
        <f>IFERROR(__xludf.DUMMYFUNCTION("GoogleTranslate(C77, ""en"", ""nl"")"),"Neerslag en kans op regen de komende uren in {name}")</f>
        <v>Neerslag en kans op regen de komende uren in {name}</v>
      </c>
      <c r="U77" s="3" t="str">
        <f>IFERROR(__xludf.DUMMYFUNCTION("GoogleTranslate(C77, ""en"", ""et"")"),"Lähitundidel sajab vihma ja vihma võimalus asukohas {name}")</f>
        <v>Lähitundidel sajab vihma ja vihma võimalus asukohas {name}</v>
      </c>
      <c r="V77" s="1" t="str">
        <f t="shared" si="3"/>
        <v>Rainfall and chance of rain in the coming hours in {name}</v>
      </c>
      <c r="W77" s="3" t="str">
        <f>IFERROR(__xludf.DUMMYFUNCTION("GoogleTranslate(C77, ""en"", ""fi"")"),"Sademäärä ja sateen mahdollisuus lähituntien aikana paikassa {name}")</f>
        <v>Sademäärä ja sateen mahdollisuus lähituntien aikana paikassa {name}</v>
      </c>
      <c r="X77" s="3" t="str">
        <f>IFERROR(__xludf.DUMMYFUNCTION("GoogleTranslate(C77, ""en"", ""fr"")"),"Précipitations et risques de pluie dans les heures à venir à {name}")</f>
        <v>Précipitations et risques de pluie dans les heures à venir à {name}</v>
      </c>
      <c r="Y77" s="3" t="str">
        <f>IFERROR(__xludf.DUMMYFUNCTION("GoogleTranslate(C77, ""en"", ""de"")"),"Niederschlag und Regenwahrscheinlichkeit in den kommenden Stunden in {name}")</f>
        <v>Niederschlag und Regenwahrscheinlichkeit in den kommenden Stunden in {name}</v>
      </c>
      <c r="Z77" s="3" t="str">
        <f>IFERROR(__xludf.DUMMYFUNCTION("GoogleTranslate(C77, ""en"", ""el"")"),"Βροχόπτωση και πιθανότητα βροχής τις επόμενες ώρες στο {name}")</f>
        <v>Βροχόπτωση και πιθανότητα βροχής τις επόμενες ώρες στο {name}</v>
      </c>
      <c r="AA77" s="3" t="str">
        <f>IFERROR(__xludf.DUMMYFUNCTION("GoogleTranslate(C77, ""en"", ""iw"")"),"גשם וסיכוי לגשם בשעות הקרובות ב{name}")</f>
        <v>גשם וסיכוי לגשם בשעות הקרובות ב{name}</v>
      </c>
      <c r="AB77" s="3" t="str">
        <f>IFERROR(__xludf.DUMMYFUNCTION("GoogleTranslate(C77, ""en"", ""hi"")"),"{नाम} में आने वाले घंटों में बारिश और बारिश की संभावना")</f>
        <v>{नाम} में आने वाले घंटों में बारिश और बारिश की संभावना</v>
      </c>
      <c r="AC77" s="3" t="str">
        <f>IFERROR(__xludf.DUMMYFUNCTION("GoogleTranslate(C77, ""en"", ""hu"")"),"Csapadék és eső valószínűsége a következő órákban itt: {name}")</f>
        <v>Csapadék és eső valószínűsége a következő órákban itt: {name}</v>
      </c>
      <c r="AD77" s="3" t="str">
        <f>IFERROR(__xludf.DUMMYFUNCTION("GoogleTranslate(C77, ""en"", ""is"")"),"Úrkoma og líkur á rigningu á næstu klukkustundum í {name}")</f>
        <v>Úrkoma og líkur á rigningu á næstu klukkustundum í {name}</v>
      </c>
      <c r="AE77" s="3" t="str">
        <f>IFERROR(__xludf.DUMMYFUNCTION("GoogleTranslate(C77, ""en"", ""id"")"),"Curah hujan dan kemungkinan hujan dalam beberapa jam mendatang di {name}")</f>
        <v>Curah hujan dan kemungkinan hujan dalam beberapa jam mendatang di {name}</v>
      </c>
      <c r="AF77" s="3" t="str">
        <f>IFERROR(__xludf.DUMMYFUNCTION("GoogleTranslate(C77, ""en"", ""in"")"),"Curah hujan dan kemungkinan hujan dalam beberapa jam mendatang di {name}")</f>
        <v>Curah hujan dan kemungkinan hujan dalam beberapa jam mendatang di {name}</v>
      </c>
      <c r="AG77" s="3" t="str">
        <f>IFERROR(__xludf.DUMMYFUNCTION("GoogleTranslate(C77, ""en"", ""it"")"),"Precipitazioni e possibilità di pioggia nelle prossime ore a {name}")</f>
        <v>Precipitazioni e possibilità di pioggia nelle prossime ore a {name}</v>
      </c>
      <c r="AH77" s="3" t="str">
        <f>IFERROR(__xludf.DUMMYFUNCTION("GoogleTranslate(C77, ""en"", ""ja"")"),"{name}の今後数時間の降水量と降水確率")</f>
        <v>{name}の今後数時間の降水量と降水確率</v>
      </c>
      <c r="AI77" s="3" t="str">
        <f>IFERROR(__xludf.DUMMYFUNCTION("GoogleTranslate(C77, ""en"", ""kn"")"),"{name} ನಲ್ಲಿ ಮುಂಬರುವ ಗಂಟೆಗಳಲ್ಲಿ ಮಳೆಯ ಪ್ರಮಾಣ ಮತ್ತು ಮಳೆಯ ಸಾಧ್ಯತೆ")</f>
        <v>{name} ನಲ್ಲಿ ಮುಂಬರುವ ಗಂಟೆಗಳಲ್ಲಿ ಮಳೆಯ ಪ್ರಮಾಣ ಮತ್ತು ಮಳೆಯ ಸಾಧ್ಯತೆ</v>
      </c>
      <c r="AJ77" s="3" t="str">
        <f>IFERROR(__xludf.DUMMYFUNCTION("GoogleTranslate(C77, ""en"", ""km"")"),"ជំនន់ទឹកភ្លៀង និងឱកាសនៃភ្លៀងនៅប៉ុន្មានម៉ោងខាងមុខនៅក្នុង {name}")</f>
        <v>ជំនន់ទឹកភ្លៀង និងឱកាសនៃភ្លៀងនៅប៉ុន្មានម៉ោងខាងមុខនៅក្នុង {name}</v>
      </c>
      <c r="AK77" s="3" t="str">
        <f>IFERROR(__xludf.DUMMYFUNCTION("GoogleTranslate(C77, ""en"", ""ko"")"),"{name}에 앞으로 몇 시간 동안 강우량 및 비 올 확률")</f>
        <v>{name}에 앞으로 몇 시간 동안 강우량 및 비 올 확률</v>
      </c>
      <c r="AL77" s="3" t="str">
        <f>IFERROR(__xludf.DUMMYFUNCTION("GoogleTranslate(C77, ""en"", ""lo"")"),"ປະລິມານນ້ຳຝົນ ແລະ ໂອກາດຝົນຕົກໃນຊົ່ວໂມງຂ້າງໜ້າໃນ {name}")</f>
        <v>ປະລິມານນ້ຳຝົນ ແລະ ໂອກາດຝົນຕົກໃນຊົ່ວໂມງຂ້າງໜ້າໃນ {name}</v>
      </c>
      <c r="AM77" s="3" t="str">
        <f>IFERROR(__xludf.DUMMYFUNCTION("GoogleTranslate(C77, ""en"", ""lv"")"),"Nokrišņi un lietus iespējamība tuvākajās stundās šeit: {name}")</f>
        <v>Nokrišņi un lietus iespējamība tuvākajās stundās šeit: {name}</v>
      </c>
      <c r="AN77" s="3" t="str">
        <f>IFERROR(__xludf.DUMMYFUNCTION("GoogleTranslate(C77, ""en"", ""lt"")"),"Krituliai ir lietaus tikimybė artimiausiomis valandomis {name}")</f>
        <v>Krituliai ir lietaus tikimybė artimiausiomis valandomis {name}</v>
      </c>
      <c r="AO77" s="3" t="str">
        <f>IFERROR(__xludf.DUMMYFUNCTION("GoogleTranslate(C77, ""en"", ""mk"")"),"Врнежи и можност за дожд во наредните часови во {name}")</f>
        <v>Врнежи и можност за дожд во наредните часови во {name}</v>
      </c>
      <c r="AP77" s="3" t="str">
        <f>IFERROR(__xludf.DUMMYFUNCTION("GoogleTranslate(C77, ""en"", ""ms"")"),"Hujan dan kemungkinan hujan dalam beberapa jam akan datang di {name}")</f>
        <v>Hujan dan kemungkinan hujan dalam beberapa jam akan datang di {name}</v>
      </c>
      <c r="AQ77" s="3" t="str">
        <f>IFERROR(__xludf.DUMMYFUNCTION("GoogleTranslate(C77, ""en"", ""ml"")"),"{name} എന്ന സ്ഥലത്ത് വരും മണിക്കൂറുകളിൽ മഴയും മഴയ്ക്കുള്ള സാധ്യതയും")</f>
        <v>{name} എന്ന സ്ഥലത്ത് വരും മണിക്കൂറുകളിൽ മഴയും മഴയ്ക്കുള്ള സാധ്യതയും</v>
      </c>
      <c r="AR77" s="3" t="str">
        <f>IFERROR(__xludf.DUMMYFUNCTION("GoogleTranslate(C77, ""en"", ""mr"")"),"{name} मध्ये येत्या काही तासांत पाऊस आणि पावसाची शक्यता")</f>
        <v>{name} मध्ये येत्या काही तासांत पाऊस आणि पावसाची शक्यता</v>
      </c>
      <c r="AS77" s="3" t="str">
        <f>IFERROR(__xludf.DUMMYFUNCTION("GoogleTranslate(C77, ""en"", ""mn"")"),"{name}-д ойрын цагт хур тунадас орж, бороо орох магадлалтай")</f>
        <v>{name}-д ойрын цагт хур тунадас орж, бороо орох магадлалтай</v>
      </c>
      <c r="AT77" s="3" t="str">
        <f>IFERROR(__xludf.DUMMYFUNCTION("GoogleTranslate(C77, ""en"", ""ne"")"),"{name} मा अबको केही घण्टामा पानी पर्ने र वर्षाको सम्भावना")</f>
        <v>{name} मा अबको केही घण्टामा पानी पर्ने र वर्षाको सम्भावना</v>
      </c>
      <c r="AU77" s="3" t="str">
        <f>IFERROR(__xludf.DUMMYFUNCTION("GoogleTranslate(C77, ""en"", ""nb"")"),"Nedbør og sjanse for regn de kommende timene i {name}")</f>
        <v>Nedbør og sjanse for regn de kommende timene i {name}</v>
      </c>
      <c r="AV77" s="3" t="str">
        <f>IFERROR(__xludf.DUMMYFUNCTION("GoogleTranslate(C77, ""en"", ""fa"")"),"بارش و احتمال بارندگی در ساعات آینده در {name}")</f>
        <v>بارش و احتمال بارندگی در ساعات آینده در {name}</v>
      </c>
      <c r="AW77" s="3" t="str">
        <f>IFERROR(__xludf.DUMMYFUNCTION("GoogleTranslate(C77, ""en"", ""pl"")"),"Opady deszczu i możliwe opady deszczu w nadchodzących godzinach w {name}")</f>
        <v>Opady deszczu i możliwe opady deszczu w nadchodzących godzinach w {name}</v>
      </c>
      <c r="AX77" s="3" t="str">
        <f>IFERROR(__xludf.DUMMYFUNCTION("GoogleTranslate(C77, ""en"", ""pt"")"),"Precipitação e possibilidade de chuva nas próximas horas em {nome}")</f>
        <v>Precipitação e possibilidade de chuva nas próximas horas em {nome}</v>
      </c>
      <c r="AY77" s="3" t="str">
        <f>IFERROR(__xludf.DUMMYFUNCTION("GoogleTranslate(C77, ""en"", ""ro"")"),"Precipitații și șanse de ploaie în următoarele ore în {name}")</f>
        <v>Precipitații și șanse de ploaie în următoarele ore în {name}</v>
      </c>
      <c r="AZ77" s="3" t="str">
        <f>IFERROR(__xludf.DUMMYFUNCTION("GoogleTranslate(C77, ""en"", ""ru"")"),"Количество осадков и вероятность дождя в ближайшие часы в {name}")</f>
        <v>Количество осадков и вероятность дождя в ближайшие часы в {name}</v>
      </c>
      <c r="BA77" s="3" t="str">
        <f>IFERROR(__xludf.DUMMYFUNCTION("GoogleTranslate(C77, ""en"", ""sr"")"),"Падавине и шанса за кишу у наредним сатима у {наме}")</f>
        <v>Падавине и шанса за кишу у наредним сатима у {наме}</v>
      </c>
      <c r="BB77" s="3" t="str">
        <f>IFERROR(__xludf.DUMMYFUNCTION("GoogleTranslate(C77, ""en"", ""si"")"),"{name} හි ඉදිරි පැය වලදී වර්ෂාපතනය සහ වර්ෂාපතන අවස්ථාව")</f>
        <v>{name} හි ඉදිරි පැය වලදී වර්ෂාපතනය සහ වර්ෂාපතන අවස්ථාව</v>
      </c>
      <c r="BC77" s="3" t="str">
        <f>IFERROR(__xludf.DUMMYFUNCTION("GoogleTranslate(C77, ""en"", ""sk"")"),"Zrážky a možnosť dažďa v najbližších hodinách v meste {name}")</f>
        <v>Zrážky a možnosť dažďa v najbližších hodinách v meste {name}</v>
      </c>
      <c r="BD77" s="3" t="str">
        <f>IFERROR(__xludf.DUMMYFUNCTION("GoogleTranslate(C77, ""en"", ""sl"")"),"Padavine in možnost dežja v prihodnjih urah v {name}")</f>
        <v>Padavine in možnost dežja v prihodnjih urah v {name}</v>
      </c>
      <c r="BE77" s="3" t="str">
        <f>IFERROR(__xludf.DUMMYFUNCTION("GoogleTranslate(C77, ""en"", ""es"")"),"Precipitaciones y probabilidad de lluvia en las próximas horas en {nombre}")</f>
        <v>Precipitaciones y probabilidad de lluvia en las próximas horas en {nombre}</v>
      </c>
      <c r="BF77" s="3" t="str">
        <f>IFERROR(__xludf.DUMMYFUNCTION("GoogleTranslate(C77, ""en"", ""sw"")"),"Mvua na uwezekano wa kunyesha katika saa zijazo katika {name}")</f>
        <v>Mvua na uwezekano wa kunyesha katika saa zijazo katika {name}</v>
      </c>
      <c r="BG77" s="3" t="str">
        <f>IFERROR(__xludf.DUMMYFUNCTION("GoogleTranslate(C77, ""en"", ""sv"")"),"Nederbörd och risk för regn under de kommande timmarna i {name}")</f>
        <v>Nederbörd och risk för regn under de kommande timmarna i {name}</v>
      </c>
      <c r="BH77" s="3" t="str">
        <f>IFERROR(__xludf.DUMMYFUNCTION("GoogleTranslate(C77, ""en"", ""te"")"),"{name}లో రాబోయే గంటల్లో వర్షపాతం మరియు వర్షం పడే అవకాశం")</f>
        <v>{name}లో రాబోయే గంటల్లో వర్షపాతం మరియు వర్షం పడే అవకాశం</v>
      </c>
      <c r="BI77" s="3" t="str">
        <f>IFERROR(__xludf.DUMMYFUNCTION("GoogleTranslate(C77, ""en"", ""th"")"),"ฝนตกและมีโอกาสเกิดฝนในอีกไม่กี่ชั่วโมงข้างหน้าใน {name}")</f>
        <v>ฝนตกและมีโอกาสเกิดฝนในอีกไม่กี่ชั่วโมงข้างหน้าใน {name}</v>
      </c>
      <c r="BJ77" s="3" t="str">
        <f>IFERROR(__xludf.DUMMYFUNCTION("GoogleTranslate(C77, ""en"", ""tr"")"),"{name} için önümüzdeki saatlerde yağış ve yağmur ihtimali")</f>
        <v>{name} için önümüzdeki saatlerde yağış ve yağmur ihtimali</v>
      </c>
      <c r="BK77" s="3" t="str">
        <f>IFERROR(__xludf.DUMMYFUNCTION("GoogleTranslate(C77, ""en"", ""uk"")"),"Опади та ймовірність дощу найближчими годинами в {name}")</f>
        <v>Опади та ймовірність дощу найближчими годинами в {name}</v>
      </c>
      <c r="BL77" s="3" t="str">
        <f>IFERROR(__xludf.DUMMYFUNCTION("GoogleTranslate(C77, ""en"", ""zu"")"),"Imvula nethuba lemvula emahoreni azayo e-{name}")</f>
        <v>Imvula nethuba lemvula emahoreni azayo e-{name}</v>
      </c>
    </row>
    <row r="78">
      <c r="A78" s="1" t="str">
        <f t="shared" si="1"/>
        <v>month</v>
      </c>
      <c r="B78" s="4" t="s">
        <v>136</v>
      </c>
      <c r="C78" s="1" t="str">
        <f t="shared" si="2"/>
        <v>month</v>
      </c>
      <c r="D78" s="3" t="str">
        <f>IFERROR(__xludf.DUMMYFUNCTION("GoogleTranslate(C78, ""en"", ""es"")"),"mes")</f>
        <v>mes</v>
      </c>
      <c r="E78" s="3" t="str">
        <f>IFERROR(__xludf.DUMMYFUNCTION("GoogleTranslate(C78, ""en"", ""ar"")"),"شهر")</f>
        <v>شهر</v>
      </c>
      <c r="F78" s="3" t="str">
        <f>IFERROR(__xludf.DUMMYFUNCTION("GoogleTranslate(C78, ""en"", ""hy"")"),"ամիս")</f>
        <v>ամիս</v>
      </c>
      <c r="G78" s="3" t="str">
        <f>IFERROR(__xludf.DUMMYFUNCTION("GoogleTranslate(C78, ""en"", ""vi"")"),"tháng")</f>
        <v>tháng</v>
      </c>
      <c r="H78" s="3" t="str">
        <f>IFERROR(__xludf.DUMMYFUNCTION("GoogleTranslate(C78, ""en"", ""az"")"),"ay")</f>
        <v>ay</v>
      </c>
      <c r="I78" s="3" t="str">
        <f>IFERROR(__xludf.DUMMYFUNCTION("GoogleTranslate(C78, ""en"", ""eu"")"),"hilabetea")</f>
        <v>hilabetea</v>
      </c>
      <c r="J78" s="3" t="str">
        <f>IFERROR(__xludf.DUMMYFUNCTION("GoogleTranslate(C78, ""en"", ""be"")"),"месяц")</f>
        <v>месяц</v>
      </c>
      <c r="K78" s="3" t="str">
        <f>IFERROR(__xludf.DUMMYFUNCTION("GoogleTranslate(C78, ""en"", ""bn"")"),"মাস")</f>
        <v>মাস</v>
      </c>
      <c r="L78" s="3" t="str">
        <f>IFERROR(__xludf.DUMMYFUNCTION("GoogleTranslate(C78, ""en"", ""bg"")"),"месец")</f>
        <v>месец</v>
      </c>
      <c r="M78" s="3" t="str">
        <f>IFERROR(__xludf.DUMMYFUNCTION("GoogleTranslate(C78, ""en"", ""my"")"),"လ")</f>
        <v>လ</v>
      </c>
      <c r="N78" s="3" t="str">
        <f>IFERROR(__xludf.DUMMYFUNCTION("GoogleTranslate(C78, ""en"", ""ca"")"),"mes")</f>
        <v>mes</v>
      </c>
      <c r="O78" s="3" t="str">
        <f>IFERROR(__xludf.DUMMYFUNCTION("GoogleTranslate(C78, ""en"", ""zh-cn"")"),"月")</f>
        <v>月</v>
      </c>
      <c r="P78" s="3" t="str">
        <f>IFERROR(__xludf.DUMMYFUNCTION("GoogleTranslate(C78, ""en"", ""zh-TW"")"),"月")</f>
        <v>月</v>
      </c>
      <c r="Q78" s="3" t="str">
        <f>IFERROR(__xludf.DUMMYFUNCTION("GoogleTranslate(C78, ""en"", ""hr"")"),"mjesec")</f>
        <v>mjesec</v>
      </c>
      <c r="R78" s="3" t="str">
        <f>IFERROR(__xludf.DUMMYFUNCTION("GoogleTranslate(C78, ""en"", ""cs"")"),"měsíc")</f>
        <v>měsíc</v>
      </c>
      <c r="S78" s="3" t="str">
        <f>IFERROR(__xludf.DUMMYFUNCTION("GoogleTranslate(C78, ""en"", ""da"")"),"måned")</f>
        <v>måned</v>
      </c>
      <c r="T78" s="3" t="str">
        <f>IFERROR(__xludf.DUMMYFUNCTION("GoogleTranslate(C78, ""en"", ""nl"")"),"maand")</f>
        <v>maand</v>
      </c>
      <c r="U78" s="3" t="str">
        <f>IFERROR(__xludf.DUMMYFUNCTION("GoogleTranslate(C78, ""en"", ""et"")"),"kuu")</f>
        <v>kuu</v>
      </c>
      <c r="V78" s="1" t="str">
        <f t="shared" si="3"/>
        <v>month</v>
      </c>
      <c r="W78" s="3" t="str">
        <f>IFERROR(__xludf.DUMMYFUNCTION("GoogleTranslate(C78, ""en"", ""fi"")"),"kuukausi")</f>
        <v>kuukausi</v>
      </c>
      <c r="X78" s="3" t="str">
        <f>IFERROR(__xludf.DUMMYFUNCTION("GoogleTranslate(C78, ""en"", ""fr"")"),"mois")</f>
        <v>mois</v>
      </c>
      <c r="Y78" s="3" t="str">
        <f>IFERROR(__xludf.DUMMYFUNCTION("GoogleTranslate(C78, ""en"", ""de"")"),"Monat")</f>
        <v>Monat</v>
      </c>
      <c r="Z78" s="3" t="str">
        <f>IFERROR(__xludf.DUMMYFUNCTION("GoogleTranslate(C78, ""en"", ""el"")"),"μήνας")</f>
        <v>μήνας</v>
      </c>
      <c r="AA78" s="3" t="str">
        <f>IFERROR(__xludf.DUMMYFUNCTION("GoogleTranslate(C78, ""en"", ""iw"")"),"חוֹדֶשׁ")</f>
        <v>חוֹדֶשׁ</v>
      </c>
      <c r="AB78" s="3" t="str">
        <f>IFERROR(__xludf.DUMMYFUNCTION("GoogleTranslate(C78, ""en"", ""hi"")"),"महीना")</f>
        <v>महीना</v>
      </c>
      <c r="AC78" s="3" t="str">
        <f>IFERROR(__xludf.DUMMYFUNCTION("GoogleTranslate(C78, ""en"", ""hu"")"),"hónap")</f>
        <v>hónap</v>
      </c>
      <c r="AD78" s="3" t="str">
        <f>IFERROR(__xludf.DUMMYFUNCTION("GoogleTranslate(C78, ""en"", ""is"")"),"mánuði")</f>
        <v>mánuði</v>
      </c>
      <c r="AE78" s="3" t="str">
        <f>IFERROR(__xludf.DUMMYFUNCTION("GoogleTranslate(C78, ""en"", ""id"")"),"bulan")</f>
        <v>bulan</v>
      </c>
      <c r="AF78" s="3" t="str">
        <f>IFERROR(__xludf.DUMMYFUNCTION("GoogleTranslate(C78, ""en"", ""in"")"),"bulan")</f>
        <v>bulan</v>
      </c>
      <c r="AG78" s="3" t="str">
        <f>IFERROR(__xludf.DUMMYFUNCTION("GoogleTranslate(C78, ""en"", ""it"")"),"mese")</f>
        <v>mese</v>
      </c>
      <c r="AH78" s="3" t="str">
        <f>IFERROR(__xludf.DUMMYFUNCTION("GoogleTranslate(C78, ""en"", ""ja"")"),"月")</f>
        <v>月</v>
      </c>
      <c r="AI78" s="3" t="str">
        <f>IFERROR(__xludf.DUMMYFUNCTION("GoogleTranslate(C78, ""en"", ""kn"")"),"ತಿಂಗಳು")</f>
        <v>ತಿಂಗಳು</v>
      </c>
      <c r="AJ78" s="3" t="str">
        <f>IFERROR(__xludf.DUMMYFUNCTION("GoogleTranslate(C78, ""en"", ""km"")"),"ខែ")</f>
        <v>ខែ</v>
      </c>
      <c r="AK78" s="3" t="str">
        <f>IFERROR(__xludf.DUMMYFUNCTION("GoogleTranslate(C78, ""en"", ""ko"")"),"월")</f>
        <v>월</v>
      </c>
      <c r="AL78" s="3" t="str">
        <f>IFERROR(__xludf.DUMMYFUNCTION("GoogleTranslate(C78, ""en"", ""lo"")"),"ເດືອນ")</f>
        <v>ເດືອນ</v>
      </c>
      <c r="AM78" s="3" t="str">
        <f>IFERROR(__xludf.DUMMYFUNCTION("GoogleTranslate(C78, ""en"", ""lv"")"),"mēnesis")</f>
        <v>mēnesis</v>
      </c>
      <c r="AN78" s="3" t="str">
        <f>IFERROR(__xludf.DUMMYFUNCTION("GoogleTranslate(C78, ""en"", ""lt"")"),"mėnuo")</f>
        <v>mėnuo</v>
      </c>
      <c r="AO78" s="3" t="str">
        <f>IFERROR(__xludf.DUMMYFUNCTION("GoogleTranslate(C78, ""en"", ""mk"")"),"месец")</f>
        <v>месец</v>
      </c>
      <c r="AP78" s="3" t="str">
        <f>IFERROR(__xludf.DUMMYFUNCTION("GoogleTranslate(C78, ""en"", ""ms"")"),"bulan")</f>
        <v>bulan</v>
      </c>
      <c r="AQ78" s="3" t="str">
        <f>IFERROR(__xludf.DUMMYFUNCTION("GoogleTranslate(C78, ""en"", ""ml"")"),"മാസം")</f>
        <v>മാസം</v>
      </c>
      <c r="AR78" s="3" t="str">
        <f>IFERROR(__xludf.DUMMYFUNCTION("GoogleTranslate(C78, ""en"", ""mr"")"),"महिना")</f>
        <v>महिना</v>
      </c>
      <c r="AS78" s="3" t="str">
        <f>IFERROR(__xludf.DUMMYFUNCTION("GoogleTranslate(C78, ""en"", ""mn"")"),"сар")</f>
        <v>сар</v>
      </c>
      <c r="AT78" s="3" t="str">
        <f>IFERROR(__xludf.DUMMYFUNCTION("GoogleTranslate(C78, ""en"", ""ne"")"),"महिना")</f>
        <v>महिना</v>
      </c>
      <c r="AU78" s="3" t="str">
        <f>IFERROR(__xludf.DUMMYFUNCTION("GoogleTranslate(C78, ""en"", ""nb"")"),"måned")</f>
        <v>måned</v>
      </c>
      <c r="AV78" s="3" t="str">
        <f>IFERROR(__xludf.DUMMYFUNCTION("GoogleTranslate(C78, ""en"", ""fa"")"),"ماه")</f>
        <v>ماه</v>
      </c>
      <c r="AW78" s="3" t="str">
        <f>IFERROR(__xludf.DUMMYFUNCTION("GoogleTranslate(C78, ""en"", ""pl"")"),"miesiąc")</f>
        <v>miesiąc</v>
      </c>
      <c r="AX78" s="3" t="str">
        <f>IFERROR(__xludf.DUMMYFUNCTION("GoogleTranslate(C78, ""en"", ""pt"")"),"mês")</f>
        <v>mês</v>
      </c>
      <c r="AY78" s="3" t="str">
        <f>IFERROR(__xludf.DUMMYFUNCTION("GoogleTranslate(C78, ""en"", ""ro"")"),"lună")</f>
        <v>lună</v>
      </c>
      <c r="AZ78" s="3" t="str">
        <f>IFERROR(__xludf.DUMMYFUNCTION("GoogleTranslate(C78, ""en"", ""ru"")"),"месяц")</f>
        <v>месяц</v>
      </c>
      <c r="BA78" s="3" t="str">
        <f>IFERROR(__xludf.DUMMYFUNCTION("GoogleTranslate(C78, ""en"", ""sr"")"),"месец")</f>
        <v>месец</v>
      </c>
      <c r="BB78" s="3" t="str">
        <f>IFERROR(__xludf.DUMMYFUNCTION("GoogleTranslate(C78, ""en"", ""si"")"),"මාසය")</f>
        <v>මාසය</v>
      </c>
      <c r="BC78" s="3" t="str">
        <f>IFERROR(__xludf.DUMMYFUNCTION("GoogleTranslate(C78, ""en"", ""sk"")"),"mesiac")</f>
        <v>mesiac</v>
      </c>
      <c r="BD78" s="3" t="str">
        <f>IFERROR(__xludf.DUMMYFUNCTION("GoogleTranslate(C78, ""en"", ""sl"")"),"mesec")</f>
        <v>mesec</v>
      </c>
      <c r="BE78" s="3" t="str">
        <f>IFERROR(__xludf.DUMMYFUNCTION("GoogleTranslate(C78, ""en"", ""es"")"),"mes")</f>
        <v>mes</v>
      </c>
      <c r="BF78" s="3" t="str">
        <f>IFERROR(__xludf.DUMMYFUNCTION("GoogleTranslate(C78, ""en"", ""sw"")"),"mwezi")</f>
        <v>mwezi</v>
      </c>
      <c r="BG78" s="3" t="str">
        <f>IFERROR(__xludf.DUMMYFUNCTION("GoogleTranslate(C78, ""en"", ""sv"")"),"månad")</f>
        <v>månad</v>
      </c>
      <c r="BH78" s="3" t="str">
        <f>IFERROR(__xludf.DUMMYFUNCTION("GoogleTranslate(C78, ""en"", ""te"")"),"నెల")</f>
        <v>నెల</v>
      </c>
      <c r="BI78" s="3" t="str">
        <f>IFERROR(__xludf.DUMMYFUNCTION("GoogleTranslate(C78, ""en"", ""th"")"),"เดือน")</f>
        <v>เดือน</v>
      </c>
      <c r="BJ78" s="3" t="str">
        <f>IFERROR(__xludf.DUMMYFUNCTION("GoogleTranslate(C78, ""en"", ""tr"")"),"ay")</f>
        <v>ay</v>
      </c>
      <c r="BK78" s="3" t="str">
        <f>IFERROR(__xludf.DUMMYFUNCTION("GoogleTranslate(C78, ""en"", ""uk"")"),"місяць")</f>
        <v>місяць</v>
      </c>
      <c r="BL78" s="3" t="str">
        <f>IFERROR(__xludf.DUMMYFUNCTION("GoogleTranslate(C78, ""en"", ""zu"")"),"inyanga")</f>
        <v>inyanga</v>
      </c>
    </row>
    <row r="79">
      <c r="A79" s="1" t="str">
        <f t="shared" si="1"/>
        <v>day</v>
      </c>
      <c r="B79" s="4" t="s">
        <v>137</v>
      </c>
      <c r="C79" s="1" t="str">
        <f t="shared" si="2"/>
        <v>day</v>
      </c>
      <c r="D79" s="3" t="str">
        <f>IFERROR(__xludf.DUMMYFUNCTION("GoogleTranslate(C79, ""en"", ""es"")"),"día")</f>
        <v>día</v>
      </c>
      <c r="E79" s="3" t="str">
        <f>IFERROR(__xludf.DUMMYFUNCTION("GoogleTranslate(C79, ""en"", ""ar"")"),"يوم")</f>
        <v>يوم</v>
      </c>
      <c r="F79" s="3" t="str">
        <f>IFERROR(__xludf.DUMMYFUNCTION("GoogleTranslate(C79, ""en"", ""hy"")"),"օր")</f>
        <v>օր</v>
      </c>
      <c r="G79" s="3" t="str">
        <f>IFERROR(__xludf.DUMMYFUNCTION("GoogleTranslate(C79, ""en"", ""vi"")"),"ngày")</f>
        <v>ngày</v>
      </c>
      <c r="H79" s="3" t="str">
        <f>IFERROR(__xludf.DUMMYFUNCTION("GoogleTranslate(C79, ""en"", ""az"")"),"gün")</f>
        <v>gün</v>
      </c>
      <c r="I79" s="3" t="str">
        <f>IFERROR(__xludf.DUMMYFUNCTION("GoogleTranslate(C79, ""en"", ""eu"")"),"eguna")</f>
        <v>eguna</v>
      </c>
      <c r="J79" s="3" t="str">
        <f>IFERROR(__xludf.DUMMYFUNCTION("GoogleTranslate(C79, ""en"", ""be"")"),"дзень")</f>
        <v>дзень</v>
      </c>
      <c r="K79" s="3" t="str">
        <f>IFERROR(__xludf.DUMMYFUNCTION("GoogleTranslate(C79, ""en"", ""bn"")"),"দিন")</f>
        <v>দিন</v>
      </c>
      <c r="L79" s="3" t="str">
        <f>IFERROR(__xludf.DUMMYFUNCTION("GoogleTranslate(C79, ""en"", ""bg"")"),"ден")</f>
        <v>ден</v>
      </c>
      <c r="M79" s="3" t="str">
        <f>IFERROR(__xludf.DUMMYFUNCTION("GoogleTranslate(C79, ""en"", ""my"")"),"နေ့")</f>
        <v>နေ့</v>
      </c>
      <c r="N79" s="3" t="str">
        <f>IFERROR(__xludf.DUMMYFUNCTION("GoogleTranslate(C79, ""en"", ""ca"")"),"dia")</f>
        <v>dia</v>
      </c>
      <c r="O79" s="3" t="str">
        <f>IFERROR(__xludf.DUMMYFUNCTION("GoogleTranslate(C79, ""en"", ""zh-cn"")"),"天")</f>
        <v>天</v>
      </c>
      <c r="P79" s="3" t="str">
        <f>IFERROR(__xludf.DUMMYFUNCTION("GoogleTranslate(C79, ""en"", ""zh-TW"")"),"天")</f>
        <v>天</v>
      </c>
      <c r="Q79" s="3" t="str">
        <f>IFERROR(__xludf.DUMMYFUNCTION("GoogleTranslate(C79, ""en"", ""hr"")"),"dan")</f>
        <v>dan</v>
      </c>
      <c r="R79" s="3" t="str">
        <f>IFERROR(__xludf.DUMMYFUNCTION("GoogleTranslate(C79, ""en"", ""cs"")"),"den")</f>
        <v>den</v>
      </c>
      <c r="S79" s="3" t="str">
        <f>IFERROR(__xludf.DUMMYFUNCTION("GoogleTranslate(C79, ""en"", ""da"")"),"dag")</f>
        <v>dag</v>
      </c>
      <c r="T79" s="3" t="str">
        <f>IFERROR(__xludf.DUMMYFUNCTION("GoogleTranslate(C79, ""en"", ""nl"")"),"dag")</f>
        <v>dag</v>
      </c>
      <c r="U79" s="3" t="str">
        <f>IFERROR(__xludf.DUMMYFUNCTION("GoogleTranslate(C79, ""en"", ""et"")"),"päeval")</f>
        <v>päeval</v>
      </c>
      <c r="V79" s="1" t="str">
        <f t="shared" si="3"/>
        <v>day</v>
      </c>
      <c r="W79" s="3" t="str">
        <f>IFERROR(__xludf.DUMMYFUNCTION("GoogleTranslate(C79, ""en"", ""fi"")"),"päivä")</f>
        <v>päivä</v>
      </c>
      <c r="X79" s="3" t="str">
        <f>IFERROR(__xludf.DUMMYFUNCTION("GoogleTranslate(C79, ""en"", ""fr"")"),"jour")</f>
        <v>jour</v>
      </c>
      <c r="Y79" s="3" t="str">
        <f>IFERROR(__xludf.DUMMYFUNCTION("GoogleTranslate(C79, ""en"", ""de"")"),"Tag")</f>
        <v>Tag</v>
      </c>
      <c r="Z79" s="3" t="str">
        <f>IFERROR(__xludf.DUMMYFUNCTION("GoogleTranslate(C79, ""en"", ""el"")"),"ημέρα")</f>
        <v>ημέρα</v>
      </c>
      <c r="AA79" s="3" t="str">
        <f>IFERROR(__xludf.DUMMYFUNCTION("GoogleTranslate(C79, ""en"", ""iw"")"),"יְוֹם")</f>
        <v>יְוֹם</v>
      </c>
      <c r="AB79" s="3" t="str">
        <f>IFERROR(__xludf.DUMMYFUNCTION("GoogleTranslate(C79, ""en"", ""hi"")"),"दिन")</f>
        <v>दिन</v>
      </c>
      <c r="AC79" s="3" t="str">
        <f>IFERROR(__xludf.DUMMYFUNCTION("GoogleTranslate(C79, ""en"", ""hu"")"),"nap")</f>
        <v>nap</v>
      </c>
      <c r="AD79" s="3" t="str">
        <f>IFERROR(__xludf.DUMMYFUNCTION("GoogleTranslate(C79, ""en"", ""is"")"),"dag")</f>
        <v>dag</v>
      </c>
      <c r="AE79" s="3" t="str">
        <f>IFERROR(__xludf.DUMMYFUNCTION("GoogleTranslate(C79, ""en"", ""id"")"),"hari")</f>
        <v>hari</v>
      </c>
      <c r="AF79" s="3" t="str">
        <f>IFERROR(__xludf.DUMMYFUNCTION("GoogleTranslate(C79, ""en"", ""in"")"),"hari")</f>
        <v>hari</v>
      </c>
      <c r="AG79" s="3" t="str">
        <f>IFERROR(__xludf.DUMMYFUNCTION("GoogleTranslate(C79, ""en"", ""it"")"),"giorno")</f>
        <v>giorno</v>
      </c>
      <c r="AH79" s="3" t="str">
        <f>IFERROR(__xludf.DUMMYFUNCTION("GoogleTranslate(C79, ""en"", ""ja"")"),"日")</f>
        <v>日</v>
      </c>
      <c r="AI79" s="3" t="str">
        <f>IFERROR(__xludf.DUMMYFUNCTION("GoogleTranslate(C79, ""en"", ""kn"")"),"ದಿನ")</f>
        <v>ದಿನ</v>
      </c>
      <c r="AJ79" s="3" t="str">
        <f>IFERROR(__xludf.DUMMYFUNCTION("GoogleTranslate(C79, ""en"", ""km"")"),"ថ្ងៃ")</f>
        <v>ថ្ងៃ</v>
      </c>
      <c r="AK79" s="3" t="str">
        <f>IFERROR(__xludf.DUMMYFUNCTION("GoogleTranslate(C79, ""en"", ""ko"")"),"낮")</f>
        <v>낮</v>
      </c>
      <c r="AL79" s="3" t="str">
        <f>IFERROR(__xludf.DUMMYFUNCTION("GoogleTranslate(C79, ""en"", ""lo"")"),"ມື້")</f>
        <v>ມື້</v>
      </c>
      <c r="AM79" s="3" t="str">
        <f>IFERROR(__xludf.DUMMYFUNCTION("GoogleTranslate(C79, ""en"", ""lv"")"),"diena")</f>
        <v>diena</v>
      </c>
      <c r="AN79" s="3" t="str">
        <f>IFERROR(__xludf.DUMMYFUNCTION("GoogleTranslate(C79, ""en"", ""lt"")"),"dieną")</f>
        <v>dieną</v>
      </c>
      <c r="AO79" s="3" t="str">
        <f>IFERROR(__xludf.DUMMYFUNCTION("GoogleTranslate(C79, ""en"", ""mk"")"),"ден")</f>
        <v>ден</v>
      </c>
      <c r="AP79" s="3" t="str">
        <f>IFERROR(__xludf.DUMMYFUNCTION("GoogleTranslate(C79, ""en"", ""ms"")"),"hari")</f>
        <v>hari</v>
      </c>
      <c r="AQ79" s="3" t="str">
        <f>IFERROR(__xludf.DUMMYFUNCTION("GoogleTranslate(C79, ""en"", ""ml"")"),"ദിവസം")</f>
        <v>ദിവസം</v>
      </c>
      <c r="AR79" s="3" t="str">
        <f>IFERROR(__xludf.DUMMYFUNCTION("GoogleTranslate(C79, ""en"", ""mr"")"),"दिवस")</f>
        <v>दिवस</v>
      </c>
      <c r="AS79" s="3" t="str">
        <f>IFERROR(__xludf.DUMMYFUNCTION("GoogleTranslate(C79, ""en"", ""mn"")"),"өдөр")</f>
        <v>өдөр</v>
      </c>
      <c r="AT79" s="3" t="str">
        <f>IFERROR(__xludf.DUMMYFUNCTION("GoogleTranslate(C79, ""en"", ""ne"")"),"दिन")</f>
        <v>दिन</v>
      </c>
      <c r="AU79" s="3" t="str">
        <f>IFERROR(__xludf.DUMMYFUNCTION("GoogleTranslate(C79, ""en"", ""nb"")"),"dag")</f>
        <v>dag</v>
      </c>
      <c r="AV79" s="3" t="str">
        <f>IFERROR(__xludf.DUMMYFUNCTION("GoogleTranslate(C79, ""en"", ""fa"")"),"روز")</f>
        <v>روز</v>
      </c>
      <c r="AW79" s="3" t="str">
        <f>IFERROR(__xludf.DUMMYFUNCTION("GoogleTranslate(C79, ""en"", ""pl"")"),"dzień")</f>
        <v>dzień</v>
      </c>
      <c r="AX79" s="3" t="str">
        <f>IFERROR(__xludf.DUMMYFUNCTION("GoogleTranslate(C79, ""en"", ""pt"")"),"dia")</f>
        <v>dia</v>
      </c>
      <c r="AY79" s="3" t="str">
        <f>IFERROR(__xludf.DUMMYFUNCTION("GoogleTranslate(C79, ""en"", ""ro"")"),"zi")</f>
        <v>zi</v>
      </c>
      <c r="AZ79" s="3" t="str">
        <f>IFERROR(__xludf.DUMMYFUNCTION("GoogleTranslate(C79, ""en"", ""ru"")"),"день")</f>
        <v>день</v>
      </c>
      <c r="BA79" s="3" t="str">
        <f>IFERROR(__xludf.DUMMYFUNCTION("GoogleTranslate(C79, ""en"", ""sr"")"),"дан")</f>
        <v>дан</v>
      </c>
      <c r="BB79" s="3" t="str">
        <f>IFERROR(__xludf.DUMMYFUNCTION("GoogleTranslate(C79, ""en"", ""si"")"),"දවස")</f>
        <v>දවස</v>
      </c>
      <c r="BC79" s="3" t="str">
        <f>IFERROR(__xludf.DUMMYFUNCTION("GoogleTranslate(C79, ""en"", ""sk"")"),"deň")</f>
        <v>deň</v>
      </c>
      <c r="BD79" s="3" t="str">
        <f>IFERROR(__xludf.DUMMYFUNCTION("GoogleTranslate(C79, ""en"", ""sl"")"),"dan")</f>
        <v>dan</v>
      </c>
      <c r="BE79" s="3" t="str">
        <f>IFERROR(__xludf.DUMMYFUNCTION("GoogleTranslate(C79, ""en"", ""es"")"),"día")</f>
        <v>día</v>
      </c>
      <c r="BF79" s="3" t="str">
        <f>IFERROR(__xludf.DUMMYFUNCTION("GoogleTranslate(C79, ""en"", ""sw"")"),"siku")</f>
        <v>siku</v>
      </c>
      <c r="BG79" s="3" t="str">
        <f>IFERROR(__xludf.DUMMYFUNCTION("GoogleTranslate(C79, ""en"", ""sv"")"),"dag")</f>
        <v>dag</v>
      </c>
      <c r="BH79" s="3" t="str">
        <f>IFERROR(__xludf.DUMMYFUNCTION("GoogleTranslate(C79, ""en"", ""te"")"),"రోజు")</f>
        <v>రోజు</v>
      </c>
      <c r="BI79" s="3" t="str">
        <f>IFERROR(__xludf.DUMMYFUNCTION("GoogleTranslate(C79, ""en"", ""th"")"),"วัน")</f>
        <v>วัน</v>
      </c>
      <c r="BJ79" s="3" t="str">
        <f>IFERROR(__xludf.DUMMYFUNCTION("GoogleTranslate(C79, ""en"", ""tr"")"),"gün")</f>
        <v>gün</v>
      </c>
      <c r="BK79" s="3" t="str">
        <f>IFERROR(__xludf.DUMMYFUNCTION("GoogleTranslate(C79, ""en"", ""uk"")"),"день")</f>
        <v>день</v>
      </c>
      <c r="BL79" s="3" t="str">
        <f>IFERROR(__xludf.DUMMYFUNCTION("GoogleTranslate(C79, ""en"", ""zu"")"),"usuku")</f>
        <v>usuku</v>
      </c>
    </row>
    <row r="80">
      <c r="A80" s="1" t="str">
        <f t="shared" si="1"/>
        <v>year</v>
      </c>
      <c r="B80" s="4" t="s">
        <v>138</v>
      </c>
      <c r="C80" s="1" t="str">
        <f t="shared" si="2"/>
        <v>year</v>
      </c>
      <c r="D80" s="3" t="str">
        <f>IFERROR(__xludf.DUMMYFUNCTION("GoogleTranslate(C80, ""en"", ""es"")"),"año")</f>
        <v>año</v>
      </c>
      <c r="E80" s="3" t="str">
        <f>IFERROR(__xludf.DUMMYFUNCTION("GoogleTranslate(C80, ""en"", ""ar"")"),"سنة")</f>
        <v>سنة</v>
      </c>
      <c r="F80" s="3" t="str">
        <f>IFERROR(__xludf.DUMMYFUNCTION("GoogleTranslate(C80, ""en"", ""hy"")"),"տարին")</f>
        <v>տարին</v>
      </c>
      <c r="G80" s="3" t="str">
        <f>IFERROR(__xludf.DUMMYFUNCTION("GoogleTranslate(C80, ""en"", ""vi"")"),"năm")</f>
        <v>năm</v>
      </c>
      <c r="H80" s="3" t="str">
        <f>IFERROR(__xludf.DUMMYFUNCTION("GoogleTranslate(C80, ""en"", ""az"")"),"il")</f>
        <v>il</v>
      </c>
      <c r="I80" s="3" t="str">
        <f>IFERROR(__xludf.DUMMYFUNCTION("GoogleTranslate(C80, ""en"", ""eu"")"),"urtean")</f>
        <v>urtean</v>
      </c>
      <c r="J80" s="3" t="str">
        <f>IFERROR(__xludf.DUMMYFUNCTION("GoogleTranslate(C80, ""en"", ""be"")"),"год")</f>
        <v>год</v>
      </c>
      <c r="K80" s="3" t="str">
        <f>IFERROR(__xludf.DUMMYFUNCTION("GoogleTranslate(C80, ""en"", ""bn"")"),"বছর")</f>
        <v>বছর</v>
      </c>
      <c r="L80" s="3" t="str">
        <f>IFERROR(__xludf.DUMMYFUNCTION("GoogleTranslate(C80, ""en"", ""bg"")"),"година")</f>
        <v>година</v>
      </c>
      <c r="M80" s="3" t="str">
        <f>IFERROR(__xludf.DUMMYFUNCTION("GoogleTranslate(C80, ""en"", ""my"")"),"တစ်နှစ်")</f>
        <v>တစ်နှစ်</v>
      </c>
      <c r="N80" s="3" t="str">
        <f>IFERROR(__xludf.DUMMYFUNCTION("GoogleTranslate(C80, ""en"", ""ca"")"),"any")</f>
        <v>any</v>
      </c>
      <c r="O80" s="3" t="str">
        <f>IFERROR(__xludf.DUMMYFUNCTION("GoogleTranslate(C80, ""en"", ""zh-cn"")"),"年")</f>
        <v>年</v>
      </c>
      <c r="P80" s="3" t="str">
        <f>IFERROR(__xludf.DUMMYFUNCTION("GoogleTranslate(C80, ""en"", ""zh-TW"")"),"年")</f>
        <v>年</v>
      </c>
      <c r="Q80" s="3" t="str">
        <f>IFERROR(__xludf.DUMMYFUNCTION("GoogleTranslate(C80, ""en"", ""hr"")"),"godina")</f>
        <v>godina</v>
      </c>
      <c r="R80" s="3" t="str">
        <f>IFERROR(__xludf.DUMMYFUNCTION("GoogleTranslate(C80, ""en"", ""cs"")"),"rok")</f>
        <v>rok</v>
      </c>
      <c r="S80" s="3" t="str">
        <f>IFERROR(__xludf.DUMMYFUNCTION("GoogleTranslate(C80, ""en"", ""da"")"),"år")</f>
        <v>år</v>
      </c>
      <c r="T80" s="3" t="str">
        <f>IFERROR(__xludf.DUMMYFUNCTION("GoogleTranslate(C80, ""en"", ""nl"")"),"jaar")</f>
        <v>jaar</v>
      </c>
      <c r="U80" s="3" t="str">
        <f>IFERROR(__xludf.DUMMYFUNCTION("GoogleTranslate(C80, ""en"", ""et"")"),"aastal")</f>
        <v>aastal</v>
      </c>
      <c r="V80" s="1" t="str">
        <f t="shared" si="3"/>
        <v>year</v>
      </c>
      <c r="W80" s="3" t="str">
        <f>IFERROR(__xludf.DUMMYFUNCTION("GoogleTranslate(C80, ""en"", ""fi"")"),"vuosi")</f>
        <v>vuosi</v>
      </c>
      <c r="X80" s="3" t="str">
        <f>IFERROR(__xludf.DUMMYFUNCTION("GoogleTranslate(C80, ""en"", ""fr"")"),"année")</f>
        <v>année</v>
      </c>
      <c r="Y80" s="3" t="str">
        <f>IFERROR(__xludf.DUMMYFUNCTION("GoogleTranslate(C80, ""en"", ""de"")"),"Jahr")</f>
        <v>Jahr</v>
      </c>
      <c r="Z80" s="3" t="str">
        <f>IFERROR(__xludf.DUMMYFUNCTION("GoogleTranslate(C80, ""en"", ""el"")"),"έτος")</f>
        <v>έτος</v>
      </c>
      <c r="AA80" s="3" t="str">
        <f>IFERROR(__xludf.DUMMYFUNCTION("GoogleTranslate(C80, ""en"", ""iw"")"),"שָׁנָה")</f>
        <v>שָׁנָה</v>
      </c>
      <c r="AB80" s="3" t="str">
        <f>IFERROR(__xludf.DUMMYFUNCTION("GoogleTranslate(C80, ""en"", ""hi"")"),"वर्ष")</f>
        <v>वर्ष</v>
      </c>
      <c r="AC80" s="3" t="str">
        <f>IFERROR(__xludf.DUMMYFUNCTION("GoogleTranslate(C80, ""en"", ""hu"")"),"év")</f>
        <v>év</v>
      </c>
      <c r="AD80" s="3" t="str">
        <f>IFERROR(__xludf.DUMMYFUNCTION("GoogleTranslate(C80, ""en"", ""is"")"),"ári")</f>
        <v>ári</v>
      </c>
      <c r="AE80" s="3" t="str">
        <f>IFERROR(__xludf.DUMMYFUNCTION("GoogleTranslate(C80, ""en"", ""id"")"),"tahun")</f>
        <v>tahun</v>
      </c>
      <c r="AF80" s="3" t="str">
        <f>IFERROR(__xludf.DUMMYFUNCTION("GoogleTranslate(C80, ""en"", ""in"")"),"tahun")</f>
        <v>tahun</v>
      </c>
      <c r="AG80" s="3" t="str">
        <f>IFERROR(__xludf.DUMMYFUNCTION("GoogleTranslate(C80, ""en"", ""it"")"),"anno")</f>
        <v>anno</v>
      </c>
      <c r="AH80" s="3" t="str">
        <f>IFERROR(__xludf.DUMMYFUNCTION("GoogleTranslate(C80, ""en"", ""ja"")"),"年")</f>
        <v>年</v>
      </c>
      <c r="AI80" s="3" t="str">
        <f>IFERROR(__xludf.DUMMYFUNCTION("GoogleTranslate(C80, ""en"", ""kn"")"),"ವರ್ಷ")</f>
        <v>ವರ್ಷ</v>
      </c>
      <c r="AJ80" s="3" t="str">
        <f>IFERROR(__xludf.DUMMYFUNCTION("GoogleTranslate(C80, ""en"", ""km"")"),"ឆ្នាំ")</f>
        <v>ឆ្នាំ</v>
      </c>
      <c r="AK80" s="3" t="str">
        <f>IFERROR(__xludf.DUMMYFUNCTION("GoogleTranslate(C80, ""en"", ""ko"")"),"년도")</f>
        <v>년도</v>
      </c>
      <c r="AL80" s="3" t="str">
        <f>IFERROR(__xludf.DUMMYFUNCTION("GoogleTranslate(C80, ""en"", ""lo"")"),"ປີ")</f>
        <v>ປີ</v>
      </c>
      <c r="AM80" s="3" t="str">
        <f>IFERROR(__xludf.DUMMYFUNCTION("GoogleTranslate(C80, ""en"", ""lv"")"),"gadā")</f>
        <v>gadā</v>
      </c>
      <c r="AN80" s="3" t="str">
        <f>IFERROR(__xludf.DUMMYFUNCTION("GoogleTranslate(C80, ""en"", ""lt"")"),"metų")</f>
        <v>metų</v>
      </c>
      <c r="AO80" s="3" t="str">
        <f>IFERROR(__xludf.DUMMYFUNCTION("GoogleTranslate(C80, ""en"", ""mk"")"),"година")</f>
        <v>година</v>
      </c>
      <c r="AP80" s="3" t="str">
        <f>IFERROR(__xludf.DUMMYFUNCTION("GoogleTranslate(C80, ""en"", ""ms"")"),"tahun")</f>
        <v>tahun</v>
      </c>
      <c r="AQ80" s="3" t="str">
        <f>IFERROR(__xludf.DUMMYFUNCTION("GoogleTranslate(C80, ""en"", ""ml"")"),"വർഷം")</f>
        <v>വർഷം</v>
      </c>
      <c r="AR80" s="3" t="str">
        <f>IFERROR(__xludf.DUMMYFUNCTION("GoogleTranslate(C80, ""en"", ""mr"")"),"वर्ष")</f>
        <v>वर्ष</v>
      </c>
      <c r="AS80" s="3" t="str">
        <f>IFERROR(__xludf.DUMMYFUNCTION("GoogleTranslate(C80, ""en"", ""mn"")"),"жил")</f>
        <v>жил</v>
      </c>
      <c r="AT80" s="3" t="str">
        <f>IFERROR(__xludf.DUMMYFUNCTION("GoogleTranslate(C80, ""en"", ""ne"")"),"वर्ष")</f>
        <v>वर्ष</v>
      </c>
      <c r="AU80" s="3" t="str">
        <f>IFERROR(__xludf.DUMMYFUNCTION("GoogleTranslate(C80, ""en"", ""nb"")"),"år")</f>
        <v>år</v>
      </c>
      <c r="AV80" s="3" t="str">
        <f>IFERROR(__xludf.DUMMYFUNCTION("GoogleTranslate(C80, ""en"", ""fa"")"),"سال")</f>
        <v>سال</v>
      </c>
      <c r="AW80" s="3" t="str">
        <f>IFERROR(__xludf.DUMMYFUNCTION("GoogleTranslate(C80, ""en"", ""pl"")"),"rok")</f>
        <v>rok</v>
      </c>
      <c r="AX80" s="3" t="str">
        <f>IFERROR(__xludf.DUMMYFUNCTION("GoogleTranslate(C80, ""en"", ""pt"")"),"ano")</f>
        <v>ano</v>
      </c>
      <c r="AY80" s="3" t="str">
        <f>IFERROR(__xludf.DUMMYFUNCTION("GoogleTranslate(C80, ""en"", ""ro"")"),"an")</f>
        <v>an</v>
      </c>
      <c r="AZ80" s="3" t="str">
        <f>IFERROR(__xludf.DUMMYFUNCTION("GoogleTranslate(C80, ""en"", ""ru"")"),"год")</f>
        <v>год</v>
      </c>
      <c r="BA80" s="3" t="str">
        <f>IFERROR(__xludf.DUMMYFUNCTION("GoogleTranslate(C80, ""en"", ""sr"")"),"године")</f>
        <v>године</v>
      </c>
      <c r="BB80" s="3" t="str">
        <f>IFERROR(__xludf.DUMMYFUNCTION("GoogleTranslate(C80, ""en"", ""si"")"),"වසර")</f>
        <v>වසර</v>
      </c>
      <c r="BC80" s="3" t="str">
        <f>IFERROR(__xludf.DUMMYFUNCTION("GoogleTranslate(C80, ""en"", ""sk"")"),"rok")</f>
        <v>rok</v>
      </c>
      <c r="BD80" s="3" t="str">
        <f>IFERROR(__xludf.DUMMYFUNCTION("GoogleTranslate(C80, ""en"", ""sl"")"),"leto")</f>
        <v>leto</v>
      </c>
      <c r="BE80" s="3" t="str">
        <f>IFERROR(__xludf.DUMMYFUNCTION("GoogleTranslate(C80, ""en"", ""es"")"),"año")</f>
        <v>año</v>
      </c>
      <c r="BF80" s="3" t="str">
        <f>IFERROR(__xludf.DUMMYFUNCTION("GoogleTranslate(C80, ""en"", ""sw"")"),"mwaka")</f>
        <v>mwaka</v>
      </c>
      <c r="BG80" s="3" t="str">
        <f>IFERROR(__xludf.DUMMYFUNCTION("GoogleTranslate(C80, ""en"", ""sv"")"),"år")</f>
        <v>år</v>
      </c>
      <c r="BH80" s="3" t="str">
        <f>IFERROR(__xludf.DUMMYFUNCTION("GoogleTranslate(C80, ""en"", ""te"")"),"సంవత్సరం")</f>
        <v>సంవత్సరం</v>
      </c>
      <c r="BI80" s="3" t="str">
        <f>IFERROR(__xludf.DUMMYFUNCTION("GoogleTranslate(C80, ""en"", ""th"")"),"ปี")</f>
        <v>ปี</v>
      </c>
      <c r="BJ80" s="3" t="str">
        <f>IFERROR(__xludf.DUMMYFUNCTION("GoogleTranslate(C80, ""en"", ""tr"")"),"yıl")</f>
        <v>yıl</v>
      </c>
      <c r="BK80" s="3" t="str">
        <f>IFERROR(__xludf.DUMMYFUNCTION("GoogleTranslate(C80, ""en"", ""uk"")"),"рік")</f>
        <v>рік</v>
      </c>
      <c r="BL80" s="3" t="str">
        <f>IFERROR(__xludf.DUMMYFUNCTION("GoogleTranslate(C80, ""en"", ""zu"")"),"unyaka")</f>
        <v>unyaka</v>
      </c>
    </row>
    <row r="81">
      <c r="A81" s="1" t="str">
        <f t="shared" si="1"/>
        <v>Altitude</v>
      </c>
      <c r="B81" s="4" t="s">
        <v>139</v>
      </c>
      <c r="C81" s="1" t="str">
        <f t="shared" si="2"/>
        <v>Altitude</v>
      </c>
      <c r="D81" s="3" t="str">
        <f>IFERROR(__xludf.DUMMYFUNCTION("GoogleTranslate(C81, ""en"", ""es"")"),"Altitud")</f>
        <v>Altitud</v>
      </c>
      <c r="E81" s="3" t="str">
        <f>IFERROR(__xludf.DUMMYFUNCTION("GoogleTranslate(C81, ""en"", ""ar"")"),"ارتفاع")</f>
        <v>ارتفاع</v>
      </c>
      <c r="F81" s="3" t="str">
        <f>IFERROR(__xludf.DUMMYFUNCTION("GoogleTranslate(C81, ""en"", ""hy"")"),"Բարձրություն")</f>
        <v>Բարձրություն</v>
      </c>
      <c r="G81" s="3" t="str">
        <f>IFERROR(__xludf.DUMMYFUNCTION("GoogleTranslate(C81, ""en"", ""vi"")"),"Độ cao")</f>
        <v>Độ cao</v>
      </c>
      <c r="H81" s="3" t="str">
        <f>IFERROR(__xludf.DUMMYFUNCTION("GoogleTranslate(C81, ""en"", ""az"")"),"Hündürlük")</f>
        <v>Hündürlük</v>
      </c>
      <c r="I81" s="3" t="str">
        <f>IFERROR(__xludf.DUMMYFUNCTION("GoogleTranslate(C81, ""en"", ""eu"")"),"Altuera")</f>
        <v>Altuera</v>
      </c>
      <c r="J81" s="3" t="str">
        <f>IFERROR(__xludf.DUMMYFUNCTION("GoogleTranslate(C81, ""en"", ""be"")"),"Вышыня над узроўнем мора")</f>
        <v>Вышыня над узроўнем мора</v>
      </c>
      <c r="K81" s="3" t="str">
        <f>IFERROR(__xludf.DUMMYFUNCTION("GoogleTranslate(C81, ""en"", ""bn"")"),"উচ্চতা")</f>
        <v>উচ্চতা</v>
      </c>
      <c r="L81" s="3" t="str">
        <f>IFERROR(__xludf.DUMMYFUNCTION("GoogleTranslate(C81, ""en"", ""bg"")"),"Надморска височина")</f>
        <v>Надморска височина</v>
      </c>
      <c r="M81" s="3" t="str">
        <f>IFERROR(__xludf.DUMMYFUNCTION("GoogleTranslate(C81, ""en"", ""my"")"),"အမြင့်")</f>
        <v>အမြင့်</v>
      </c>
      <c r="N81" s="3" t="str">
        <f>IFERROR(__xludf.DUMMYFUNCTION("GoogleTranslate(C81, ""en"", ""ca"")"),"Altitud")</f>
        <v>Altitud</v>
      </c>
      <c r="O81" s="3" t="str">
        <f>IFERROR(__xludf.DUMMYFUNCTION("GoogleTranslate(C81, ""en"", ""zh-cn"")"),"高度")</f>
        <v>高度</v>
      </c>
      <c r="P81" s="3" t="str">
        <f>IFERROR(__xludf.DUMMYFUNCTION("GoogleTranslate(C81, ""en"", ""zh-TW"")"),"高度")</f>
        <v>高度</v>
      </c>
      <c r="Q81" s="3" t="str">
        <f>IFERROR(__xludf.DUMMYFUNCTION("GoogleTranslate(C81, ""en"", ""hr"")"),"Nadmorska visina")</f>
        <v>Nadmorska visina</v>
      </c>
      <c r="R81" s="3" t="str">
        <f>IFERROR(__xludf.DUMMYFUNCTION("GoogleTranslate(C81, ""en"", ""cs"")"),"Nadmořská výška")</f>
        <v>Nadmořská výška</v>
      </c>
      <c r="S81" s="3" t="str">
        <f>IFERROR(__xludf.DUMMYFUNCTION("GoogleTranslate(C81, ""en"", ""da"")"),"Højde")</f>
        <v>Højde</v>
      </c>
      <c r="T81" s="3" t="str">
        <f>IFERROR(__xludf.DUMMYFUNCTION("GoogleTranslate(C81, ""en"", ""nl"")"),"Hoogte")</f>
        <v>Hoogte</v>
      </c>
      <c r="U81" s="3" t="str">
        <f>IFERROR(__xludf.DUMMYFUNCTION("GoogleTranslate(C81, ""en"", ""et"")"),"Kõrgus merepinnast")</f>
        <v>Kõrgus merepinnast</v>
      </c>
      <c r="V81" s="1" t="str">
        <f t="shared" si="3"/>
        <v>Altitude</v>
      </c>
      <c r="W81" s="3" t="str">
        <f>IFERROR(__xludf.DUMMYFUNCTION("GoogleTranslate(C81, ""en"", ""fi"")"),"Korkeus")</f>
        <v>Korkeus</v>
      </c>
      <c r="X81" s="3" t="str">
        <f>IFERROR(__xludf.DUMMYFUNCTION("GoogleTranslate(C81, ""en"", ""fr"")"),"Altitude")</f>
        <v>Altitude</v>
      </c>
      <c r="Y81" s="3" t="str">
        <f>IFERROR(__xludf.DUMMYFUNCTION("GoogleTranslate(C81, ""en"", ""de"")"),"Höhe")</f>
        <v>Höhe</v>
      </c>
      <c r="Z81" s="3" t="str">
        <f>IFERROR(__xludf.DUMMYFUNCTION("GoogleTranslate(C81, ""en"", ""el"")"),"Υψόμετρο")</f>
        <v>Υψόμετρο</v>
      </c>
      <c r="AA81" s="3" t="str">
        <f>IFERROR(__xludf.DUMMYFUNCTION("GoogleTranslate(C81, ""en"", ""iw"")"),"גוֹבַה")</f>
        <v>גוֹבַה</v>
      </c>
      <c r="AB81" s="3" t="str">
        <f>IFERROR(__xludf.DUMMYFUNCTION("GoogleTranslate(C81, ""en"", ""hi"")"),"ऊंचाई")</f>
        <v>ऊंचाई</v>
      </c>
      <c r="AC81" s="3" t="str">
        <f>IFERROR(__xludf.DUMMYFUNCTION("GoogleTranslate(C81, ""en"", ""hu"")"),"Magasság")</f>
        <v>Magasság</v>
      </c>
      <c r="AD81" s="3" t="str">
        <f>IFERROR(__xludf.DUMMYFUNCTION("GoogleTranslate(C81, ""en"", ""is"")"),"Hæð")</f>
        <v>Hæð</v>
      </c>
      <c r="AE81" s="3" t="str">
        <f>IFERROR(__xludf.DUMMYFUNCTION("GoogleTranslate(C81, ""en"", ""id"")"),"Ketinggian")</f>
        <v>Ketinggian</v>
      </c>
      <c r="AF81" s="3" t="str">
        <f>IFERROR(__xludf.DUMMYFUNCTION("GoogleTranslate(C81, ""en"", ""in"")"),"Ketinggian")</f>
        <v>Ketinggian</v>
      </c>
      <c r="AG81" s="3" t="str">
        <f>IFERROR(__xludf.DUMMYFUNCTION("GoogleTranslate(C81, ""en"", ""it"")"),"Altitudine")</f>
        <v>Altitudine</v>
      </c>
      <c r="AH81" s="3" t="str">
        <f>IFERROR(__xludf.DUMMYFUNCTION("GoogleTranslate(C81, ""en"", ""ja"")"),"高度")</f>
        <v>高度</v>
      </c>
      <c r="AI81" s="3" t="str">
        <f>IFERROR(__xludf.DUMMYFUNCTION("GoogleTranslate(C81, ""en"", ""kn"")"),"ಎತ್ತರ")</f>
        <v>ಎತ್ತರ</v>
      </c>
      <c r="AJ81" s="3" t="str">
        <f>IFERROR(__xludf.DUMMYFUNCTION("GoogleTranslate(C81, ""en"", ""km"")"),"កម្ពស់")</f>
        <v>កម្ពស់</v>
      </c>
      <c r="AK81" s="3" t="str">
        <f>IFERROR(__xludf.DUMMYFUNCTION("GoogleTranslate(C81, ""en"", ""ko"")"),"고도")</f>
        <v>고도</v>
      </c>
      <c r="AL81" s="3" t="str">
        <f>IFERROR(__xludf.DUMMYFUNCTION("GoogleTranslate(C81, ""en"", ""lo"")"),"ລະດັບຄວາມສູງ")</f>
        <v>ລະດັບຄວາມສູງ</v>
      </c>
      <c r="AM81" s="3" t="str">
        <f>IFERROR(__xludf.DUMMYFUNCTION("GoogleTranslate(C81, ""en"", ""lv"")"),"Augstums virs jūras līmeņa")</f>
        <v>Augstums virs jūras līmeņa</v>
      </c>
      <c r="AN81" s="3" t="str">
        <f>IFERROR(__xludf.DUMMYFUNCTION("GoogleTranslate(C81, ""en"", ""lt"")"),"Aukštis virš jūros lygio")</f>
        <v>Aukštis virš jūros lygio</v>
      </c>
      <c r="AO81" s="3" t="str">
        <f>IFERROR(__xludf.DUMMYFUNCTION("GoogleTranslate(C81, ""en"", ""mk"")"),"Висина")</f>
        <v>Висина</v>
      </c>
      <c r="AP81" s="3" t="str">
        <f>IFERROR(__xludf.DUMMYFUNCTION("GoogleTranslate(C81, ""en"", ""ms"")"),"Ketinggian")</f>
        <v>Ketinggian</v>
      </c>
      <c r="AQ81" s="3" t="str">
        <f>IFERROR(__xludf.DUMMYFUNCTION("GoogleTranslate(C81, ""en"", ""ml"")"),"ഉയരം")</f>
        <v>ഉയരം</v>
      </c>
      <c r="AR81" s="3" t="str">
        <f>IFERROR(__xludf.DUMMYFUNCTION("GoogleTranslate(C81, ""en"", ""mr"")"),"उंची")</f>
        <v>उंची</v>
      </c>
      <c r="AS81" s="3" t="str">
        <f>IFERROR(__xludf.DUMMYFUNCTION("GoogleTranslate(C81, ""en"", ""mn"")"),"Өндөр")</f>
        <v>Өндөр</v>
      </c>
      <c r="AT81" s="3" t="str">
        <f>IFERROR(__xludf.DUMMYFUNCTION("GoogleTranslate(C81, ""en"", ""ne"")"),"उचाइ")</f>
        <v>उचाइ</v>
      </c>
      <c r="AU81" s="3" t="str">
        <f>IFERROR(__xludf.DUMMYFUNCTION("GoogleTranslate(C81, ""en"", ""nb"")"),"Høyde")</f>
        <v>Høyde</v>
      </c>
      <c r="AV81" s="3" t="str">
        <f>IFERROR(__xludf.DUMMYFUNCTION("GoogleTranslate(C81, ""en"", ""fa"")"),"ارتفاع")</f>
        <v>ارتفاع</v>
      </c>
      <c r="AW81" s="3" t="str">
        <f>IFERROR(__xludf.DUMMYFUNCTION("GoogleTranslate(C81, ""en"", ""pl"")"),"Wysokość")</f>
        <v>Wysokość</v>
      </c>
      <c r="AX81" s="3" t="str">
        <f>IFERROR(__xludf.DUMMYFUNCTION("GoogleTranslate(C81, ""en"", ""pt"")"),"Altitude")</f>
        <v>Altitude</v>
      </c>
      <c r="AY81" s="3" t="str">
        <f>IFERROR(__xludf.DUMMYFUNCTION("GoogleTranslate(C81, ""en"", ""ro"")"),"Altitudine")</f>
        <v>Altitudine</v>
      </c>
      <c r="AZ81" s="3" t="str">
        <f>IFERROR(__xludf.DUMMYFUNCTION("GoogleTranslate(C81, ""en"", ""ru"")"),"Высота")</f>
        <v>Высота</v>
      </c>
      <c r="BA81" s="3" t="str">
        <f>IFERROR(__xludf.DUMMYFUNCTION("GoogleTranslate(C81, ""en"", ""sr"")"),"Висина")</f>
        <v>Висина</v>
      </c>
      <c r="BB81" s="3" t="str">
        <f>IFERROR(__xludf.DUMMYFUNCTION("GoogleTranslate(C81, ""en"", ""si"")"),"උන්නතාංශය")</f>
        <v>උන්නතාංශය</v>
      </c>
      <c r="BC81" s="3" t="str">
        <f>IFERROR(__xludf.DUMMYFUNCTION("GoogleTranslate(C81, ""en"", ""sk"")"),"Nadmorská výška")</f>
        <v>Nadmorská výška</v>
      </c>
      <c r="BD81" s="3" t="str">
        <f>IFERROR(__xludf.DUMMYFUNCTION("GoogleTranslate(C81, ""en"", ""sl"")"),"Nadmorska višina")</f>
        <v>Nadmorska višina</v>
      </c>
      <c r="BE81" s="3" t="str">
        <f>IFERROR(__xludf.DUMMYFUNCTION("GoogleTranslate(C81, ""en"", ""es"")"),"Altitud")</f>
        <v>Altitud</v>
      </c>
      <c r="BF81" s="3" t="str">
        <f>IFERROR(__xludf.DUMMYFUNCTION("GoogleTranslate(C81, ""en"", ""sw"")"),"Mwinuko")</f>
        <v>Mwinuko</v>
      </c>
      <c r="BG81" s="3" t="str">
        <f>IFERROR(__xludf.DUMMYFUNCTION("GoogleTranslate(C81, ""en"", ""sv"")"),"Höjd över havet")</f>
        <v>Höjd över havet</v>
      </c>
      <c r="BH81" s="3" t="str">
        <f>IFERROR(__xludf.DUMMYFUNCTION("GoogleTranslate(C81, ""en"", ""te"")"),"ఎత్తు")</f>
        <v>ఎత్తు</v>
      </c>
      <c r="BI81" s="3" t="str">
        <f>IFERROR(__xludf.DUMMYFUNCTION("GoogleTranslate(C81, ""en"", ""th"")"),"ระดับความสูง")</f>
        <v>ระดับความสูง</v>
      </c>
      <c r="BJ81" s="3" t="str">
        <f>IFERROR(__xludf.DUMMYFUNCTION("GoogleTranslate(C81, ""en"", ""tr"")"),"Rakım")</f>
        <v>Rakım</v>
      </c>
      <c r="BK81" s="3" t="str">
        <f>IFERROR(__xludf.DUMMYFUNCTION("GoogleTranslate(C81, ""en"", ""uk"")"),"Висота")</f>
        <v>Висота</v>
      </c>
      <c r="BL81" s="3" t="str">
        <f>IFERROR(__xludf.DUMMYFUNCTION("GoogleTranslate(C81, ""en"", ""zu"")"),"Ukuphakama")</f>
        <v>Ukuphakama</v>
      </c>
    </row>
    <row r="82">
      <c r="A82" s="1" t="str">
        <f t="shared" si="1"/>
        <v>Azimuth</v>
      </c>
      <c r="B82" s="4" t="s">
        <v>140</v>
      </c>
      <c r="C82" s="1" t="str">
        <f t="shared" si="2"/>
        <v>Azimuth</v>
      </c>
      <c r="D82" s="3" t="str">
        <f>IFERROR(__xludf.DUMMYFUNCTION("GoogleTranslate(C82, ""en"", ""es"")"),"Azimut")</f>
        <v>Azimut</v>
      </c>
      <c r="E82" s="3" t="str">
        <f>IFERROR(__xludf.DUMMYFUNCTION("GoogleTranslate(C82, ""en"", ""ar"")"),"السمت")</f>
        <v>السمت</v>
      </c>
      <c r="F82" s="3" t="str">
        <f>IFERROR(__xludf.DUMMYFUNCTION("GoogleTranslate(C82, ""en"", ""hy"")"),"Ազիմուտ")</f>
        <v>Ազիմուտ</v>
      </c>
      <c r="G82" s="3" t="str">
        <f>IFERROR(__xludf.DUMMYFUNCTION("GoogleTranslate(C82, ""en"", ""vi"")"),"Phương vị")</f>
        <v>Phương vị</v>
      </c>
      <c r="H82" s="3" t="str">
        <f>IFERROR(__xludf.DUMMYFUNCTION("GoogleTranslate(C82, ""en"", ""az"")"),"Azimut")</f>
        <v>Azimut</v>
      </c>
      <c r="I82" s="3" t="str">
        <f>IFERROR(__xludf.DUMMYFUNCTION("GoogleTranslate(C82, ""en"", ""eu"")"),"Azimutua")</f>
        <v>Azimutua</v>
      </c>
      <c r="J82" s="3" t="str">
        <f>IFERROR(__xludf.DUMMYFUNCTION("GoogleTranslate(C82, ""en"", ""be"")"),"Азімут")</f>
        <v>Азімут</v>
      </c>
      <c r="K82" s="3" t="str">
        <f>IFERROR(__xludf.DUMMYFUNCTION("GoogleTranslate(C82, ""en"", ""bn"")"),"আজিমুথ")</f>
        <v>আজিমুথ</v>
      </c>
      <c r="L82" s="3" t="str">
        <f>IFERROR(__xludf.DUMMYFUNCTION("GoogleTranslate(C82, ""en"", ""bg"")"),"Азимут")</f>
        <v>Азимут</v>
      </c>
      <c r="M82" s="3" t="str">
        <f>IFERROR(__xludf.DUMMYFUNCTION("GoogleTranslate(C82, ""en"", ""my"")"),"Azimuth")</f>
        <v>Azimuth</v>
      </c>
      <c r="N82" s="3" t="str">
        <f>IFERROR(__xludf.DUMMYFUNCTION("GoogleTranslate(C82, ""en"", ""ca"")"),"Azimut")</f>
        <v>Azimut</v>
      </c>
      <c r="O82" s="3" t="str">
        <f>IFERROR(__xludf.DUMMYFUNCTION("GoogleTranslate(C82, ""en"", ""zh-cn"")"),"方位角")</f>
        <v>方位角</v>
      </c>
      <c r="P82" s="3" t="str">
        <f>IFERROR(__xludf.DUMMYFUNCTION("GoogleTranslate(C82, ""en"", ""zh-TW"")"),"方位角")</f>
        <v>方位角</v>
      </c>
      <c r="Q82" s="3" t="str">
        <f>IFERROR(__xludf.DUMMYFUNCTION("GoogleTranslate(C82, ""en"", ""hr"")"),"Azimut")</f>
        <v>Azimut</v>
      </c>
      <c r="R82" s="3" t="str">
        <f>IFERROR(__xludf.DUMMYFUNCTION("GoogleTranslate(C82, ""en"", ""cs"")"),"Azimut")</f>
        <v>Azimut</v>
      </c>
      <c r="S82" s="3" t="str">
        <f>IFERROR(__xludf.DUMMYFUNCTION("GoogleTranslate(C82, ""en"", ""da"")"),"Azimuth")</f>
        <v>Azimuth</v>
      </c>
      <c r="T82" s="3" t="str">
        <f>IFERROR(__xludf.DUMMYFUNCTION("GoogleTranslate(C82, ""en"", ""nl"")"),"Azimut")</f>
        <v>Azimut</v>
      </c>
      <c r="U82" s="3" t="str">
        <f>IFERROR(__xludf.DUMMYFUNCTION("GoogleTranslate(C82, ""en"", ""et"")"),"Asimuut")</f>
        <v>Asimuut</v>
      </c>
      <c r="V82" s="1" t="str">
        <f t="shared" si="3"/>
        <v>Azimuth</v>
      </c>
      <c r="W82" s="3" t="str">
        <f>IFERROR(__xludf.DUMMYFUNCTION("GoogleTranslate(C82, ""en"", ""fi"")"),"Atsimuutti")</f>
        <v>Atsimuutti</v>
      </c>
      <c r="X82" s="3" t="str">
        <f>IFERROR(__xludf.DUMMYFUNCTION("GoogleTranslate(C82, ""en"", ""fr"")"),"Azimut")</f>
        <v>Azimut</v>
      </c>
      <c r="Y82" s="3" t="str">
        <f>IFERROR(__xludf.DUMMYFUNCTION("GoogleTranslate(C82, ""en"", ""de"")"),"Azimut")</f>
        <v>Azimut</v>
      </c>
      <c r="Z82" s="3" t="str">
        <f>IFERROR(__xludf.DUMMYFUNCTION("GoogleTranslate(C82, ""en"", ""el"")"),"Αζιμούθιο")</f>
        <v>Αζιμούθιο</v>
      </c>
      <c r="AA82" s="3" t="str">
        <f>IFERROR(__xludf.DUMMYFUNCTION("GoogleTranslate(C82, ""en"", ""iw"")"),"אַזִימוּט")</f>
        <v>אַזִימוּט</v>
      </c>
      <c r="AB82" s="3" t="str">
        <f>IFERROR(__xludf.DUMMYFUNCTION("GoogleTranslate(C82, ""en"", ""hi"")"),"दिगंश")</f>
        <v>दिगंश</v>
      </c>
      <c r="AC82" s="3" t="str">
        <f>IFERROR(__xludf.DUMMYFUNCTION("GoogleTranslate(C82, ""en"", ""hu"")"),"Azimut")</f>
        <v>Azimut</v>
      </c>
      <c r="AD82" s="3" t="str">
        <f>IFERROR(__xludf.DUMMYFUNCTION("GoogleTranslate(C82, ""en"", ""is"")"),"Asímút")</f>
        <v>Asímút</v>
      </c>
      <c r="AE82" s="3" t="str">
        <f>IFERROR(__xludf.DUMMYFUNCTION("GoogleTranslate(C82, ""en"", ""id"")"),"Azimut")</f>
        <v>Azimut</v>
      </c>
      <c r="AF82" s="3" t="str">
        <f>IFERROR(__xludf.DUMMYFUNCTION("GoogleTranslate(C82, ""en"", ""in"")"),"Azimut")</f>
        <v>Azimut</v>
      </c>
      <c r="AG82" s="3" t="str">
        <f>IFERROR(__xludf.DUMMYFUNCTION("GoogleTranslate(C82, ""en"", ""it"")"),"Azimut")</f>
        <v>Azimut</v>
      </c>
      <c r="AH82" s="3" t="str">
        <f>IFERROR(__xludf.DUMMYFUNCTION("GoogleTranslate(C82, ""en"", ""ja"")"),"方位角")</f>
        <v>方位角</v>
      </c>
      <c r="AI82" s="3" t="str">
        <f>IFERROR(__xludf.DUMMYFUNCTION("GoogleTranslate(C82, ""en"", ""kn"")"),"ಅಜೀಮುತ್")</f>
        <v>ಅಜೀಮುತ್</v>
      </c>
      <c r="AJ82" s="3" t="str">
        <f>IFERROR(__xludf.DUMMYFUNCTION("GoogleTranslate(C82, ""en"", ""km"")"),"អាហ្សីមុត")</f>
        <v>អាហ្សីមុត</v>
      </c>
      <c r="AK82" s="3" t="str">
        <f>IFERROR(__xludf.DUMMYFUNCTION("GoogleTranslate(C82, ""en"", ""ko"")"),"방위각")</f>
        <v>방위각</v>
      </c>
      <c r="AL82" s="3" t="str">
        <f>IFERROR(__xludf.DUMMYFUNCTION("GoogleTranslate(C82, ""en"", ""lo"")"),"Azimuth")</f>
        <v>Azimuth</v>
      </c>
      <c r="AM82" s="3" t="str">
        <f>IFERROR(__xludf.DUMMYFUNCTION("GoogleTranslate(C82, ""en"", ""lv"")"),"Azimuts")</f>
        <v>Azimuts</v>
      </c>
      <c r="AN82" s="3" t="str">
        <f>IFERROR(__xludf.DUMMYFUNCTION("GoogleTranslate(C82, ""en"", ""lt"")"),"Azimutas")</f>
        <v>Azimutas</v>
      </c>
      <c r="AO82" s="3" t="str">
        <f>IFERROR(__xludf.DUMMYFUNCTION("GoogleTranslate(C82, ""en"", ""mk"")"),"Азимут")</f>
        <v>Азимут</v>
      </c>
      <c r="AP82" s="3" t="str">
        <f>IFERROR(__xludf.DUMMYFUNCTION("GoogleTranslate(C82, ""en"", ""ms"")"),"Azimuth")</f>
        <v>Azimuth</v>
      </c>
      <c r="AQ82" s="3" t="str">
        <f>IFERROR(__xludf.DUMMYFUNCTION("GoogleTranslate(C82, ""en"", ""ml"")"),"അസിമുത്ത്")</f>
        <v>അസിമുത്ത്</v>
      </c>
      <c r="AR82" s="3" t="str">
        <f>IFERROR(__xludf.DUMMYFUNCTION("GoogleTranslate(C82, ""en"", ""mr"")"),"अजिमथ")</f>
        <v>अजिमथ</v>
      </c>
      <c r="AS82" s="3" t="str">
        <f>IFERROR(__xludf.DUMMYFUNCTION("GoogleTranslate(C82, ""en"", ""mn"")"),"Азимут")</f>
        <v>Азимут</v>
      </c>
      <c r="AT82" s="3" t="str">
        <f>IFERROR(__xludf.DUMMYFUNCTION("GoogleTranslate(C82, ""en"", ""ne"")"),"अजमुथ")</f>
        <v>अजमुथ</v>
      </c>
      <c r="AU82" s="3" t="str">
        <f>IFERROR(__xludf.DUMMYFUNCTION("GoogleTranslate(C82, ""en"", ""nb"")"),"Azimut")</f>
        <v>Azimut</v>
      </c>
      <c r="AV82" s="3" t="str">
        <f>IFERROR(__xludf.DUMMYFUNCTION("GoogleTranslate(C82, ""en"", ""fa"")"),"آزیموت")</f>
        <v>آزیموت</v>
      </c>
      <c r="AW82" s="3" t="str">
        <f>IFERROR(__xludf.DUMMYFUNCTION("GoogleTranslate(C82, ""en"", ""pl"")"),"Azymut")</f>
        <v>Azymut</v>
      </c>
      <c r="AX82" s="3" t="str">
        <f>IFERROR(__xludf.DUMMYFUNCTION("GoogleTranslate(C82, ""en"", ""pt"")"),"Azimute")</f>
        <v>Azimute</v>
      </c>
      <c r="AY82" s="3" t="str">
        <f>IFERROR(__xludf.DUMMYFUNCTION("GoogleTranslate(C82, ""en"", ""ro"")"),"Azimut")</f>
        <v>Azimut</v>
      </c>
      <c r="AZ82" s="3" t="str">
        <f>IFERROR(__xludf.DUMMYFUNCTION("GoogleTranslate(C82, ""en"", ""ru"")"),"Азимут")</f>
        <v>Азимут</v>
      </c>
      <c r="BA82" s="3" t="str">
        <f>IFERROR(__xludf.DUMMYFUNCTION("GoogleTranslate(C82, ""en"", ""sr"")"),"Азимут")</f>
        <v>Азимут</v>
      </c>
      <c r="BB82" s="3" t="str">
        <f>IFERROR(__xludf.DUMMYFUNCTION("GoogleTranslate(C82, ""en"", ""si"")"),"අසිමුත්")</f>
        <v>අසිමුත්</v>
      </c>
      <c r="BC82" s="3" t="str">
        <f>IFERROR(__xludf.DUMMYFUNCTION("GoogleTranslate(C82, ""en"", ""sk"")"),"Azimut")</f>
        <v>Azimut</v>
      </c>
      <c r="BD82" s="3" t="str">
        <f>IFERROR(__xludf.DUMMYFUNCTION("GoogleTranslate(C82, ""en"", ""sl"")"),"Azimut")</f>
        <v>Azimut</v>
      </c>
      <c r="BE82" s="3" t="str">
        <f>IFERROR(__xludf.DUMMYFUNCTION("GoogleTranslate(C82, ""en"", ""es"")"),"Azimut")</f>
        <v>Azimut</v>
      </c>
      <c r="BF82" s="3" t="str">
        <f>IFERROR(__xludf.DUMMYFUNCTION("GoogleTranslate(C82, ""en"", ""sw"")"),"Azimuth")</f>
        <v>Azimuth</v>
      </c>
      <c r="BG82" s="3" t="str">
        <f>IFERROR(__xludf.DUMMYFUNCTION("GoogleTranslate(C82, ""en"", ""sv"")"),"Azimut")</f>
        <v>Azimut</v>
      </c>
      <c r="BH82" s="3" t="str">
        <f>IFERROR(__xludf.DUMMYFUNCTION("GoogleTranslate(C82, ""en"", ""te"")"),"అజిముత్")</f>
        <v>అజిముత్</v>
      </c>
      <c r="BI82" s="3" t="str">
        <f>IFERROR(__xludf.DUMMYFUNCTION("GoogleTranslate(C82, ""en"", ""th"")"),"ราบ")</f>
        <v>ราบ</v>
      </c>
      <c r="BJ82" s="3" t="str">
        <f>IFERROR(__xludf.DUMMYFUNCTION("GoogleTranslate(C82, ""en"", ""tr"")"),"Azimut")</f>
        <v>Azimut</v>
      </c>
      <c r="BK82" s="3" t="str">
        <f>IFERROR(__xludf.DUMMYFUNCTION("GoogleTranslate(C82, ""en"", ""uk"")"),"Азимут")</f>
        <v>Азимут</v>
      </c>
      <c r="BL82" s="3" t="str">
        <f>IFERROR(__xludf.DUMMYFUNCTION("GoogleTranslate(C82, ""en"", ""zu"")"),"I-Azimuth")</f>
        <v>I-Azimuth</v>
      </c>
    </row>
    <row r="83">
      <c r="A83" s="1" t="str">
        <f t="shared" si="1"/>
        <v>Time</v>
      </c>
      <c r="B83" s="4" t="s">
        <v>141</v>
      </c>
      <c r="C83" s="1" t="str">
        <f t="shared" si="2"/>
        <v>Time</v>
      </c>
      <c r="D83" s="3" t="str">
        <f>IFERROR(__xludf.DUMMYFUNCTION("GoogleTranslate(C83, ""en"", ""es"")"),"Tiempo")</f>
        <v>Tiempo</v>
      </c>
      <c r="E83" s="3" t="str">
        <f>IFERROR(__xludf.DUMMYFUNCTION("GoogleTranslate(C83, ""en"", ""ar"")"),"وقت")</f>
        <v>وقت</v>
      </c>
      <c r="F83" s="3" t="str">
        <f>IFERROR(__xludf.DUMMYFUNCTION("GoogleTranslate(C83, ""en"", ""hy"")"),"Ժամանակը")</f>
        <v>Ժամանակը</v>
      </c>
      <c r="G83" s="3" t="str">
        <f>IFERROR(__xludf.DUMMYFUNCTION("GoogleTranslate(C83, ""en"", ""vi"")"),"Thời gian")</f>
        <v>Thời gian</v>
      </c>
      <c r="H83" s="3" t="str">
        <f>IFERROR(__xludf.DUMMYFUNCTION("GoogleTranslate(C83, ""en"", ""az"")"),"Vaxt")</f>
        <v>Vaxt</v>
      </c>
      <c r="I83" s="3" t="str">
        <f>IFERROR(__xludf.DUMMYFUNCTION("GoogleTranslate(C83, ""en"", ""eu"")"),"Denbora")</f>
        <v>Denbora</v>
      </c>
      <c r="J83" s="3" t="str">
        <f>IFERROR(__xludf.DUMMYFUNCTION("GoogleTranslate(C83, ""en"", ""be"")"),"Час")</f>
        <v>Час</v>
      </c>
      <c r="K83" s="3" t="str">
        <f>IFERROR(__xludf.DUMMYFUNCTION("GoogleTranslate(C83, ""en"", ""bn"")"),"সময়")</f>
        <v>সময়</v>
      </c>
      <c r="L83" s="3" t="str">
        <f>IFERROR(__xludf.DUMMYFUNCTION("GoogleTranslate(C83, ""en"", ""bg"")"),"време")</f>
        <v>време</v>
      </c>
      <c r="M83" s="3" t="str">
        <f>IFERROR(__xludf.DUMMYFUNCTION("GoogleTranslate(C83, ""en"", ""my"")"),"အချိန်")</f>
        <v>အချိန်</v>
      </c>
      <c r="N83" s="3" t="str">
        <f>IFERROR(__xludf.DUMMYFUNCTION("GoogleTranslate(C83, ""en"", ""ca"")"),"Temps")</f>
        <v>Temps</v>
      </c>
      <c r="O83" s="3" t="str">
        <f>IFERROR(__xludf.DUMMYFUNCTION("GoogleTranslate(C83, ""en"", ""zh-cn"")"),"时间")</f>
        <v>时间</v>
      </c>
      <c r="P83" s="3" t="str">
        <f>IFERROR(__xludf.DUMMYFUNCTION("GoogleTranslate(C83, ""en"", ""zh-TW"")"),"時間")</f>
        <v>時間</v>
      </c>
      <c r="Q83" s="3" t="str">
        <f>IFERROR(__xludf.DUMMYFUNCTION("GoogleTranslate(C83, ""en"", ""hr"")"),"Vrijeme")</f>
        <v>Vrijeme</v>
      </c>
      <c r="R83" s="3" t="str">
        <f>IFERROR(__xludf.DUMMYFUNCTION("GoogleTranslate(C83, ""en"", ""cs"")"),"Čas")</f>
        <v>Čas</v>
      </c>
      <c r="S83" s="3" t="str">
        <f>IFERROR(__xludf.DUMMYFUNCTION("GoogleTranslate(C83, ""en"", ""da"")"),"Tid")</f>
        <v>Tid</v>
      </c>
      <c r="T83" s="3" t="str">
        <f>IFERROR(__xludf.DUMMYFUNCTION("GoogleTranslate(C83, ""en"", ""nl"")"),"Tijd")</f>
        <v>Tijd</v>
      </c>
      <c r="U83" s="3" t="str">
        <f>IFERROR(__xludf.DUMMYFUNCTION("GoogleTranslate(C83, ""en"", ""et"")"),"Aeg")</f>
        <v>Aeg</v>
      </c>
      <c r="V83" s="1" t="str">
        <f t="shared" si="3"/>
        <v>Time</v>
      </c>
      <c r="W83" s="3" t="str">
        <f>IFERROR(__xludf.DUMMYFUNCTION("GoogleTranslate(C83, ""en"", ""fi"")"),"Aika")</f>
        <v>Aika</v>
      </c>
      <c r="X83" s="3" t="str">
        <f>IFERROR(__xludf.DUMMYFUNCTION("GoogleTranslate(C83, ""en"", ""fr"")"),"Temps")</f>
        <v>Temps</v>
      </c>
      <c r="Y83" s="3" t="str">
        <f>IFERROR(__xludf.DUMMYFUNCTION("GoogleTranslate(C83, ""en"", ""de"")"),"Zeit")</f>
        <v>Zeit</v>
      </c>
      <c r="Z83" s="3" t="str">
        <f>IFERROR(__xludf.DUMMYFUNCTION("GoogleTranslate(C83, ""en"", ""el"")"),"Φορά")</f>
        <v>Φορά</v>
      </c>
      <c r="AA83" s="3" t="str">
        <f>IFERROR(__xludf.DUMMYFUNCTION("GoogleTranslate(C83, ""en"", ""iw"")"),"זְמַן")</f>
        <v>זְמַן</v>
      </c>
      <c r="AB83" s="3" t="str">
        <f>IFERROR(__xludf.DUMMYFUNCTION("GoogleTranslate(C83, ""en"", ""hi"")"),"समय")</f>
        <v>समय</v>
      </c>
      <c r="AC83" s="3" t="str">
        <f>IFERROR(__xludf.DUMMYFUNCTION("GoogleTranslate(C83, ""en"", ""hu"")"),"Idő")</f>
        <v>Idő</v>
      </c>
      <c r="AD83" s="3" t="str">
        <f>IFERROR(__xludf.DUMMYFUNCTION("GoogleTranslate(C83, ""en"", ""is"")"),"Tími")</f>
        <v>Tími</v>
      </c>
      <c r="AE83" s="3" t="str">
        <f>IFERROR(__xludf.DUMMYFUNCTION("GoogleTranslate(C83, ""en"", ""id"")"),"Waktu")</f>
        <v>Waktu</v>
      </c>
      <c r="AF83" s="3" t="str">
        <f>IFERROR(__xludf.DUMMYFUNCTION("GoogleTranslate(C83, ""en"", ""in"")"),"Waktu")</f>
        <v>Waktu</v>
      </c>
      <c r="AG83" s="3" t="str">
        <f>IFERROR(__xludf.DUMMYFUNCTION("GoogleTranslate(C83, ""en"", ""it"")"),"Tempo")</f>
        <v>Tempo</v>
      </c>
      <c r="AH83" s="3" t="str">
        <f>IFERROR(__xludf.DUMMYFUNCTION("GoogleTranslate(C83, ""en"", ""ja"")"),"時間")</f>
        <v>時間</v>
      </c>
      <c r="AI83" s="3" t="str">
        <f>IFERROR(__xludf.DUMMYFUNCTION("GoogleTranslate(C83, ""en"", ""kn"")"),"ಸಮಯ")</f>
        <v>ಸಮಯ</v>
      </c>
      <c r="AJ83" s="3" t="str">
        <f>IFERROR(__xludf.DUMMYFUNCTION("GoogleTranslate(C83, ""en"", ""km"")"),"ពេលវេលា")</f>
        <v>ពេលវេលា</v>
      </c>
      <c r="AK83" s="3" t="str">
        <f>IFERROR(__xludf.DUMMYFUNCTION("GoogleTranslate(C83, ""en"", ""ko"")"),"시간")</f>
        <v>시간</v>
      </c>
      <c r="AL83" s="3" t="str">
        <f>IFERROR(__xludf.DUMMYFUNCTION("GoogleTranslate(C83, ""en"", ""lo"")"),"ເວລາ")</f>
        <v>ເວລາ</v>
      </c>
      <c r="AM83" s="3" t="str">
        <f>IFERROR(__xludf.DUMMYFUNCTION("GoogleTranslate(C83, ""en"", ""lv"")"),"Laiks")</f>
        <v>Laiks</v>
      </c>
      <c r="AN83" s="3" t="str">
        <f>IFERROR(__xludf.DUMMYFUNCTION("GoogleTranslate(C83, ""en"", ""lt"")"),"Laikas")</f>
        <v>Laikas</v>
      </c>
      <c r="AO83" s="3" t="str">
        <f>IFERROR(__xludf.DUMMYFUNCTION("GoogleTranslate(C83, ""en"", ""mk"")"),"Време")</f>
        <v>Време</v>
      </c>
      <c r="AP83" s="3" t="str">
        <f>IFERROR(__xludf.DUMMYFUNCTION("GoogleTranslate(C83, ""en"", ""ms"")"),"Masa")</f>
        <v>Masa</v>
      </c>
      <c r="AQ83" s="3" t="str">
        <f>IFERROR(__xludf.DUMMYFUNCTION("GoogleTranslate(C83, ""en"", ""ml"")"),"സമയം")</f>
        <v>സമയം</v>
      </c>
      <c r="AR83" s="3" t="str">
        <f>IFERROR(__xludf.DUMMYFUNCTION("GoogleTranslate(C83, ""en"", ""mr"")"),"वेळ")</f>
        <v>वेळ</v>
      </c>
      <c r="AS83" s="3" t="str">
        <f>IFERROR(__xludf.DUMMYFUNCTION("GoogleTranslate(C83, ""en"", ""mn"")"),"Цаг хугацаа")</f>
        <v>Цаг хугацаа</v>
      </c>
      <c r="AT83" s="3" t="str">
        <f>IFERROR(__xludf.DUMMYFUNCTION("GoogleTranslate(C83, ""en"", ""ne"")"),"समय")</f>
        <v>समय</v>
      </c>
      <c r="AU83" s="3" t="str">
        <f>IFERROR(__xludf.DUMMYFUNCTION("GoogleTranslate(C83, ""en"", ""nb"")"),"Tid")</f>
        <v>Tid</v>
      </c>
      <c r="AV83" s="3" t="str">
        <f>IFERROR(__xludf.DUMMYFUNCTION("GoogleTranslate(C83, ""en"", ""fa"")"),"زمان")</f>
        <v>زمان</v>
      </c>
      <c r="AW83" s="3" t="str">
        <f>IFERROR(__xludf.DUMMYFUNCTION("GoogleTranslate(C83, ""en"", ""pl"")"),"Czas")</f>
        <v>Czas</v>
      </c>
      <c r="AX83" s="3" t="str">
        <f>IFERROR(__xludf.DUMMYFUNCTION("GoogleTranslate(C83, ""en"", ""pt"")"),"Tempo")</f>
        <v>Tempo</v>
      </c>
      <c r="AY83" s="3" t="str">
        <f>IFERROR(__xludf.DUMMYFUNCTION("GoogleTranslate(C83, ""en"", ""ro"")"),"Timp")</f>
        <v>Timp</v>
      </c>
      <c r="AZ83" s="3" t="str">
        <f>IFERROR(__xludf.DUMMYFUNCTION("GoogleTranslate(C83, ""en"", ""ru"")"),"Время")</f>
        <v>Время</v>
      </c>
      <c r="BA83" s="3" t="str">
        <f>IFERROR(__xludf.DUMMYFUNCTION("GoogleTranslate(C83, ""en"", ""sr"")"),"Време")</f>
        <v>Време</v>
      </c>
      <c r="BB83" s="3" t="str">
        <f>IFERROR(__xludf.DUMMYFUNCTION("GoogleTranslate(C83, ""en"", ""si"")"),"කාලය")</f>
        <v>කාලය</v>
      </c>
      <c r="BC83" s="3" t="str">
        <f>IFERROR(__xludf.DUMMYFUNCTION("GoogleTranslate(C83, ""en"", ""sk"")"),"Čas")</f>
        <v>Čas</v>
      </c>
      <c r="BD83" s="3" t="str">
        <f>IFERROR(__xludf.DUMMYFUNCTION("GoogleTranslate(C83, ""en"", ""sl"")"),"Čas")</f>
        <v>Čas</v>
      </c>
      <c r="BE83" s="3" t="str">
        <f>IFERROR(__xludf.DUMMYFUNCTION("GoogleTranslate(C83, ""en"", ""es"")"),"Tiempo")</f>
        <v>Tiempo</v>
      </c>
      <c r="BF83" s="3" t="str">
        <f>IFERROR(__xludf.DUMMYFUNCTION("GoogleTranslate(C83, ""en"", ""sw"")"),"Muda")</f>
        <v>Muda</v>
      </c>
      <c r="BG83" s="3" t="str">
        <f>IFERROR(__xludf.DUMMYFUNCTION("GoogleTranslate(C83, ""en"", ""sv"")"),"Tid")</f>
        <v>Tid</v>
      </c>
      <c r="BH83" s="3" t="str">
        <f>IFERROR(__xludf.DUMMYFUNCTION("GoogleTranslate(C83, ""en"", ""te"")"),"సమయం")</f>
        <v>సమయం</v>
      </c>
      <c r="BI83" s="3" t="str">
        <f>IFERROR(__xludf.DUMMYFUNCTION("GoogleTranslate(C83, ""en"", ""th"")"),"เวลา")</f>
        <v>เวลา</v>
      </c>
      <c r="BJ83" s="3" t="str">
        <f>IFERROR(__xludf.DUMMYFUNCTION("GoogleTranslate(C83, ""en"", ""tr"")"),"Zaman")</f>
        <v>Zaman</v>
      </c>
      <c r="BK83" s="3" t="str">
        <f>IFERROR(__xludf.DUMMYFUNCTION("GoogleTranslate(C83, ""en"", ""uk"")"),"час")</f>
        <v>час</v>
      </c>
      <c r="BL83" s="3" t="str">
        <f>IFERROR(__xludf.DUMMYFUNCTION("GoogleTranslate(C83, ""en"", ""zu"")"),"Isikhathi")</f>
        <v>Isikhathi</v>
      </c>
    </row>
    <row r="84">
      <c r="A84" s="1" t="str">
        <f t="shared" si="1"/>
        <v>Current_altitude</v>
      </c>
      <c r="B84" s="4" t="s">
        <v>142</v>
      </c>
      <c r="C84" s="1" t="str">
        <f t="shared" si="2"/>
        <v>Current altitude</v>
      </c>
      <c r="D84" s="3" t="str">
        <f>IFERROR(__xludf.DUMMYFUNCTION("GoogleTranslate(C84, ""en"", ""es"")"),"Altitud actual")</f>
        <v>Altitud actual</v>
      </c>
      <c r="E84" s="3" t="str">
        <f>IFERROR(__xludf.DUMMYFUNCTION("GoogleTranslate(C84, ""en"", ""ar"")"),"الارتفاع الحالي")</f>
        <v>الارتفاع الحالي</v>
      </c>
      <c r="F84" s="3" t="str">
        <f>IFERROR(__xludf.DUMMYFUNCTION("GoogleTranslate(C84, ""en"", ""hy"")"),"Ընթացիկ բարձրությունը")</f>
        <v>Ընթացիկ բարձրությունը</v>
      </c>
      <c r="G84" s="3" t="str">
        <f>IFERROR(__xludf.DUMMYFUNCTION("GoogleTranslate(C84, ""en"", ""vi"")"),"Độ cao hiện tại")</f>
        <v>Độ cao hiện tại</v>
      </c>
      <c r="H84" s="3" t="str">
        <f>IFERROR(__xludf.DUMMYFUNCTION("GoogleTranslate(C84, ""en"", ""az"")"),"Cari hündürlük")</f>
        <v>Cari hündürlük</v>
      </c>
      <c r="I84" s="3" t="str">
        <f>IFERROR(__xludf.DUMMYFUNCTION("GoogleTranslate(C84, ""en"", ""eu"")"),"Gaur egungo altitudea")</f>
        <v>Gaur egungo altitudea</v>
      </c>
      <c r="J84" s="3" t="str">
        <f>IFERROR(__xludf.DUMMYFUNCTION("GoogleTranslate(C84, ""en"", ""be"")"),"Бягучая вышыня")</f>
        <v>Бягучая вышыня</v>
      </c>
      <c r="K84" s="3" t="str">
        <f>IFERROR(__xludf.DUMMYFUNCTION("GoogleTranslate(C84, ""en"", ""bn"")"),"বর্তমান উচ্চতা")</f>
        <v>বর্তমান উচ্চতা</v>
      </c>
      <c r="L84" s="3" t="str">
        <f>IFERROR(__xludf.DUMMYFUNCTION("GoogleTranslate(C84, ""en"", ""bg"")"),"Текуща надморска височина")</f>
        <v>Текуща надморска височина</v>
      </c>
      <c r="M84" s="3" t="str">
        <f>IFERROR(__xludf.DUMMYFUNCTION("GoogleTranslate(C84, ""en"", ""my"")"),"လက်ရှိ အမြင့်ပေ")</f>
        <v>လက်ရှိ အမြင့်ပေ</v>
      </c>
      <c r="N84" s="3" t="str">
        <f>IFERROR(__xludf.DUMMYFUNCTION("GoogleTranslate(C84, ""en"", ""ca"")"),"Altitud actual")</f>
        <v>Altitud actual</v>
      </c>
      <c r="O84" s="3" t="str">
        <f>IFERROR(__xludf.DUMMYFUNCTION("GoogleTranslate(C84, ""en"", ""zh-cn"")"),"当前海拔高度")</f>
        <v>当前海拔高度</v>
      </c>
      <c r="P84" s="3" t="str">
        <f>IFERROR(__xludf.DUMMYFUNCTION("GoogleTranslate(C84, ""en"", ""zh-TW"")"),"目前海拔高度")</f>
        <v>目前海拔高度</v>
      </c>
      <c r="Q84" s="3" t="str">
        <f>IFERROR(__xludf.DUMMYFUNCTION("GoogleTranslate(C84, ""en"", ""hr"")"),"Trenutna nadmorska visina")</f>
        <v>Trenutna nadmorska visina</v>
      </c>
      <c r="R84" s="3" t="str">
        <f>IFERROR(__xludf.DUMMYFUNCTION("GoogleTranslate(C84, ""en"", ""cs"")"),"Aktuální nadmořská výška")</f>
        <v>Aktuální nadmořská výška</v>
      </c>
      <c r="S84" s="3" t="str">
        <f>IFERROR(__xludf.DUMMYFUNCTION("GoogleTranslate(C84, ""en"", ""da"")"),"Nuværende højde")</f>
        <v>Nuværende højde</v>
      </c>
      <c r="T84" s="3" t="str">
        <f>IFERROR(__xludf.DUMMYFUNCTION("GoogleTranslate(C84, ""en"", ""nl"")"),"Huidige hoogte")</f>
        <v>Huidige hoogte</v>
      </c>
      <c r="U84" s="3" t="str">
        <f>IFERROR(__xludf.DUMMYFUNCTION("GoogleTranslate(C84, ""en"", ""et"")"),"Praegune kõrgus merepinnast")</f>
        <v>Praegune kõrgus merepinnast</v>
      </c>
      <c r="V84" s="1" t="str">
        <f t="shared" si="3"/>
        <v>Current altitude</v>
      </c>
      <c r="W84" s="3" t="str">
        <f>IFERROR(__xludf.DUMMYFUNCTION("GoogleTranslate(C84, ""en"", ""fi"")"),"Nykyinen korkeus")</f>
        <v>Nykyinen korkeus</v>
      </c>
      <c r="X84" s="3" t="str">
        <f>IFERROR(__xludf.DUMMYFUNCTION("GoogleTranslate(C84, ""en"", ""fr"")"),"Altitude actuelle")</f>
        <v>Altitude actuelle</v>
      </c>
      <c r="Y84" s="3" t="str">
        <f>IFERROR(__xludf.DUMMYFUNCTION("GoogleTranslate(C84, ""en"", ""de"")"),"Aktuelle Höhe")</f>
        <v>Aktuelle Höhe</v>
      </c>
      <c r="Z84" s="3" t="str">
        <f>IFERROR(__xludf.DUMMYFUNCTION("GoogleTranslate(C84, ""en"", ""el"")"),"Τρέχον υψόμετρο")</f>
        <v>Τρέχον υψόμετρο</v>
      </c>
      <c r="AA84" s="3" t="str">
        <f>IFERROR(__xludf.DUMMYFUNCTION("GoogleTranslate(C84, ""en"", ""iw"")"),"גובה נוכחי")</f>
        <v>גובה נוכחי</v>
      </c>
      <c r="AB84" s="3" t="str">
        <f>IFERROR(__xludf.DUMMYFUNCTION("GoogleTranslate(C84, ""en"", ""hi"")"),"वर्तमान ऊंचाई")</f>
        <v>वर्तमान ऊंचाई</v>
      </c>
      <c r="AC84" s="3" t="str">
        <f>IFERROR(__xludf.DUMMYFUNCTION("GoogleTranslate(C84, ""en"", ""hu"")"),"Jelenlegi magasság")</f>
        <v>Jelenlegi magasság</v>
      </c>
      <c r="AD84" s="3" t="str">
        <f>IFERROR(__xludf.DUMMYFUNCTION("GoogleTranslate(C84, ""en"", ""is"")"),"Núverandi hæð")</f>
        <v>Núverandi hæð</v>
      </c>
      <c r="AE84" s="3" t="str">
        <f>IFERROR(__xludf.DUMMYFUNCTION("GoogleTranslate(C84, ""en"", ""id"")"),"Ketinggian saat ini")</f>
        <v>Ketinggian saat ini</v>
      </c>
      <c r="AF84" s="3" t="str">
        <f>IFERROR(__xludf.DUMMYFUNCTION("GoogleTranslate(C84, ""en"", ""in"")"),"Ketinggian saat ini")</f>
        <v>Ketinggian saat ini</v>
      </c>
      <c r="AG84" s="3" t="str">
        <f>IFERROR(__xludf.DUMMYFUNCTION("GoogleTranslate(C84, ""en"", ""it"")"),"Altitudine attuale")</f>
        <v>Altitudine attuale</v>
      </c>
      <c r="AH84" s="3" t="str">
        <f>IFERROR(__xludf.DUMMYFUNCTION("GoogleTranslate(C84, ""en"", ""ja"")"),"現在の高度")</f>
        <v>現在の高度</v>
      </c>
      <c r="AI84" s="3" t="str">
        <f>IFERROR(__xludf.DUMMYFUNCTION("GoogleTranslate(C84, ""en"", ""kn"")"),"ಪ್ರಸ್ತುತ ಎತ್ತರ")</f>
        <v>ಪ್ರಸ್ತುತ ಎತ್ತರ</v>
      </c>
      <c r="AJ84" s="3" t="str">
        <f>IFERROR(__xludf.DUMMYFUNCTION("GoogleTranslate(C84, ""en"", ""km"")"),"កម្ពស់បច្ចុប្បន្ន")</f>
        <v>កម្ពស់បច្ចុប្បន្ន</v>
      </c>
      <c r="AK84" s="3" t="str">
        <f>IFERROR(__xludf.DUMMYFUNCTION("GoogleTranslate(C84, ""en"", ""ko"")"),"현재 고도")</f>
        <v>현재 고도</v>
      </c>
      <c r="AL84" s="3" t="str">
        <f>IFERROR(__xludf.DUMMYFUNCTION("GoogleTranslate(C84, ""en"", ""lo"")"),"ລະດັບຄວາມສູງໃນປະຈຸບັນ")</f>
        <v>ລະດັບຄວາມສູງໃນປະຈຸບັນ</v>
      </c>
      <c r="AM84" s="3" t="str">
        <f>IFERROR(__xludf.DUMMYFUNCTION("GoogleTranslate(C84, ""en"", ""lv"")"),"Pašreizējais augstums")</f>
        <v>Pašreizējais augstums</v>
      </c>
      <c r="AN84" s="3" t="str">
        <f>IFERROR(__xludf.DUMMYFUNCTION("GoogleTranslate(C84, ""en"", ""lt"")"),"Dabartinis aukštis")</f>
        <v>Dabartinis aukštis</v>
      </c>
      <c r="AO84" s="3" t="str">
        <f>IFERROR(__xludf.DUMMYFUNCTION("GoogleTranslate(C84, ""en"", ""mk"")"),"Моментална надморска височина")</f>
        <v>Моментална надморска височина</v>
      </c>
      <c r="AP84" s="3" t="str">
        <f>IFERROR(__xludf.DUMMYFUNCTION("GoogleTranslate(C84, ""en"", ""ms"")"),"Ketinggian semasa")</f>
        <v>Ketinggian semasa</v>
      </c>
      <c r="AQ84" s="3" t="str">
        <f>IFERROR(__xludf.DUMMYFUNCTION("GoogleTranslate(C84, ""en"", ""ml"")"),"നിലവിലെ ഉയരം")</f>
        <v>നിലവിലെ ഉയരം</v>
      </c>
      <c r="AR84" s="3" t="str">
        <f>IFERROR(__xludf.DUMMYFUNCTION("GoogleTranslate(C84, ""en"", ""mr"")"),"वर्तमान उंची")</f>
        <v>वर्तमान उंची</v>
      </c>
      <c r="AS84" s="3" t="str">
        <f>IFERROR(__xludf.DUMMYFUNCTION("GoogleTranslate(C84, ""en"", ""mn"")"),"Одоогийн өндөр")</f>
        <v>Одоогийн өндөр</v>
      </c>
      <c r="AT84" s="3" t="str">
        <f>IFERROR(__xludf.DUMMYFUNCTION("GoogleTranslate(C84, ""en"", ""ne"")"),"हालको उचाइ")</f>
        <v>हालको उचाइ</v>
      </c>
      <c r="AU84" s="3" t="str">
        <f>IFERROR(__xludf.DUMMYFUNCTION("GoogleTranslate(C84, ""en"", ""nb"")"),"Nåværende høyde")</f>
        <v>Nåværende høyde</v>
      </c>
      <c r="AV84" s="3" t="str">
        <f>IFERROR(__xludf.DUMMYFUNCTION("GoogleTranslate(C84, ""en"", ""fa"")"),"ارتفاع فعلی")</f>
        <v>ارتفاع فعلی</v>
      </c>
      <c r="AW84" s="3" t="str">
        <f>IFERROR(__xludf.DUMMYFUNCTION("GoogleTranslate(C84, ""en"", ""pl"")"),"Aktualna wysokość")</f>
        <v>Aktualna wysokość</v>
      </c>
      <c r="AX84" s="3" t="str">
        <f>IFERROR(__xludf.DUMMYFUNCTION("GoogleTranslate(C84, ""en"", ""pt"")"),"Altitude atual")</f>
        <v>Altitude atual</v>
      </c>
      <c r="AY84" s="3" t="str">
        <f>IFERROR(__xludf.DUMMYFUNCTION("GoogleTranslate(C84, ""en"", ""ro"")"),"Altitudinea actuală")</f>
        <v>Altitudinea actuală</v>
      </c>
      <c r="AZ84" s="3" t="str">
        <f>IFERROR(__xludf.DUMMYFUNCTION("GoogleTranslate(C84, ""en"", ""ru"")"),"Текущая высота")</f>
        <v>Текущая высота</v>
      </c>
      <c r="BA84" s="3" t="str">
        <f>IFERROR(__xludf.DUMMYFUNCTION("GoogleTranslate(C84, ""en"", ""sr"")"),"Тренутна висина")</f>
        <v>Тренутна висина</v>
      </c>
      <c r="BB84" s="3" t="str">
        <f>IFERROR(__xludf.DUMMYFUNCTION("GoogleTranslate(C84, ""en"", ""si"")"),"වත්මන් උන්නතාංශය")</f>
        <v>වත්මන් උන්නතාංශය</v>
      </c>
      <c r="BC84" s="3" t="str">
        <f>IFERROR(__xludf.DUMMYFUNCTION("GoogleTranslate(C84, ""en"", ""sk"")"),"Aktuálna nadmorská výška")</f>
        <v>Aktuálna nadmorská výška</v>
      </c>
      <c r="BD84" s="3" t="str">
        <f>IFERROR(__xludf.DUMMYFUNCTION("GoogleTranslate(C84, ""en"", ""sl"")"),"Trenutna nadmorska višina")</f>
        <v>Trenutna nadmorska višina</v>
      </c>
      <c r="BE84" s="3" t="str">
        <f>IFERROR(__xludf.DUMMYFUNCTION("GoogleTranslate(C84, ""en"", ""es"")"),"Altitud actual")</f>
        <v>Altitud actual</v>
      </c>
      <c r="BF84" s="3" t="str">
        <f>IFERROR(__xludf.DUMMYFUNCTION("GoogleTranslate(C84, ""en"", ""sw"")"),"Urefu wa sasa")</f>
        <v>Urefu wa sasa</v>
      </c>
      <c r="BG84" s="3" t="str">
        <f>IFERROR(__xludf.DUMMYFUNCTION("GoogleTranslate(C84, ""en"", ""sv"")"),"Aktuell höjd")</f>
        <v>Aktuell höjd</v>
      </c>
      <c r="BH84" s="3" t="str">
        <f>IFERROR(__xludf.DUMMYFUNCTION("GoogleTranslate(C84, ""en"", ""te"")"),"ప్రస్తుత ఎత్తు")</f>
        <v>ప్రస్తుత ఎత్తు</v>
      </c>
      <c r="BI84" s="3" t="str">
        <f>IFERROR(__xludf.DUMMYFUNCTION("GoogleTranslate(C84, ""en"", ""th"")"),"ระดับความสูงปัจจุบัน")</f>
        <v>ระดับความสูงปัจจุบัน</v>
      </c>
      <c r="BJ84" s="3" t="str">
        <f>IFERROR(__xludf.DUMMYFUNCTION("GoogleTranslate(C84, ""en"", ""tr"")"),"Mevcut yükseklik")</f>
        <v>Mevcut yükseklik</v>
      </c>
      <c r="BK84" s="3" t="str">
        <f>IFERROR(__xludf.DUMMYFUNCTION("GoogleTranslate(C84, ""en"", ""uk"")"),"Поточна висота")</f>
        <v>Поточна висота</v>
      </c>
      <c r="BL84" s="3" t="str">
        <f>IFERROR(__xludf.DUMMYFUNCTION("GoogleTranslate(C84, ""en"", ""zu"")"),"Ukuphakama kwamanje")</f>
        <v>Ukuphakama kwamanje</v>
      </c>
    </row>
    <row r="85">
      <c r="A85" s="1" t="str">
        <f t="shared" si="1"/>
        <v>Current_Azimuth</v>
      </c>
      <c r="B85" s="4" t="s">
        <v>143</v>
      </c>
      <c r="C85" s="1" t="str">
        <f t="shared" si="2"/>
        <v>Current Azimuth</v>
      </c>
      <c r="D85" s="3" t="str">
        <f>IFERROR(__xludf.DUMMYFUNCTION("GoogleTranslate(C85, ""en"", ""es"")"),"Azimut actual")</f>
        <v>Azimut actual</v>
      </c>
      <c r="E85" s="3" t="str">
        <f>IFERROR(__xludf.DUMMYFUNCTION("GoogleTranslate(C85, ""en"", ""ar"")"),"السمت الحالي")</f>
        <v>السمت الحالي</v>
      </c>
      <c r="F85" s="3" t="str">
        <f>IFERROR(__xludf.DUMMYFUNCTION("GoogleTranslate(C85, ""en"", ""hy"")"),"Ընթացիկ ազիմուտ")</f>
        <v>Ընթացիկ ազիմուտ</v>
      </c>
      <c r="G85" s="3" t="str">
        <f>IFERROR(__xludf.DUMMYFUNCTION("GoogleTranslate(C85, ""en"", ""vi"")"),"Phương vị hiện tại")</f>
        <v>Phương vị hiện tại</v>
      </c>
      <c r="H85" s="3" t="str">
        <f>IFERROR(__xludf.DUMMYFUNCTION("GoogleTranslate(C85, ""en"", ""az"")"),"Cari Azimut")</f>
        <v>Cari Azimut</v>
      </c>
      <c r="I85" s="3" t="str">
        <f>IFERROR(__xludf.DUMMYFUNCTION("GoogleTranslate(C85, ""en"", ""eu"")"),"Egungo azimutua")</f>
        <v>Egungo azimutua</v>
      </c>
      <c r="J85" s="3" t="str">
        <f>IFERROR(__xludf.DUMMYFUNCTION("GoogleTranslate(C85, ""en"", ""be"")"),"Бягучы азімут")</f>
        <v>Бягучы азімут</v>
      </c>
      <c r="K85" s="3" t="str">
        <f>IFERROR(__xludf.DUMMYFUNCTION("GoogleTranslate(C85, ""en"", ""bn"")"),"বর্তমান আজিমুথ")</f>
        <v>বর্তমান আজিমুথ</v>
      </c>
      <c r="L85" s="3" t="str">
        <f>IFERROR(__xludf.DUMMYFUNCTION("GoogleTranslate(C85, ""en"", ""bg"")"),"Текущ азимут")</f>
        <v>Текущ азимут</v>
      </c>
      <c r="M85" s="3" t="str">
        <f>IFERROR(__xludf.DUMMYFUNCTION("GoogleTranslate(C85, ""en"", ""my"")"),"လက်ရှိ Azimuth")</f>
        <v>လက်ရှိ Azimuth</v>
      </c>
      <c r="N85" s="3" t="str">
        <f>IFERROR(__xludf.DUMMYFUNCTION("GoogleTranslate(C85, ""en"", ""ca"")"),"Azimut actual")</f>
        <v>Azimut actual</v>
      </c>
      <c r="O85" s="3" t="str">
        <f>IFERROR(__xludf.DUMMYFUNCTION("GoogleTranslate(C85, ""en"", ""zh-cn"")"),"当前方位角")</f>
        <v>当前方位角</v>
      </c>
      <c r="P85" s="3" t="str">
        <f>IFERROR(__xludf.DUMMYFUNCTION("GoogleTranslate(C85, ""en"", ""zh-TW"")"),"當前方位角")</f>
        <v>當前方位角</v>
      </c>
      <c r="Q85" s="3" t="str">
        <f>IFERROR(__xludf.DUMMYFUNCTION("GoogleTranslate(C85, ""en"", ""hr"")"),"Trenutni azimut")</f>
        <v>Trenutni azimut</v>
      </c>
      <c r="R85" s="3" t="str">
        <f>IFERROR(__xludf.DUMMYFUNCTION("GoogleTranslate(C85, ""en"", ""cs"")"),"Aktuální azimut")</f>
        <v>Aktuální azimut</v>
      </c>
      <c r="S85" s="3" t="str">
        <f>IFERROR(__xludf.DUMMYFUNCTION("GoogleTranslate(C85, ""en"", ""da"")"),"Nuværende azimut")</f>
        <v>Nuværende azimut</v>
      </c>
      <c r="T85" s="3" t="str">
        <f>IFERROR(__xludf.DUMMYFUNCTION("GoogleTranslate(C85, ""en"", ""nl"")"),"Huidige Azimut")</f>
        <v>Huidige Azimut</v>
      </c>
      <c r="U85" s="3" t="str">
        <f>IFERROR(__xludf.DUMMYFUNCTION("GoogleTranslate(C85, ""en"", ""et"")"),"Praegune asimuut")</f>
        <v>Praegune asimuut</v>
      </c>
      <c r="V85" s="1" t="str">
        <f t="shared" si="3"/>
        <v>Current Azimuth</v>
      </c>
      <c r="W85" s="3" t="str">
        <f>IFERROR(__xludf.DUMMYFUNCTION("GoogleTranslate(C85, ""en"", ""fi"")"),"Nykyinen atsimuutti")</f>
        <v>Nykyinen atsimuutti</v>
      </c>
      <c r="X85" s="3" t="str">
        <f>IFERROR(__xludf.DUMMYFUNCTION("GoogleTranslate(C85, ""en"", ""fr"")"),"Azimut actuel")</f>
        <v>Azimut actuel</v>
      </c>
      <c r="Y85" s="3" t="str">
        <f>IFERROR(__xludf.DUMMYFUNCTION("GoogleTranslate(C85, ""en"", ""de"")"),"Aktueller Azimut")</f>
        <v>Aktueller Azimut</v>
      </c>
      <c r="Z85" s="3" t="str">
        <f>IFERROR(__xludf.DUMMYFUNCTION("GoogleTranslate(C85, ""en"", ""el"")"),"Τρέχον αζιμούθιο")</f>
        <v>Τρέχον αζιμούθιο</v>
      </c>
      <c r="AA85" s="3" t="str">
        <f>IFERROR(__xludf.DUMMYFUNCTION("GoogleTranslate(C85, ""en"", ""iw"")"),"אזימוט נוכחי")</f>
        <v>אזימוט נוכחי</v>
      </c>
      <c r="AB85" s="3" t="str">
        <f>IFERROR(__xludf.DUMMYFUNCTION("GoogleTranslate(C85, ""en"", ""hi"")"),"वर्तमान अज़ीमुथ")</f>
        <v>वर्तमान अज़ीमुथ</v>
      </c>
      <c r="AC85" s="3" t="str">
        <f>IFERROR(__xludf.DUMMYFUNCTION("GoogleTranslate(C85, ""en"", ""hu"")"),"Jelenlegi azimut")</f>
        <v>Jelenlegi azimut</v>
      </c>
      <c r="AD85" s="3" t="str">
        <f>IFERROR(__xludf.DUMMYFUNCTION("GoogleTranslate(C85, ""en"", ""is"")"),"Núverandi Azimuth")</f>
        <v>Núverandi Azimuth</v>
      </c>
      <c r="AE85" s="3" t="str">
        <f>IFERROR(__xludf.DUMMYFUNCTION("GoogleTranslate(C85, ""en"", ""id"")"),"Azimuth saat ini")</f>
        <v>Azimuth saat ini</v>
      </c>
      <c r="AF85" s="3" t="str">
        <f>IFERROR(__xludf.DUMMYFUNCTION("GoogleTranslate(C85, ""en"", ""in"")"),"Azimuth saat ini")</f>
        <v>Azimuth saat ini</v>
      </c>
      <c r="AG85" s="3" t="str">
        <f>IFERROR(__xludf.DUMMYFUNCTION("GoogleTranslate(C85, ""en"", ""it"")"),"Azimut attuale")</f>
        <v>Azimut attuale</v>
      </c>
      <c r="AH85" s="3" t="str">
        <f>IFERROR(__xludf.DUMMYFUNCTION("GoogleTranslate(C85, ""en"", ""ja"")"),"現在の方位角")</f>
        <v>現在の方位角</v>
      </c>
      <c r="AI85" s="3" t="str">
        <f>IFERROR(__xludf.DUMMYFUNCTION("GoogleTranslate(C85, ""en"", ""kn"")"),"ಪ್ರಸ್ತುತ ಅಜಿಮುತ್")</f>
        <v>ಪ್ರಸ್ತುತ ಅಜಿಮುತ್</v>
      </c>
      <c r="AJ85" s="3" t="str">
        <f>IFERROR(__xludf.DUMMYFUNCTION("GoogleTranslate(C85, ""en"", ""km"")"),"Azimuth បច្ចុប្បន្ន")</f>
        <v>Azimuth បច្ចុប្បន្ន</v>
      </c>
      <c r="AK85" s="3" t="str">
        <f>IFERROR(__xludf.DUMMYFUNCTION("GoogleTranslate(C85, ""en"", ""ko"")"),"현재 방위각")</f>
        <v>현재 방위각</v>
      </c>
      <c r="AL85" s="3" t="str">
        <f>IFERROR(__xludf.DUMMYFUNCTION("GoogleTranslate(C85, ""en"", ""lo"")"),"Azimuth ປະຈຸບັນ")</f>
        <v>Azimuth ປະຈຸບັນ</v>
      </c>
      <c r="AM85" s="3" t="str">
        <f>IFERROR(__xludf.DUMMYFUNCTION("GoogleTranslate(C85, ""en"", ""lv"")"),"Pašreizējais azimuts")</f>
        <v>Pašreizējais azimuts</v>
      </c>
      <c r="AN85" s="3" t="str">
        <f>IFERROR(__xludf.DUMMYFUNCTION("GoogleTranslate(C85, ""en"", ""lt"")"),"Dabartinis azimutas")</f>
        <v>Dabartinis azimutas</v>
      </c>
      <c r="AO85" s="3" t="str">
        <f>IFERROR(__xludf.DUMMYFUNCTION("GoogleTranslate(C85, ""en"", ""mk"")"),"Тековен азимут")</f>
        <v>Тековен азимут</v>
      </c>
      <c r="AP85" s="3" t="str">
        <f>IFERROR(__xludf.DUMMYFUNCTION("GoogleTranslate(C85, ""en"", ""ms"")"),"Azimuth semasa")</f>
        <v>Azimuth semasa</v>
      </c>
      <c r="AQ85" s="3" t="str">
        <f>IFERROR(__xludf.DUMMYFUNCTION("GoogleTranslate(C85, ""en"", ""ml"")"),"നിലവിലെ അസിമുത്ത്")</f>
        <v>നിലവിലെ അസിമുത്ത്</v>
      </c>
      <c r="AR85" s="3" t="str">
        <f>IFERROR(__xludf.DUMMYFUNCTION("GoogleTranslate(C85, ""en"", ""mr"")"),"वर्तमान अजिमथ")</f>
        <v>वर्तमान अजिमथ</v>
      </c>
      <c r="AS85" s="3" t="str">
        <f>IFERROR(__xludf.DUMMYFUNCTION("GoogleTranslate(C85, ""en"", ""mn"")"),"Одоогийн Азимут")</f>
        <v>Одоогийн Азимут</v>
      </c>
      <c r="AT85" s="3" t="str">
        <f>IFERROR(__xludf.DUMMYFUNCTION("GoogleTranslate(C85, ""en"", ""ne"")"),"वर्तमान Azimuth")</f>
        <v>वर्तमान Azimuth</v>
      </c>
      <c r="AU85" s="3" t="str">
        <f>IFERROR(__xludf.DUMMYFUNCTION("GoogleTranslate(C85, ""en"", ""nb"")"),"Nåværende azimut")</f>
        <v>Nåværende azimut</v>
      </c>
      <c r="AV85" s="3" t="str">
        <f>IFERROR(__xludf.DUMMYFUNCTION("GoogleTranslate(C85, ""en"", ""fa"")"),"آزیموت فعلی")</f>
        <v>آزیموت فعلی</v>
      </c>
      <c r="AW85" s="3" t="str">
        <f>IFERROR(__xludf.DUMMYFUNCTION("GoogleTranslate(C85, ""en"", ""pl"")"),"Aktualny azymut")</f>
        <v>Aktualny azymut</v>
      </c>
      <c r="AX85" s="3" t="str">
        <f>IFERROR(__xludf.DUMMYFUNCTION("GoogleTranslate(C85, ""en"", ""pt"")"),"Azimute atual")</f>
        <v>Azimute atual</v>
      </c>
      <c r="AY85" s="3" t="str">
        <f>IFERROR(__xludf.DUMMYFUNCTION("GoogleTranslate(C85, ""en"", ""ro"")"),"Azimut curent")</f>
        <v>Azimut curent</v>
      </c>
      <c r="AZ85" s="3" t="str">
        <f>IFERROR(__xludf.DUMMYFUNCTION("GoogleTranslate(C85, ""en"", ""ru"")"),"Текущий азимут")</f>
        <v>Текущий азимут</v>
      </c>
      <c r="BA85" s="3" t="str">
        <f>IFERROR(__xludf.DUMMYFUNCTION("GoogleTranslate(C85, ""en"", ""sr"")"),"Тренутни азимут")</f>
        <v>Тренутни азимут</v>
      </c>
      <c r="BB85" s="3" t="str">
        <f>IFERROR(__xludf.DUMMYFUNCTION("GoogleTranslate(C85, ""en"", ""si"")"),"වත්මන් අසිමුත්")</f>
        <v>වත්මන් අසිමුත්</v>
      </c>
      <c r="BC85" s="3" t="str">
        <f>IFERROR(__xludf.DUMMYFUNCTION("GoogleTranslate(C85, ""en"", ""sk"")"),"Aktuálny azimut")</f>
        <v>Aktuálny azimut</v>
      </c>
      <c r="BD85" s="3" t="str">
        <f>IFERROR(__xludf.DUMMYFUNCTION("GoogleTranslate(C85, ""en"", ""sl"")"),"Trenutni azimut")</f>
        <v>Trenutni azimut</v>
      </c>
      <c r="BE85" s="3" t="str">
        <f>IFERROR(__xludf.DUMMYFUNCTION("GoogleTranslate(C85, ""en"", ""es"")"),"Azimut actual")</f>
        <v>Azimut actual</v>
      </c>
      <c r="BF85" s="3" t="str">
        <f>IFERROR(__xludf.DUMMYFUNCTION("GoogleTranslate(C85, ""en"", ""sw"")"),"Azimuth ya sasa")</f>
        <v>Azimuth ya sasa</v>
      </c>
      <c r="BG85" s="3" t="str">
        <f>IFERROR(__xludf.DUMMYFUNCTION("GoogleTranslate(C85, ""en"", ""sv"")"),"Nuvarande azimut")</f>
        <v>Nuvarande azimut</v>
      </c>
      <c r="BH85" s="3" t="str">
        <f>IFERROR(__xludf.DUMMYFUNCTION("GoogleTranslate(C85, ""en"", ""te"")"),"ప్రస్తుత అజిముత్")</f>
        <v>ప్రస్తుత అజిముత్</v>
      </c>
      <c r="BI85" s="3" t="str">
        <f>IFERROR(__xludf.DUMMYFUNCTION("GoogleTranslate(C85, ""en"", ""th"")"),"ราบปัจจุบัน")</f>
        <v>ราบปัจจุบัน</v>
      </c>
      <c r="BJ85" s="3" t="str">
        <f>IFERROR(__xludf.DUMMYFUNCTION("GoogleTranslate(C85, ""en"", ""tr"")"),"Mevcut Azimut")</f>
        <v>Mevcut Azimut</v>
      </c>
      <c r="BK85" s="3" t="str">
        <f>IFERROR(__xludf.DUMMYFUNCTION("GoogleTranslate(C85, ""en"", ""uk"")"),"Поточний азимут")</f>
        <v>Поточний азимут</v>
      </c>
      <c r="BL85" s="3" t="str">
        <f>IFERROR(__xludf.DUMMYFUNCTION("GoogleTranslate(C85, ""en"", ""zu"")"),"I-Azimuth yamanje")</f>
        <v>I-Azimuth yamanje</v>
      </c>
    </row>
    <row r="86">
      <c r="A86" s="1" t="str">
        <f t="shared" si="1"/>
        <v>Total_daylight</v>
      </c>
      <c r="B86" s="4" t="s">
        <v>144</v>
      </c>
      <c r="C86" s="1" t="str">
        <f t="shared" si="2"/>
        <v>Total daylight</v>
      </c>
      <c r="D86" s="3" t="str">
        <f>IFERROR(__xludf.DUMMYFUNCTION("GoogleTranslate(C86, ""en"", ""es"")"),"Luz diurna total")</f>
        <v>Luz diurna total</v>
      </c>
      <c r="E86" s="3" t="str">
        <f>IFERROR(__xludf.DUMMYFUNCTION("GoogleTranslate(C86, ""en"", ""ar"")"),"إجمالي ضوء النهار")</f>
        <v>إجمالي ضوء النهار</v>
      </c>
      <c r="F86" s="3" t="str">
        <f>IFERROR(__xludf.DUMMYFUNCTION("GoogleTranslate(C86, ""en"", ""hy"")"),"Ընդհանուր ցերեկային լույս")</f>
        <v>Ընդհանուր ցերեկային լույս</v>
      </c>
      <c r="G86" s="3" t="str">
        <f>IFERROR(__xludf.DUMMYFUNCTION("GoogleTranslate(C86, ""en"", ""vi"")"),"Tổng ánh sáng ban ngày")</f>
        <v>Tổng ánh sáng ban ngày</v>
      </c>
      <c r="H86" s="3" t="str">
        <f>IFERROR(__xludf.DUMMYFUNCTION("GoogleTranslate(C86, ""en"", ""az"")"),"Ümumi gün işığı")</f>
        <v>Ümumi gün işığı</v>
      </c>
      <c r="I86" s="3" t="str">
        <f>IFERROR(__xludf.DUMMYFUNCTION("GoogleTranslate(C86, ""en"", ""eu"")"),"Eguneko argi osoa")</f>
        <v>Eguneko argi osoa</v>
      </c>
      <c r="J86" s="3" t="str">
        <f>IFERROR(__xludf.DUMMYFUNCTION("GoogleTranslate(C86, ""en"", ""be"")"),"Агульны светлавы дзень")</f>
        <v>Агульны светлавы дзень</v>
      </c>
      <c r="K86" s="3" t="str">
        <f>IFERROR(__xludf.DUMMYFUNCTION("GoogleTranslate(C86, ""en"", ""bn"")"),"মোট দিনের আলো")</f>
        <v>মোট দিনের আলো</v>
      </c>
      <c r="L86" s="3" t="str">
        <f>IFERROR(__xludf.DUMMYFUNCTION("GoogleTranslate(C86, ""en"", ""bg"")"),"Пълна дневна светлина")</f>
        <v>Пълна дневна светлина</v>
      </c>
      <c r="M86" s="3" t="str">
        <f>IFERROR(__xludf.DUMMYFUNCTION("GoogleTranslate(C86, ""en"", ""my"")"),"စုစုပေါင်း နေ့အလင်းရောင်")</f>
        <v>စုစုပေါင်း နေ့အလင်းရောင်</v>
      </c>
      <c r="N86" s="3" t="str">
        <f>IFERROR(__xludf.DUMMYFUNCTION("GoogleTranslate(C86, ""en"", ""ca"")"),"Llum diürna total")</f>
        <v>Llum diürna total</v>
      </c>
      <c r="O86" s="3" t="str">
        <f>IFERROR(__xludf.DUMMYFUNCTION("GoogleTranslate(C86, ""en"", ""zh-cn"")"),"总日光")</f>
        <v>总日光</v>
      </c>
      <c r="P86" s="3" t="str">
        <f>IFERROR(__xludf.DUMMYFUNCTION("GoogleTranslate(C86, ""en"", ""zh-TW"")"),"總日光")</f>
        <v>總日光</v>
      </c>
      <c r="Q86" s="3" t="str">
        <f>IFERROR(__xludf.DUMMYFUNCTION("GoogleTranslate(C86, ""en"", ""hr"")"),"Ukupno dnevno svjetlo")</f>
        <v>Ukupno dnevno svjetlo</v>
      </c>
      <c r="R86" s="3" t="str">
        <f>IFERROR(__xludf.DUMMYFUNCTION("GoogleTranslate(C86, ""en"", ""cs"")"),"Úplné denní světlo")</f>
        <v>Úplné denní světlo</v>
      </c>
      <c r="S86" s="3" t="str">
        <f>IFERROR(__xludf.DUMMYFUNCTION("GoogleTranslate(C86, ""en"", ""da"")"),"Total dagslys")</f>
        <v>Total dagslys</v>
      </c>
      <c r="T86" s="3" t="str">
        <f>IFERROR(__xludf.DUMMYFUNCTION("GoogleTranslate(C86, ""en"", ""nl"")"),"Totaal daglicht")</f>
        <v>Totaal daglicht</v>
      </c>
      <c r="U86" s="3" t="str">
        <f>IFERROR(__xludf.DUMMYFUNCTION("GoogleTranslate(C86, ""en"", ""et"")"),"Täielik päevavalgus")</f>
        <v>Täielik päevavalgus</v>
      </c>
      <c r="V86" s="1" t="str">
        <f t="shared" si="3"/>
        <v>Total daylight</v>
      </c>
      <c r="W86" s="3" t="str">
        <f>IFERROR(__xludf.DUMMYFUNCTION("GoogleTranslate(C86, ""en"", ""fi"")"),"Koko päivänvalo")</f>
        <v>Koko päivänvalo</v>
      </c>
      <c r="X86" s="3" t="str">
        <f>IFERROR(__xludf.DUMMYFUNCTION("GoogleTranslate(C86, ""en"", ""fr"")"),"Lumière du jour totale")</f>
        <v>Lumière du jour totale</v>
      </c>
      <c r="Y86" s="3" t="str">
        <f>IFERROR(__xludf.DUMMYFUNCTION("GoogleTranslate(C86, ""en"", ""de"")"),"Totales Tageslicht")</f>
        <v>Totales Tageslicht</v>
      </c>
      <c r="Z86" s="3" t="str">
        <f>IFERROR(__xludf.DUMMYFUNCTION("GoogleTranslate(C86, ""en"", ""el"")"),"Συνολικό φως της ημέρας")</f>
        <v>Συνολικό φως της ημέρας</v>
      </c>
      <c r="AA86" s="3" t="str">
        <f>IFERROR(__xludf.DUMMYFUNCTION("GoogleTranslate(C86, ""en"", ""iw"")"),"אור יום מוחלט")</f>
        <v>אור יום מוחלט</v>
      </c>
      <c r="AB86" s="3" t="str">
        <f>IFERROR(__xludf.DUMMYFUNCTION("GoogleTranslate(C86, ""en"", ""hi"")"),"कुल दिन का प्रकाश")</f>
        <v>कुल दिन का प्रकाश</v>
      </c>
      <c r="AC86" s="3" t="str">
        <f>IFERROR(__xludf.DUMMYFUNCTION("GoogleTranslate(C86, ""en"", ""hu"")"),"Teljes nappali fény")</f>
        <v>Teljes nappali fény</v>
      </c>
      <c r="AD86" s="3" t="str">
        <f>IFERROR(__xludf.DUMMYFUNCTION("GoogleTranslate(C86, ""en"", ""is"")"),"Algjör dagsbirta")</f>
        <v>Algjör dagsbirta</v>
      </c>
      <c r="AE86" s="3" t="str">
        <f>IFERROR(__xludf.DUMMYFUNCTION("GoogleTranslate(C86, ""en"", ""id"")"),"Siang hari total")</f>
        <v>Siang hari total</v>
      </c>
      <c r="AF86" s="3" t="str">
        <f>IFERROR(__xludf.DUMMYFUNCTION("GoogleTranslate(C86, ""en"", ""in"")"),"Siang hari total")</f>
        <v>Siang hari total</v>
      </c>
      <c r="AG86" s="3" t="str">
        <f>IFERROR(__xludf.DUMMYFUNCTION("GoogleTranslate(C86, ""en"", ""it"")"),"Luce del giorno totale")</f>
        <v>Luce del giorno totale</v>
      </c>
      <c r="AH86" s="3" t="str">
        <f>IFERROR(__xludf.DUMMYFUNCTION("GoogleTranslate(C86, ""en"", ""ja"")"),"総昼光量")</f>
        <v>総昼光量</v>
      </c>
      <c r="AI86" s="3" t="str">
        <f>IFERROR(__xludf.DUMMYFUNCTION("GoogleTranslate(C86, ""en"", ""kn"")"),"ಒಟ್ಟು ಹಗಲು")</f>
        <v>ಒಟ್ಟು ಹಗಲು</v>
      </c>
      <c r="AJ86" s="3" t="str">
        <f>IFERROR(__xludf.DUMMYFUNCTION("GoogleTranslate(C86, ""en"", ""km"")"),"ពន្លឺថ្ងៃសរុប")</f>
        <v>ពន្លឺថ្ងៃសរុប</v>
      </c>
      <c r="AK86" s="3" t="str">
        <f>IFERROR(__xludf.DUMMYFUNCTION("GoogleTranslate(C86, ""en"", ""ko"")"),"총 일광")</f>
        <v>총 일광</v>
      </c>
      <c r="AL86" s="3" t="str">
        <f>IFERROR(__xludf.DUMMYFUNCTION("GoogleTranslate(C86, ""en"", ""lo"")"),"ກາງເວັນທັງໝົດ")</f>
        <v>ກາງເວັນທັງໝົດ</v>
      </c>
      <c r="AM86" s="3" t="str">
        <f>IFERROR(__xludf.DUMMYFUNCTION("GoogleTranslate(C86, ""en"", ""lv"")"),"Kopējā dienasgaisma")</f>
        <v>Kopējā dienasgaisma</v>
      </c>
      <c r="AN86" s="3" t="str">
        <f>IFERROR(__xludf.DUMMYFUNCTION("GoogleTranslate(C86, ""en"", ""lt"")"),"Visiška dienos šviesa")</f>
        <v>Visiška dienos šviesa</v>
      </c>
      <c r="AO86" s="3" t="str">
        <f>IFERROR(__xludf.DUMMYFUNCTION("GoogleTranslate(C86, ""en"", ""mk"")"),"Вкупна дневна светлина")</f>
        <v>Вкупна дневна светлина</v>
      </c>
      <c r="AP86" s="3" t="str">
        <f>IFERROR(__xludf.DUMMYFUNCTION("GoogleTranslate(C86, ""en"", ""ms"")"),"Jumlah siang hari")</f>
        <v>Jumlah siang hari</v>
      </c>
      <c r="AQ86" s="3" t="str">
        <f>IFERROR(__xludf.DUMMYFUNCTION("GoogleTranslate(C86, ""en"", ""ml"")"),"ആകെ പകൽ വെളിച്ചം")</f>
        <v>ആകെ പകൽ വെളിച്ചം</v>
      </c>
      <c r="AR86" s="3" t="str">
        <f>IFERROR(__xludf.DUMMYFUNCTION("GoogleTranslate(C86, ""en"", ""mr"")"),"एकूण दिवसाचा प्रकाश")</f>
        <v>एकूण दिवसाचा प्रकाश</v>
      </c>
      <c r="AS86" s="3" t="str">
        <f>IFERROR(__xludf.DUMMYFUNCTION("GoogleTranslate(C86, ""en"", ""mn"")"),"Нийт өдрийн гэрэл")</f>
        <v>Нийт өдрийн гэрэл</v>
      </c>
      <c r="AT86" s="3" t="str">
        <f>IFERROR(__xludf.DUMMYFUNCTION("GoogleTranslate(C86, ""en"", ""ne"")"),"कुल दिनको उज्यालो")</f>
        <v>कुल दिनको उज्यालो</v>
      </c>
      <c r="AU86" s="3" t="str">
        <f>IFERROR(__xludf.DUMMYFUNCTION("GoogleTranslate(C86, ""en"", ""nb"")"),"Totalt dagslys")</f>
        <v>Totalt dagslys</v>
      </c>
      <c r="AV86" s="3" t="str">
        <f>IFERROR(__xludf.DUMMYFUNCTION("GoogleTranslate(C86, ""en"", ""fa"")"),"کل نور روز")</f>
        <v>کل نور روز</v>
      </c>
      <c r="AW86" s="3" t="str">
        <f>IFERROR(__xludf.DUMMYFUNCTION("GoogleTranslate(C86, ""en"", ""pl"")"),"Całkowite światło dzienne")</f>
        <v>Całkowite światło dzienne</v>
      </c>
      <c r="AX86" s="3" t="str">
        <f>IFERROR(__xludf.DUMMYFUNCTION("GoogleTranslate(C86, ""en"", ""pt"")"),"Luz do dia total")</f>
        <v>Luz do dia total</v>
      </c>
      <c r="AY86" s="3" t="str">
        <f>IFERROR(__xludf.DUMMYFUNCTION("GoogleTranslate(C86, ""en"", ""ro"")"),"Lumina zilei totala")</f>
        <v>Lumina zilei totala</v>
      </c>
      <c r="AZ86" s="3" t="str">
        <f>IFERROR(__xludf.DUMMYFUNCTION("GoogleTranslate(C86, ""en"", ""ru"")"),"Общий дневной свет")</f>
        <v>Общий дневной свет</v>
      </c>
      <c r="BA86" s="3" t="str">
        <f>IFERROR(__xludf.DUMMYFUNCTION("GoogleTranslate(C86, ""en"", ""sr"")"),"Укупна дневна светлост")</f>
        <v>Укупна дневна светлост</v>
      </c>
      <c r="BB86" s="3" t="str">
        <f>IFERROR(__xludf.DUMMYFUNCTION("GoogleTranslate(C86, ""en"", ""si"")"),"මුළු දිවා ආලෝකය")</f>
        <v>මුළු දිවා ආලෝකය</v>
      </c>
      <c r="BC86" s="3" t="str">
        <f>IFERROR(__xludf.DUMMYFUNCTION("GoogleTranslate(C86, ""en"", ""sk"")"),"Úplné denné svetlo")</f>
        <v>Úplné denné svetlo</v>
      </c>
      <c r="BD86" s="3" t="str">
        <f>IFERROR(__xludf.DUMMYFUNCTION("GoogleTranslate(C86, ""en"", ""sl"")"),"Popolna dnevna svetloba")</f>
        <v>Popolna dnevna svetloba</v>
      </c>
      <c r="BE86" s="3" t="str">
        <f>IFERROR(__xludf.DUMMYFUNCTION("GoogleTranslate(C86, ""en"", ""es"")"),"Luz diurna total")</f>
        <v>Luz diurna total</v>
      </c>
      <c r="BF86" s="3" t="str">
        <f>IFERROR(__xludf.DUMMYFUNCTION("GoogleTranslate(C86, ""en"", ""sw"")"),"Jumla ya mchana")</f>
        <v>Jumla ya mchana</v>
      </c>
      <c r="BG86" s="3" t="str">
        <f>IFERROR(__xludf.DUMMYFUNCTION("GoogleTranslate(C86, ""en"", ""sv"")"),"Totalt dagsljus")</f>
        <v>Totalt dagsljus</v>
      </c>
      <c r="BH86" s="3" t="str">
        <f>IFERROR(__xludf.DUMMYFUNCTION("GoogleTranslate(C86, ""en"", ""te"")"),"మొత్తం పగటి వెలుతురు")</f>
        <v>మొత్తం పగటి వెలుతురు</v>
      </c>
      <c r="BI86" s="3" t="str">
        <f>IFERROR(__xludf.DUMMYFUNCTION("GoogleTranslate(C86, ""en"", ""th"")"),"แสงสว่างรวม")</f>
        <v>แสงสว่างรวม</v>
      </c>
      <c r="BJ86" s="3" t="str">
        <f>IFERROR(__xludf.DUMMYFUNCTION("GoogleTranslate(C86, ""en"", ""tr"")"),"Toplam gün ışığı")</f>
        <v>Toplam gün ışığı</v>
      </c>
      <c r="BK86" s="3" t="str">
        <f>IFERROR(__xludf.DUMMYFUNCTION("GoogleTranslate(C86, ""en"", ""uk"")"),"Загальний світловий день")</f>
        <v>Загальний світловий день</v>
      </c>
      <c r="BL86" s="3" t="str">
        <f>IFERROR(__xludf.DUMMYFUNCTION("GoogleTranslate(C86, ""en"", ""zu"")"),"Ukukhanya kwemini okuphelele")</f>
        <v>Ukukhanya kwemini okuphelele</v>
      </c>
    </row>
    <row r="87">
      <c r="A87" s="1" t="str">
        <f t="shared" si="1"/>
        <v>hours</v>
      </c>
      <c r="B87" s="4" t="s">
        <v>145</v>
      </c>
      <c r="C87" s="1" t="str">
        <f t="shared" si="2"/>
        <v>hours</v>
      </c>
      <c r="D87" s="3" t="str">
        <f>IFERROR(__xludf.DUMMYFUNCTION("GoogleTranslate(C87, ""en"", ""es"")"),"horas")</f>
        <v>horas</v>
      </c>
      <c r="E87" s="3" t="str">
        <f>IFERROR(__xludf.DUMMYFUNCTION("GoogleTranslate(C87, ""en"", ""ar"")"),"ساعات")</f>
        <v>ساعات</v>
      </c>
      <c r="F87" s="3" t="str">
        <f>IFERROR(__xludf.DUMMYFUNCTION("GoogleTranslate(C87, ""en"", ""hy"")"),"ժամեր")</f>
        <v>ժամեր</v>
      </c>
      <c r="G87" s="3" t="str">
        <f>IFERROR(__xludf.DUMMYFUNCTION("GoogleTranslate(C87, ""en"", ""vi"")"),"giờ")</f>
        <v>giờ</v>
      </c>
      <c r="H87" s="3" t="str">
        <f>IFERROR(__xludf.DUMMYFUNCTION("GoogleTranslate(C87, ""en"", ""az"")"),"saat")</f>
        <v>saat</v>
      </c>
      <c r="I87" s="3" t="str">
        <f>IFERROR(__xludf.DUMMYFUNCTION("GoogleTranslate(C87, ""en"", ""eu"")"),"orduak")</f>
        <v>orduak</v>
      </c>
      <c r="J87" s="3" t="str">
        <f>IFERROR(__xludf.DUMMYFUNCTION("GoogleTranslate(C87, ""en"", ""be"")"),"гадзіны")</f>
        <v>гадзіны</v>
      </c>
      <c r="K87" s="3" t="str">
        <f>IFERROR(__xludf.DUMMYFUNCTION("GoogleTranslate(C87, ""en"", ""bn"")"),"ঘন্টা")</f>
        <v>ঘন্টা</v>
      </c>
      <c r="L87" s="3" t="str">
        <f>IFERROR(__xludf.DUMMYFUNCTION("GoogleTranslate(C87, ""en"", ""bg"")"),"часове")</f>
        <v>часове</v>
      </c>
      <c r="M87" s="3" t="str">
        <f>IFERROR(__xludf.DUMMYFUNCTION("GoogleTranslate(C87, ""en"", ""my"")"),"နာရီ")</f>
        <v>နာရီ</v>
      </c>
      <c r="N87" s="3" t="str">
        <f>IFERROR(__xludf.DUMMYFUNCTION("GoogleTranslate(C87, ""en"", ""ca"")"),"hores")</f>
        <v>hores</v>
      </c>
      <c r="O87" s="3" t="str">
        <f>IFERROR(__xludf.DUMMYFUNCTION("GoogleTranslate(C87, ""en"", ""zh-cn"")"),"小时")</f>
        <v>小时</v>
      </c>
      <c r="P87" s="3" t="str">
        <f>IFERROR(__xludf.DUMMYFUNCTION("GoogleTranslate(C87, ""en"", ""zh-TW"")"),"小時")</f>
        <v>小時</v>
      </c>
      <c r="Q87" s="3" t="str">
        <f>IFERROR(__xludf.DUMMYFUNCTION("GoogleTranslate(C87, ""en"", ""hr"")"),"sati")</f>
        <v>sati</v>
      </c>
      <c r="R87" s="3" t="str">
        <f>IFERROR(__xludf.DUMMYFUNCTION("GoogleTranslate(C87, ""en"", ""cs"")"),"hodin")</f>
        <v>hodin</v>
      </c>
      <c r="S87" s="3" t="str">
        <f>IFERROR(__xludf.DUMMYFUNCTION("GoogleTranslate(C87, ""en"", ""da"")"),"timer")</f>
        <v>timer</v>
      </c>
      <c r="T87" s="3" t="str">
        <f>IFERROR(__xludf.DUMMYFUNCTION("GoogleTranslate(C87, ""en"", ""nl"")"),"uur")</f>
        <v>uur</v>
      </c>
      <c r="U87" s="3" t="str">
        <f>IFERROR(__xludf.DUMMYFUNCTION("GoogleTranslate(C87, ""en"", ""et"")"),"tundi")</f>
        <v>tundi</v>
      </c>
      <c r="V87" s="1" t="str">
        <f t="shared" si="3"/>
        <v>hours</v>
      </c>
      <c r="W87" s="3" t="str">
        <f>IFERROR(__xludf.DUMMYFUNCTION("GoogleTranslate(C87, ""en"", ""fi"")"),"tuntia")</f>
        <v>tuntia</v>
      </c>
      <c r="X87" s="3" t="str">
        <f>IFERROR(__xludf.DUMMYFUNCTION("GoogleTranslate(C87, ""en"", ""fr"")"),"heures")</f>
        <v>heures</v>
      </c>
      <c r="Y87" s="3" t="str">
        <f>IFERROR(__xludf.DUMMYFUNCTION("GoogleTranslate(C87, ""en"", ""de"")"),"Std.")</f>
        <v>Std.</v>
      </c>
      <c r="Z87" s="3" t="str">
        <f>IFERROR(__xludf.DUMMYFUNCTION("GoogleTranslate(C87, ""en"", ""el"")"),"ώρες")</f>
        <v>ώρες</v>
      </c>
      <c r="AA87" s="3" t="str">
        <f>IFERROR(__xludf.DUMMYFUNCTION("GoogleTranslate(C87, ""en"", ""iw"")"),"שעות")</f>
        <v>שעות</v>
      </c>
      <c r="AB87" s="3" t="str">
        <f>IFERROR(__xludf.DUMMYFUNCTION("GoogleTranslate(C87, ""en"", ""hi"")"),"घंटे")</f>
        <v>घंटे</v>
      </c>
      <c r="AC87" s="3" t="str">
        <f>IFERROR(__xludf.DUMMYFUNCTION("GoogleTranslate(C87, ""en"", ""hu"")"),"óra")</f>
        <v>óra</v>
      </c>
      <c r="AD87" s="3" t="str">
        <f>IFERROR(__xludf.DUMMYFUNCTION("GoogleTranslate(C87, ""en"", ""is"")"),"klukkustundir")</f>
        <v>klukkustundir</v>
      </c>
      <c r="AE87" s="3" t="str">
        <f>IFERROR(__xludf.DUMMYFUNCTION("GoogleTranslate(C87, ""en"", ""id"")"),"jam")</f>
        <v>jam</v>
      </c>
      <c r="AF87" s="3" t="str">
        <f>IFERROR(__xludf.DUMMYFUNCTION("GoogleTranslate(C87, ""en"", ""in"")"),"jam")</f>
        <v>jam</v>
      </c>
      <c r="AG87" s="3" t="str">
        <f>IFERROR(__xludf.DUMMYFUNCTION("GoogleTranslate(C87, ""en"", ""it"")"),"ore")</f>
        <v>ore</v>
      </c>
      <c r="AH87" s="3" t="str">
        <f>IFERROR(__xludf.DUMMYFUNCTION("GoogleTranslate(C87, ""en"", ""ja"")"),"時間")</f>
        <v>時間</v>
      </c>
      <c r="AI87" s="3" t="str">
        <f>IFERROR(__xludf.DUMMYFUNCTION("GoogleTranslate(C87, ""en"", ""kn"")"),"ಗಂಟೆಗಳು")</f>
        <v>ಗಂಟೆಗಳು</v>
      </c>
      <c r="AJ87" s="3" t="str">
        <f>IFERROR(__xludf.DUMMYFUNCTION("GoogleTranslate(C87, ""en"", ""km"")"),"ម៉ោង")</f>
        <v>ម៉ោង</v>
      </c>
      <c r="AK87" s="3" t="str">
        <f>IFERROR(__xludf.DUMMYFUNCTION("GoogleTranslate(C87, ""en"", ""ko"")"),"시간")</f>
        <v>시간</v>
      </c>
      <c r="AL87" s="3" t="str">
        <f>IFERROR(__xludf.DUMMYFUNCTION("GoogleTranslate(C87, ""en"", ""lo"")"),"ຊົ່ວໂມງ")</f>
        <v>ຊົ່ວໂມງ</v>
      </c>
      <c r="AM87" s="3" t="str">
        <f>IFERROR(__xludf.DUMMYFUNCTION("GoogleTranslate(C87, ""en"", ""lv"")"),"stundas")</f>
        <v>stundas</v>
      </c>
      <c r="AN87" s="3" t="str">
        <f>IFERROR(__xludf.DUMMYFUNCTION("GoogleTranslate(C87, ""en"", ""lt"")"),"valandų")</f>
        <v>valandų</v>
      </c>
      <c r="AO87" s="3" t="str">
        <f>IFERROR(__xludf.DUMMYFUNCTION("GoogleTranslate(C87, ""en"", ""mk"")"),"часови")</f>
        <v>часови</v>
      </c>
      <c r="AP87" s="3" t="str">
        <f>IFERROR(__xludf.DUMMYFUNCTION("GoogleTranslate(C87, ""en"", ""ms"")"),"jam")</f>
        <v>jam</v>
      </c>
      <c r="AQ87" s="3" t="str">
        <f>IFERROR(__xludf.DUMMYFUNCTION("GoogleTranslate(C87, ""en"", ""ml"")"),"മണിക്കൂറുകൾ")</f>
        <v>മണിക്കൂറുകൾ</v>
      </c>
      <c r="AR87" s="3" t="str">
        <f>IFERROR(__xludf.DUMMYFUNCTION("GoogleTranslate(C87, ""en"", ""mr"")"),"तास")</f>
        <v>तास</v>
      </c>
      <c r="AS87" s="3" t="str">
        <f>IFERROR(__xludf.DUMMYFUNCTION("GoogleTranslate(C87, ""en"", ""mn"")"),"цаг")</f>
        <v>цаг</v>
      </c>
      <c r="AT87" s="3" t="str">
        <f>IFERROR(__xludf.DUMMYFUNCTION("GoogleTranslate(C87, ""en"", ""ne"")"),"घण्टा")</f>
        <v>घण्टा</v>
      </c>
      <c r="AU87" s="3" t="str">
        <f>IFERROR(__xludf.DUMMYFUNCTION("GoogleTranslate(C87, ""en"", ""nb"")"),"timer")</f>
        <v>timer</v>
      </c>
      <c r="AV87" s="3" t="str">
        <f>IFERROR(__xludf.DUMMYFUNCTION("GoogleTranslate(C87, ""en"", ""fa"")"),"ساعت")</f>
        <v>ساعت</v>
      </c>
      <c r="AW87" s="3" t="str">
        <f>IFERROR(__xludf.DUMMYFUNCTION("GoogleTranslate(C87, ""en"", ""pl"")"),"godziny")</f>
        <v>godziny</v>
      </c>
      <c r="AX87" s="3" t="str">
        <f>IFERROR(__xludf.DUMMYFUNCTION("GoogleTranslate(C87, ""en"", ""pt"")"),"horas")</f>
        <v>horas</v>
      </c>
      <c r="AY87" s="3" t="str">
        <f>IFERROR(__xludf.DUMMYFUNCTION("GoogleTranslate(C87, ""en"", ""ro"")"),"ore")</f>
        <v>ore</v>
      </c>
      <c r="AZ87" s="3" t="str">
        <f>IFERROR(__xludf.DUMMYFUNCTION("GoogleTranslate(C87, ""en"", ""ru"")"),"часы")</f>
        <v>часы</v>
      </c>
      <c r="BA87" s="3" t="str">
        <f>IFERROR(__xludf.DUMMYFUNCTION("GoogleTranslate(C87, ""en"", ""sr"")"),"сати")</f>
        <v>сати</v>
      </c>
      <c r="BB87" s="3" t="str">
        <f>IFERROR(__xludf.DUMMYFUNCTION("GoogleTranslate(C87, ""en"", ""si"")"),"පැය")</f>
        <v>පැය</v>
      </c>
      <c r="BC87" s="3" t="str">
        <f>IFERROR(__xludf.DUMMYFUNCTION("GoogleTranslate(C87, ""en"", ""sk"")"),"hodiny")</f>
        <v>hodiny</v>
      </c>
      <c r="BD87" s="3" t="str">
        <f>IFERROR(__xludf.DUMMYFUNCTION("GoogleTranslate(C87, ""en"", ""sl"")"),"ure")</f>
        <v>ure</v>
      </c>
      <c r="BE87" s="3" t="str">
        <f>IFERROR(__xludf.DUMMYFUNCTION("GoogleTranslate(C87, ""en"", ""es"")"),"horas")</f>
        <v>horas</v>
      </c>
      <c r="BF87" s="3" t="str">
        <f>IFERROR(__xludf.DUMMYFUNCTION("GoogleTranslate(C87, ""en"", ""sw"")"),"masaa")</f>
        <v>masaa</v>
      </c>
      <c r="BG87" s="3" t="str">
        <f>IFERROR(__xludf.DUMMYFUNCTION("GoogleTranslate(C87, ""en"", ""sv"")"),"timmar")</f>
        <v>timmar</v>
      </c>
      <c r="BH87" s="3" t="str">
        <f>IFERROR(__xludf.DUMMYFUNCTION("GoogleTranslate(C87, ""en"", ""te"")"),"గంటలు")</f>
        <v>గంటలు</v>
      </c>
      <c r="BI87" s="3" t="str">
        <f>IFERROR(__xludf.DUMMYFUNCTION("GoogleTranslate(C87, ""en"", ""th"")"),"ชั่วโมง")</f>
        <v>ชั่วโมง</v>
      </c>
      <c r="BJ87" s="3" t="str">
        <f>IFERROR(__xludf.DUMMYFUNCTION("GoogleTranslate(C87, ""en"", ""tr"")"),"saat")</f>
        <v>saat</v>
      </c>
      <c r="BK87" s="3" t="str">
        <f>IFERROR(__xludf.DUMMYFUNCTION("GoogleTranslate(C87, ""en"", ""uk"")"),"години")</f>
        <v>години</v>
      </c>
      <c r="BL87" s="3" t="str">
        <f>IFERROR(__xludf.DUMMYFUNCTION("GoogleTranslate(C87, ""en"", ""zu"")"),"amahora")</f>
        <v>amahora</v>
      </c>
    </row>
    <row r="88">
      <c r="A88" s="1" t="str">
        <f t="shared" si="1"/>
        <v>minute</v>
      </c>
      <c r="B88" s="4" t="s">
        <v>146</v>
      </c>
      <c r="C88" s="1" t="str">
        <f t="shared" si="2"/>
        <v>minute</v>
      </c>
      <c r="D88" s="3" t="str">
        <f>IFERROR(__xludf.DUMMYFUNCTION("GoogleTranslate(C88, ""en"", ""es"")"),"minuto")</f>
        <v>minuto</v>
      </c>
      <c r="E88" s="3" t="str">
        <f>IFERROR(__xludf.DUMMYFUNCTION("GoogleTranslate(C88, ""en"", ""ar"")"),"دقيقة")</f>
        <v>دقيقة</v>
      </c>
      <c r="F88" s="3" t="str">
        <f>IFERROR(__xludf.DUMMYFUNCTION("GoogleTranslate(C88, ""en"", ""hy"")"),"րոպե")</f>
        <v>րոպե</v>
      </c>
      <c r="G88" s="3" t="str">
        <f>IFERROR(__xludf.DUMMYFUNCTION("GoogleTranslate(C88, ""en"", ""vi"")"),"phút")</f>
        <v>phút</v>
      </c>
      <c r="H88" s="3" t="str">
        <f>IFERROR(__xludf.DUMMYFUNCTION("GoogleTranslate(C88, ""en"", ""az"")"),"dəqiqə")</f>
        <v>dəqiqə</v>
      </c>
      <c r="I88" s="3" t="str">
        <f>IFERROR(__xludf.DUMMYFUNCTION("GoogleTranslate(C88, ""en"", ""eu"")"),"minutua")</f>
        <v>minutua</v>
      </c>
      <c r="J88" s="3" t="str">
        <f>IFERROR(__xludf.DUMMYFUNCTION("GoogleTranslate(C88, ""en"", ""be"")"),"хвіліна")</f>
        <v>хвіліна</v>
      </c>
      <c r="K88" s="3" t="str">
        <f>IFERROR(__xludf.DUMMYFUNCTION("GoogleTranslate(C88, ""en"", ""bn"")"),"মিনিট")</f>
        <v>মিনিট</v>
      </c>
      <c r="L88" s="3" t="str">
        <f>IFERROR(__xludf.DUMMYFUNCTION("GoogleTranslate(C88, ""en"", ""bg"")"),"минута")</f>
        <v>минута</v>
      </c>
      <c r="M88" s="3" t="str">
        <f>IFERROR(__xludf.DUMMYFUNCTION("GoogleTranslate(C88, ""en"", ""my"")"),"မိနစ်")</f>
        <v>မိနစ်</v>
      </c>
      <c r="N88" s="3" t="str">
        <f>IFERROR(__xludf.DUMMYFUNCTION("GoogleTranslate(C88, ""en"", ""ca"")"),"minut")</f>
        <v>minut</v>
      </c>
      <c r="O88" s="3" t="str">
        <f>IFERROR(__xludf.DUMMYFUNCTION("GoogleTranslate(C88, ""en"", ""zh-cn"")"),"分钟")</f>
        <v>分钟</v>
      </c>
      <c r="P88" s="3" t="str">
        <f>IFERROR(__xludf.DUMMYFUNCTION("GoogleTranslate(C88, ""en"", ""zh-TW"")"),"分分鐘")</f>
        <v>分分鐘</v>
      </c>
      <c r="Q88" s="3" t="str">
        <f>IFERROR(__xludf.DUMMYFUNCTION("GoogleTranslate(C88, ""en"", ""hr"")"),"minuta")</f>
        <v>minuta</v>
      </c>
      <c r="R88" s="3" t="str">
        <f>IFERROR(__xludf.DUMMYFUNCTION("GoogleTranslate(C88, ""en"", ""cs"")"),"minuta")</f>
        <v>minuta</v>
      </c>
      <c r="S88" s="3" t="str">
        <f>IFERROR(__xludf.DUMMYFUNCTION("GoogleTranslate(C88, ""en"", ""da"")"),"minut")</f>
        <v>minut</v>
      </c>
      <c r="T88" s="3" t="str">
        <f>IFERROR(__xludf.DUMMYFUNCTION("GoogleTranslate(C88, ""en"", ""nl"")"),"minuut")</f>
        <v>minuut</v>
      </c>
      <c r="U88" s="3" t="str">
        <f>IFERROR(__xludf.DUMMYFUNCTION("GoogleTranslate(C88, ""en"", ""et"")"),"minut")</f>
        <v>minut</v>
      </c>
      <c r="V88" s="1" t="str">
        <f t="shared" si="3"/>
        <v>minute</v>
      </c>
      <c r="W88" s="3" t="str">
        <f>IFERROR(__xludf.DUMMYFUNCTION("GoogleTranslate(C88, ""en"", ""fi"")"),"minuutti")</f>
        <v>minuutti</v>
      </c>
      <c r="X88" s="3" t="str">
        <f>IFERROR(__xludf.DUMMYFUNCTION("GoogleTranslate(C88, ""en"", ""fr"")"),"minute")</f>
        <v>minute</v>
      </c>
      <c r="Y88" s="3" t="str">
        <f>IFERROR(__xludf.DUMMYFUNCTION("GoogleTranslate(C88, ""en"", ""de"")"),"Minute")</f>
        <v>Minute</v>
      </c>
      <c r="Z88" s="3" t="str">
        <f>IFERROR(__xludf.DUMMYFUNCTION("GoogleTranslate(C88, ""en"", ""el"")"),"λεπτό")</f>
        <v>λεπτό</v>
      </c>
      <c r="AA88" s="3" t="str">
        <f>IFERROR(__xludf.DUMMYFUNCTION("GoogleTranslate(C88, ""en"", ""iw"")"),"דַקָה")</f>
        <v>דַקָה</v>
      </c>
      <c r="AB88" s="3" t="str">
        <f>IFERROR(__xludf.DUMMYFUNCTION("GoogleTranslate(C88, ""en"", ""hi"")"),"मिनट")</f>
        <v>मिनट</v>
      </c>
      <c r="AC88" s="3" t="str">
        <f>IFERROR(__xludf.DUMMYFUNCTION("GoogleTranslate(C88, ""en"", ""hu"")"),"perc")</f>
        <v>perc</v>
      </c>
      <c r="AD88" s="3" t="str">
        <f>IFERROR(__xludf.DUMMYFUNCTION("GoogleTranslate(C88, ""en"", ""is"")"),"mínútu")</f>
        <v>mínútu</v>
      </c>
      <c r="AE88" s="3" t="str">
        <f>IFERROR(__xludf.DUMMYFUNCTION("GoogleTranslate(C88, ""en"", ""id"")"),"menit")</f>
        <v>menit</v>
      </c>
      <c r="AF88" s="3" t="str">
        <f>IFERROR(__xludf.DUMMYFUNCTION("GoogleTranslate(C88, ""en"", ""in"")"),"menit")</f>
        <v>menit</v>
      </c>
      <c r="AG88" s="3" t="str">
        <f>IFERROR(__xludf.DUMMYFUNCTION("GoogleTranslate(C88, ""en"", ""it"")"),"minuto")</f>
        <v>minuto</v>
      </c>
      <c r="AH88" s="3" t="str">
        <f>IFERROR(__xludf.DUMMYFUNCTION("GoogleTranslate(C88, ""en"", ""ja"")"),"分")</f>
        <v>分</v>
      </c>
      <c r="AI88" s="3" t="str">
        <f>IFERROR(__xludf.DUMMYFUNCTION("GoogleTranslate(C88, ""en"", ""kn"")"),"ನಿಮಿಷ")</f>
        <v>ನಿಮಿಷ</v>
      </c>
      <c r="AJ88" s="3" t="str">
        <f>IFERROR(__xludf.DUMMYFUNCTION("GoogleTranslate(C88, ""en"", ""km"")"),"នាទី")</f>
        <v>នាទី</v>
      </c>
      <c r="AK88" s="3" t="str">
        <f>IFERROR(__xludf.DUMMYFUNCTION("GoogleTranslate(C88, ""en"", ""ko"")"),"분")</f>
        <v>분</v>
      </c>
      <c r="AL88" s="3" t="str">
        <f>IFERROR(__xludf.DUMMYFUNCTION("GoogleTranslate(C88, ""en"", ""lo"")"),"ນາທີ")</f>
        <v>ນາທີ</v>
      </c>
      <c r="AM88" s="3" t="str">
        <f>IFERROR(__xludf.DUMMYFUNCTION("GoogleTranslate(C88, ""en"", ""lv"")"),"minūte")</f>
        <v>minūte</v>
      </c>
      <c r="AN88" s="3" t="str">
        <f>IFERROR(__xludf.DUMMYFUNCTION("GoogleTranslate(C88, ""en"", ""lt"")"),"minutę")</f>
        <v>minutę</v>
      </c>
      <c r="AO88" s="3" t="str">
        <f>IFERROR(__xludf.DUMMYFUNCTION("GoogleTranslate(C88, ""en"", ""mk"")"),"минута")</f>
        <v>минута</v>
      </c>
      <c r="AP88" s="3" t="str">
        <f>IFERROR(__xludf.DUMMYFUNCTION("GoogleTranslate(C88, ""en"", ""ms"")"),"minit")</f>
        <v>minit</v>
      </c>
      <c r="AQ88" s="3" t="str">
        <f>IFERROR(__xludf.DUMMYFUNCTION("GoogleTranslate(C88, ""en"", ""ml"")"),"മിനിറ്റ്")</f>
        <v>മിനിറ്റ്</v>
      </c>
      <c r="AR88" s="3" t="str">
        <f>IFERROR(__xludf.DUMMYFUNCTION("GoogleTranslate(C88, ""en"", ""mr"")"),"मिनिट")</f>
        <v>मिनिट</v>
      </c>
      <c r="AS88" s="3" t="str">
        <f>IFERROR(__xludf.DUMMYFUNCTION("GoogleTranslate(C88, ""en"", ""mn"")"),"минут")</f>
        <v>минут</v>
      </c>
      <c r="AT88" s="3" t="str">
        <f>IFERROR(__xludf.DUMMYFUNCTION("GoogleTranslate(C88, ""en"", ""ne"")"),"मिनेट")</f>
        <v>मिनेट</v>
      </c>
      <c r="AU88" s="3" t="str">
        <f>IFERROR(__xludf.DUMMYFUNCTION("GoogleTranslate(C88, ""en"", ""nb"")"),"minutt")</f>
        <v>minutt</v>
      </c>
      <c r="AV88" s="3" t="str">
        <f>IFERROR(__xludf.DUMMYFUNCTION("GoogleTranslate(C88, ""en"", ""fa"")"),"دقیقه")</f>
        <v>دقیقه</v>
      </c>
      <c r="AW88" s="3" t="str">
        <f>IFERROR(__xludf.DUMMYFUNCTION("GoogleTranslate(C88, ""en"", ""pl"")"),"chwila")</f>
        <v>chwila</v>
      </c>
      <c r="AX88" s="3" t="str">
        <f>IFERROR(__xludf.DUMMYFUNCTION("GoogleTranslate(C88, ""en"", ""pt"")"),"minuto")</f>
        <v>minuto</v>
      </c>
      <c r="AY88" s="3" t="str">
        <f>IFERROR(__xludf.DUMMYFUNCTION("GoogleTranslate(C88, ""en"", ""ro"")"),"minut")</f>
        <v>minut</v>
      </c>
      <c r="AZ88" s="3" t="str">
        <f>IFERROR(__xludf.DUMMYFUNCTION("GoogleTranslate(C88, ""en"", ""ru"")"),"минута")</f>
        <v>минута</v>
      </c>
      <c r="BA88" s="3" t="str">
        <f>IFERROR(__xludf.DUMMYFUNCTION("GoogleTranslate(C88, ""en"", ""sr"")"),"минут")</f>
        <v>минут</v>
      </c>
      <c r="BB88" s="3" t="str">
        <f>IFERROR(__xludf.DUMMYFUNCTION("GoogleTranslate(C88, ""en"", ""si"")"),"මිනිත්තුව")</f>
        <v>මිනිත්තුව</v>
      </c>
      <c r="BC88" s="3" t="str">
        <f>IFERROR(__xludf.DUMMYFUNCTION("GoogleTranslate(C88, ""en"", ""sk"")"),"minútu")</f>
        <v>minútu</v>
      </c>
      <c r="BD88" s="3" t="str">
        <f>IFERROR(__xludf.DUMMYFUNCTION("GoogleTranslate(C88, ""en"", ""sl"")"),"minuta")</f>
        <v>minuta</v>
      </c>
      <c r="BE88" s="3" t="str">
        <f>IFERROR(__xludf.DUMMYFUNCTION("GoogleTranslate(C88, ""en"", ""es"")"),"minuto")</f>
        <v>minuto</v>
      </c>
      <c r="BF88" s="3" t="str">
        <f>IFERROR(__xludf.DUMMYFUNCTION("GoogleTranslate(C88, ""en"", ""sw"")"),"dakika")</f>
        <v>dakika</v>
      </c>
      <c r="BG88" s="3" t="str">
        <f>IFERROR(__xludf.DUMMYFUNCTION("GoogleTranslate(C88, ""en"", ""sv"")"),"minut")</f>
        <v>minut</v>
      </c>
      <c r="BH88" s="3" t="str">
        <f>IFERROR(__xludf.DUMMYFUNCTION("GoogleTranslate(C88, ""en"", ""te"")"),"నిమిషం")</f>
        <v>నిమిషం</v>
      </c>
      <c r="BI88" s="3" t="str">
        <f>IFERROR(__xludf.DUMMYFUNCTION("GoogleTranslate(C88, ""en"", ""th"")"),"นาที")</f>
        <v>นาที</v>
      </c>
      <c r="BJ88" s="3" t="str">
        <f>IFERROR(__xludf.DUMMYFUNCTION("GoogleTranslate(C88, ""en"", ""tr"")"),"dakika")</f>
        <v>dakika</v>
      </c>
      <c r="BK88" s="3" t="str">
        <f>IFERROR(__xludf.DUMMYFUNCTION("GoogleTranslate(C88, ""en"", ""uk"")"),"хвилина")</f>
        <v>хвилина</v>
      </c>
      <c r="BL88" s="3" t="str">
        <f>IFERROR(__xludf.DUMMYFUNCTION("GoogleTranslate(C88, ""en"", ""zu"")"),"umzuzu")</f>
        <v>umzuzu</v>
      </c>
    </row>
    <row r="89">
      <c r="A89" s="1" t="str">
        <f t="shared" si="1"/>
        <v>Total_in_the_next_{number}_hours</v>
      </c>
      <c r="B89" s="4" t="s">
        <v>147</v>
      </c>
      <c r="C89" s="1" t="str">
        <f t="shared" si="2"/>
        <v>Total in the next {number} hours</v>
      </c>
      <c r="D89" s="3" t="str">
        <f>IFERROR(__xludf.DUMMYFUNCTION("GoogleTranslate(C89, ""en"", ""es"")"),"Total en las próximas {número} horas")</f>
        <v>Total en las próximas {número} horas</v>
      </c>
      <c r="E89" s="3" t="str">
        <f>IFERROR(__xludf.DUMMYFUNCTION("GoogleTranslate(C89, ""en"", ""ar"")"),"الإجمالي خلال الـ {number} من الساعات القادمة")</f>
        <v>الإجمالي خلال الـ {number} من الساعات القادمة</v>
      </c>
      <c r="F89" s="3" t="str">
        <f>IFERROR(__xludf.DUMMYFUNCTION("GoogleTranslate(C89, ""en"", ""hy"")"),"Ընդհանուր հաջորդ {թիվ} ժամվա ընթացքում")</f>
        <v>Ընդհանուր հաջորդ {թիվ} ժամվա ընթացքում</v>
      </c>
      <c r="G89" s="3" t="str">
        <f>IFERROR(__xludf.DUMMYFUNCTION("GoogleTranslate(C89, ""en"", ""vi"")"),"Tổng cộng trong {number} giờ tới")</f>
        <v>Tổng cộng trong {number} giờ tới</v>
      </c>
      <c r="H89" s="3" t="str">
        <f>IFERROR(__xludf.DUMMYFUNCTION("GoogleTranslate(C89, ""en"", ""az"")"),"Növbəti {number} saat ərzində cəmi")</f>
        <v>Növbəti {number} saat ərzində cəmi</v>
      </c>
      <c r="I89" s="3" t="str">
        <f>IFERROR(__xludf.DUMMYFUNCTION("GoogleTranslate(C89, ""en"", ""eu"")"),"Guztira hurrengo {number} orduetan")</f>
        <v>Guztira hurrengo {number} orduetan</v>
      </c>
      <c r="J89" s="3" t="str">
        <f>IFERROR(__xludf.DUMMYFUNCTION("GoogleTranslate(C89, ""en"", ""be"")"),"Усяго ў наступныя {number} гадзін")</f>
        <v>Усяго ў наступныя {number} гадзін</v>
      </c>
      <c r="K89" s="3" t="str">
        <f>IFERROR(__xludf.DUMMYFUNCTION("GoogleTranslate(C89, ""en"", ""bn"")"),"পরবর্তী {number} ঘণ্টায় মোট")</f>
        <v>পরবর্তী {number} ঘণ্টায় মোট</v>
      </c>
      <c r="L89" s="3" t="str">
        <f>IFERROR(__xludf.DUMMYFUNCTION("GoogleTranslate(C89, ""en"", ""bg"")"),"Общо през следващите {number} часа")</f>
        <v>Общо през следващите {number} часа</v>
      </c>
      <c r="M89" s="3" t="str">
        <f>IFERROR(__xludf.DUMMYFUNCTION("GoogleTranslate(C89, ""en"", ""my"")"),"နောက်ထပ် {number} နာရီအတွင်း စုစုပေါင်း")</f>
        <v>နောက်ထပ် {number} နာရီအတွင်း စုစုပေါင်း</v>
      </c>
      <c r="N89" s="3" t="str">
        <f>IFERROR(__xludf.DUMMYFUNCTION("GoogleTranslate(C89, ""en"", ""ca"")"),"Total en les properes {number} hores")</f>
        <v>Total en les properes {number} hores</v>
      </c>
      <c r="O89" s="3" t="str">
        <f>IFERROR(__xludf.DUMMYFUNCTION("GoogleTranslate(C89, ""en"", ""zh-cn"")"),"未来 {number} 小时内的总计")</f>
        <v>未来 {number} 小时内的总计</v>
      </c>
      <c r="P89" s="3" t="str">
        <f>IFERROR(__xludf.DUMMYFUNCTION("GoogleTranslate(C89, ""en"", ""zh-TW"")"),"未來 {number} 小時內的總計")</f>
        <v>未來 {number} 小時內的總計</v>
      </c>
      <c r="Q89" s="3" t="str">
        <f>IFERROR(__xludf.DUMMYFUNCTION("GoogleTranslate(C89, ""en"", ""hr"")"),"Ukupno u sljedećih {number} sati")</f>
        <v>Ukupno u sljedećih {number} sati</v>
      </c>
      <c r="R89" s="3" t="str">
        <f>IFERROR(__xludf.DUMMYFUNCTION("GoogleTranslate(C89, ""en"", ""cs"")"),"Celkem během následujících {number} hodin")</f>
        <v>Celkem během následujících {number} hodin</v>
      </c>
      <c r="S89" s="3" t="str">
        <f>IFERROR(__xludf.DUMMYFUNCTION("GoogleTranslate(C89, ""en"", ""da"")"),"I alt inden for de næste {number} timer")</f>
        <v>I alt inden for de næste {number} timer</v>
      </c>
      <c r="T89" s="3" t="str">
        <f>IFERROR(__xludf.DUMMYFUNCTION("GoogleTranslate(C89, ""en"", ""nl"")"),"Totaal in de komende {aantal} uur")</f>
        <v>Totaal in de komende {aantal} uur</v>
      </c>
      <c r="U89" s="3" t="str">
        <f>IFERROR(__xludf.DUMMYFUNCTION("GoogleTranslate(C89, ""en"", ""et"")"),"Kokku järgmise {number} tunni jooksul")</f>
        <v>Kokku järgmise {number} tunni jooksul</v>
      </c>
      <c r="V89" s="1" t="str">
        <f t="shared" si="3"/>
        <v>Total in the next {number} hours</v>
      </c>
      <c r="W89" s="3" t="str">
        <f>IFERROR(__xludf.DUMMYFUNCTION("GoogleTranslate(C89, ""en"", ""fi"")"),"Yhteensä seuraavan {number} tunnin aikana")</f>
        <v>Yhteensä seuraavan {number} tunnin aikana</v>
      </c>
      <c r="X89" s="3" t="str">
        <f>IFERROR(__xludf.DUMMYFUNCTION("GoogleTranslate(C89, ""en"", ""fr"")"),"Total dans les {nombre} prochaines heures")</f>
        <v>Total dans les {nombre} prochaines heures</v>
      </c>
      <c r="Y89" s="3" t="str">
        <f>IFERROR(__xludf.DUMMYFUNCTION("GoogleTranslate(C89, ""en"", ""de"")"),"Insgesamt in den nächsten {number} Stunden")</f>
        <v>Insgesamt in den nächsten {number} Stunden</v>
      </c>
      <c r="Z89" s="3" t="str">
        <f>IFERROR(__xludf.DUMMYFUNCTION("GoogleTranslate(C89, ""en"", ""el"")"),"Σύνολο τις επόμενες {number} ώρες")</f>
        <v>Σύνολο τις επόμενες {number} ώρες</v>
      </c>
      <c r="AA89" s="3" t="str">
        <f>IFERROR(__xludf.DUMMYFUNCTION("GoogleTranslate(C89, ""en"", ""iw"")"),"סך הכל ב-{number} השעות הבאות")</f>
        <v>סך הכל ב-{number} השעות הבאות</v>
      </c>
      <c r="AB89" s="3" t="str">
        <f>IFERROR(__xludf.DUMMYFUNCTION("GoogleTranslate(C89, ""en"", ""hi"")"),"अगले {संख्या} घंटों में कुल")</f>
        <v>अगले {संख्या} घंटों में कुल</v>
      </c>
      <c r="AC89" s="3" t="str">
        <f>IFERROR(__xludf.DUMMYFUNCTION("GoogleTranslate(C89, ""en"", ""hu"")"),"Összesen a következő {number} órában")</f>
        <v>Összesen a következő {number} órában</v>
      </c>
      <c r="AD89" s="3" t="str">
        <f>IFERROR(__xludf.DUMMYFUNCTION("GoogleTranslate(C89, ""en"", ""is"")"),"Samtals á næstu {number} klukkustundum")</f>
        <v>Samtals á næstu {number} klukkustundum</v>
      </c>
      <c r="AE89" s="3" t="str">
        <f>IFERROR(__xludf.DUMMYFUNCTION("GoogleTranslate(C89, ""en"", ""id"")"),"Total dalam {number} jam ke depan")</f>
        <v>Total dalam {number} jam ke depan</v>
      </c>
      <c r="AF89" s="3" t="str">
        <f>IFERROR(__xludf.DUMMYFUNCTION("GoogleTranslate(C89, ""en"", ""in"")"),"Total dalam {number} jam ke depan")</f>
        <v>Total dalam {number} jam ke depan</v>
      </c>
      <c r="AG89" s="3" t="str">
        <f>IFERROR(__xludf.DUMMYFUNCTION("GoogleTranslate(C89, ""en"", ""it"")"),"Totale nelle prossime {numero} ore")</f>
        <v>Totale nelle prossime {numero} ore</v>
      </c>
      <c r="AH89" s="3" t="str">
        <f>IFERROR(__xludf.DUMMYFUNCTION("GoogleTranslate(C89, ""en"", ""ja"")"),"今後 {number} 時間の合計")</f>
        <v>今後 {number} 時間の合計</v>
      </c>
      <c r="AI89" s="3" t="str">
        <f>IFERROR(__xludf.DUMMYFUNCTION("GoogleTranslate(C89, ""en"", ""kn"")"),"ಮುಂದಿನ {number} ಗಂಟೆಗಳಲ್ಲಿ ಒಟ್ಟು")</f>
        <v>ಮುಂದಿನ {number} ಗಂಟೆಗಳಲ್ಲಿ ಒಟ್ಟು</v>
      </c>
      <c r="AJ89" s="3" t="str">
        <f>IFERROR(__xludf.DUMMYFUNCTION("GoogleTranslate(C89, ""en"", ""km"")"),"សរុបក្នុងរយៈពេល {number} ម៉ោងបន្ទាប់")</f>
        <v>សរុបក្នុងរយៈពេល {number} ម៉ោងបន្ទាប់</v>
      </c>
      <c r="AK89" s="3" t="str">
        <f>IFERROR(__xludf.DUMMYFUNCTION("GoogleTranslate(C89, ""en"", ""ko"")"),"다음 {number}시간 동안의 합계")</f>
        <v>다음 {number}시간 동안의 합계</v>
      </c>
      <c r="AL89" s="3" t="str">
        <f>IFERROR(__xludf.DUMMYFUNCTION("GoogleTranslate(C89, ""en"", ""lo"")"),"ທັງໝົດໃນ {number} ຊົ່ວໂມງຕໍ່ໄປ")</f>
        <v>ທັງໝົດໃນ {number} ຊົ່ວໂມງຕໍ່ໄປ</v>
      </c>
      <c r="AM89" s="3" t="str">
        <f>IFERROR(__xludf.DUMMYFUNCTION("GoogleTranslate(C89, ""en"", ""lv"")"),"Kopā nākamajās {number} stundās")</f>
        <v>Kopā nākamajās {number} stundās</v>
      </c>
      <c r="AN89" s="3" t="str">
        <f>IFERROR(__xludf.DUMMYFUNCTION("GoogleTranslate(C89, ""en"", ""lt"")"),"Iš viso per kitas {number} valandas")</f>
        <v>Iš viso per kitas {number} valandas</v>
      </c>
      <c r="AO89" s="3" t="str">
        <f>IFERROR(__xludf.DUMMYFUNCTION("GoogleTranslate(C89, ""en"", ""mk"")"),"Вкупно во следните {number} часа")</f>
        <v>Вкупно во следните {number} часа</v>
      </c>
      <c r="AP89" s="3" t="str">
        <f>IFERROR(__xludf.DUMMYFUNCTION("GoogleTranslate(C89, ""en"", ""ms"")"),"Jumlah dalam {number} jam seterusnya")</f>
        <v>Jumlah dalam {number} jam seterusnya</v>
      </c>
      <c r="AQ89" s="3" t="str">
        <f>IFERROR(__xludf.DUMMYFUNCTION("GoogleTranslate(C89, ""en"", ""ml"")"),"അടുത്ത {number} മണിക്കൂറിനുള്ളിൽ ആകെ")</f>
        <v>അടുത്ത {number} മണിക്കൂറിനുള്ളിൽ ആകെ</v>
      </c>
      <c r="AR89" s="3" t="str">
        <f>IFERROR(__xludf.DUMMYFUNCTION("GoogleTranslate(C89, ""en"", ""mr"")"),"पुढील {number} तासांमध्ये एकूण")</f>
        <v>पुढील {number} तासांमध्ये एकूण</v>
      </c>
      <c r="AS89" s="3" t="str">
        <f>IFERROR(__xludf.DUMMYFUNCTION("GoogleTranslate(C89, ""en"", ""mn"")"),"Дараагийн {number} цагийн нийт дүн")</f>
        <v>Дараагийн {number} цагийн нийт дүн</v>
      </c>
      <c r="AT89" s="3" t="str">
        <f>IFERROR(__xludf.DUMMYFUNCTION("GoogleTranslate(C89, ""en"", ""ne"")"),"अर्को {number} घण्टामा कुल")</f>
        <v>अर्को {number} घण्टामा कुल</v>
      </c>
      <c r="AU89" s="3" t="str">
        <f>IFERROR(__xludf.DUMMYFUNCTION("GoogleTranslate(C89, ""en"", ""nb"")"),"Totalt i løpet av de neste {number} timene")</f>
        <v>Totalt i løpet av de neste {number} timene</v>
      </c>
      <c r="AV89" s="3" t="str">
        <f>IFERROR(__xludf.DUMMYFUNCTION("GoogleTranslate(C89, ""en"", ""fa"")"),"مجموع در {number} ساعت آینده")</f>
        <v>مجموع در {number} ساعت آینده</v>
      </c>
      <c r="AW89" s="3" t="str">
        <f>IFERROR(__xludf.DUMMYFUNCTION("GoogleTranslate(C89, ""en"", ""pl"")"),"Łącznie w ciągu następnych {number} godzin")</f>
        <v>Łącznie w ciągu następnych {number} godzin</v>
      </c>
      <c r="AX89" s="3" t="str">
        <f>IFERROR(__xludf.DUMMYFUNCTION("GoogleTranslate(C89, ""en"", ""pt"")"),"Total nas próximas {number} horas")</f>
        <v>Total nas próximas {number} horas</v>
      </c>
      <c r="AY89" s="3" t="str">
        <f>IFERROR(__xludf.DUMMYFUNCTION("GoogleTranslate(C89, ""en"", ""ro"")"),"Total în următoarele {number} ore")</f>
        <v>Total în următoarele {number} ore</v>
      </c>
      <c r="AZ89" s="3" t="str">
        <f>IFERROR(__xludf.DUMMYFUNCTION("GoogleTranslate(C89, ""en"", ""ru"")"),"Всего в ближайшие {number} часа")</f>
        <v>Всего в ближайшие {number} часа</v>
      </c>
      <c r="BA89" s="3" t="str">
        <f>IFERROR(__xludf.DUMMYFUNCTION("GoogleTranslate(C89, ""en"", ""sr"")"),"Укупно у наредних {нумбер} сати")</f>
        <v>Укупно у наредних {нумбер} сати</v>
      </c>
      <c r="BB89" s="3" t="str">
        <f>IFERROR(__xludf.DUMMYFUNCTION("GoogleTranslate(C89, ""en"", ""si"")"),"ඉදිරි පැය {number} තුළ එකතුව")</f>
        <v>ඉදිරි පැය {number} තුළ එකතුව</v>
      </c>
      <c r="BC89" s="3" t="str">
        <f>IFERROR(__xludf.DUMMYFUNCTION("GoogleTranslate(C89, ""en"", ""sk"")"),"Celkom počas nasledujúcich {number} hodín")</f>
        <v>Celkom počas nasledujúcich {number} hodín</v>
      </c>
      <c r="BD89" s="3" t="str">
        <f>IFERROR(__xludf.DUMMYFUNCTION("GoogleTranslate(C89, ""en"", ""sl"")"),"Skupaj v naslednjih {number} urah")</f>
        <v>Skupaj v naslednjih {number} urah</v>
      </c>
      <c r="BE89" s="3" t="str">
        <f>IFERROR(__xludf.DUMMYFUNCTION("GoogleTranslate(C89, ""en"", ""es"")"),"Total en las próximas {número} horas")</f>
        <v>Total en las próximas {número} horas</v>
      </c>
      <c r="BF89" s="3" t="str">
        <f>IFERROR(__xludf.DUMMYFUNCTION("GoogleTranslate(C89, ""en"", ""sw"")"),"Jumla katika saa {number} zijazo")</f>
        <v>Jumla katika saa {number} zijazo</v>
      </c>
      <c r="BG89" s="3" t="str">
        <f>IFERROR(__xludf.DUMMYFUNCTION("GoogleTranslate(C89, ""en"", ""sv"")"),"Totalt under de kommande {number} timmarna")</f>
        <v>Totalt under de kommande {number} timmarna</v>
      </c>
      <c r="BH89" s="3" t="str">
        <f>IFERROR(__xludf.DUMMYFUNCTION("GoogleTranslate(C89, ""en"", ""te"")"),"తదుపరి {number} గంటల్లో మొత్తం")</f>
        <v>తదుపరి {number} గంటల్లో మొత్తం</v>
      </c>
      <c r="BI89" s="3" t="str">
        <f>IFERROR(__xludf.DUMMYFUNCTION("GoogleTranslate(C89, ""en"", ""th"")"),"รวมในอีก {number} ชั่วโมงข้างหน้า")</f>
        <v>รวมในอีก {number} ชั่วโมงข้างหน้า</v>
      </c>
      <c r="BJ89" s="3" t="str">
        <f>IFERROR(__xludf.DUMMYFUNCTION("GoogleTranslate(C89, ""en"", ""tr"")"),"Önümüzdeki {number} saat içindeki toplam")</f>
        <v>Önümüzdeki {number} saat içindeki toplam</v>
      </c>
      <c r="BK89" s="3" t="str">
        <f>IFERROR(__xludf.DUMMYFUNCTION("GoogleTranslate(C89, ""en"", ""uk"")"),"Усього за наступні {number} год")</f>
        <v>Усього за наступні {number} год</v>
      </c>
      <c r="BL89" s="3" t="str">
        <f>IFERROR(__xludf.DUMMYFUNCTION("GoogleTranslate(C89, ""en"", ""zu"")"),"Isamba emahoreni angu-{number} alandelayo")</f>
        <v>Isamba emahoreni angu-{number} alandelayo</v>
      </c>
    </row>
    <row r="90">
      <c r="A90" s="1" t="str">
        <f t="shared" si="1"/>
        <v>Weather_forecast_{name}_tomorrow</v>
      </c>
      <c r="B90" s="4" t="s">
        <v>148</v>
      </c>
      <c r="C90" s="1" t="str">
        <f t="shared" si="2"/>
        <v>Weather forecast {name} tomorrow</v>
      </c>
      <c r="D90" s="3" t="str">
        <f>IFERROR(__xludf.DUMMYFUNCTION("GoogleTranslate(C90, ""en"", ""es"")"),"Pronóstico del tiempo para {nombre} mañana")</f>
        <v>Pronóstico del tiempo para {nombre} mañana</v>
      </c>
      <c r="E90" s="3" t="str">
        <f>IFERROR(__xludf.DUMMYFUNCTION("GoogleTranslate(C90, ""en"", ""ar"")"),"توقعات الطقس {الاسم} غدا")</f>
        <v>توقعات الطقس {الاسم} غدا</v>
      </c>
      <c r="F90" s="3" t="str">
        <f>IFERROR(__xludf.DUMMYFUNCTION("GoogleTranslate(C90, ""en"", ""hy"")"),"Եղանակի կանխատեսում {name} վաղը")</f>
        <v>Եղանակի կանխատեսում {name} վաղը</v>
      </c>
      <c r="G90" s="3" t="str">
        <f>IFERROR(__xludf.DUMMYFUNCTION("GoogleTranslate(C90, ""en"", ""vi"")"),"Dự báo thời tiết {name} ngày mai")</f>
        <v>Dự báo thời tiết {name} ngày mai</v>
      </c>
      <c r="H90" s="3" t="str">
        <f>IFERROR(__xludf.DUMMYFUNCTION("GoogleTranslate(C90, ""en"", ""az"")"),"Sabah {name} hava proqnozu")</f>
        <v>Sabah {name} hava proqnozu</v>
      </c>
      <c r="I90" s="3" t="str">
        <f>IFERROR(__xludf.DUMMYFUNCTION("GoogleTranslate(C90, ""en"", ""eu"")"),"{name} eguraldiaren iragarpena bihar")</f>
        <v>{name} eguraldiaren iragarpena bihar</v>
      </c>
      <c r="J90" s="3" t="str">
        <f>IFERROR(__xludf.DUMMYFUNCTION("GoogleTranslate(C90, ""en"", ""be"")"),"Прагноз надвор'я {name} на заўтра")</f>
        <v>Прагноз надвор'я {name} на заўтра</v>
      </c>
      <c r="K90" s="3" t="str">
        <f>IFERROR(__xludf.DUMMYFUNCTION("GoogleTranslate(C90, ""en"", ""bn"")"),"আগামীকাল আবহাওয়ার পূর্বাভাস {name}")</f>
        <v>আগামীকাল আবহাওয়ার পূর্বাভাস {name}</v>
      </c>
      <c r="L90" s="3" t="str">
        <f>IFERROR(__xludf.DUMMYFUNCTION("GoogleTranslate(C90, ""en"", ""bg"")"),"Прогноза за времето {name} утре")</f>
        <v>Прогноза за времето {name} утре</v>
      </c>
      <c r="M90" s="3" t="str">
        <f>IFERROR(__xludf.DUMMYFUNCTION("GoogleTranslate(C90, ""en"", ""my"")"),"မနက်ဖြန် မိုးလေဝသ ခန့်မှန်းချက် {name}")</f>
        <v>မနက်ဖြန် မိုးလေဝသ ခန့်မှန်းချက် {name}</v>
      </c>
      <c r="N90" s="3" t="str">
        <f>IFERROR(__xludf.DUMMYFUNCTION("GoogleTranslate(C90, ""en"", ""ca"")"),"Predicció del temps {name} demà")</f>
        <v>Predicció del temps {name} demà</v>
      </c>
      <c r="O90" s="3" t="str">
        <f>IFERROR(__xludf.DUMMYFUNCTION("GoogleTranslate(C90, ""en"", ""zh-cn"")"),"明天天气预报{name}")</f>
        <v>明天天气预报{name}</v>
      </c>
      <c r="P90" s="3" t="str">
        <f>IFERROR(__xludf.DUMMYFUNCTION("GoogleTranslate(C90, ""en"", ""zh-TW"")"),"明天天氣預報{name}")</f>
        <v>明天天氣預報{name}</v>
      </c>
      <c r="Q90" s="3" t="str">
        <f>IFERROR(__xludf.DUMMYFUNCTION("GoogleTranslate(C90, ""en"", ""hr"")"),"Vremenska prognoza {name} sutra")</f>
        <v>Vremenska prognoza {name} sutra</v>
      </c>
      <c r="R90" s="3" t="str">
        <f>IFERROR(__xludf.DUMMYFUNCTION("GoogleTranslate(C90, ""en"", ""cs"")"),"Předpověď počasí {name} zítra")</f>
        <v>Předpověď počasí {name} zítra</v>
      </c>
      <c r="S90" s="3" t="str">
        <f>IFERROR(__xludf.DUMMYFUNCTION("GoogleTranslate(C90, ""en"", ""da"")"),"Vejrudsigt {name} i morgen")</f>
        <v>Vejrudsigt {name} i morgen</v>
      </c>
      <c r="T90" s="3" t="str">
        <f>IFERROR(__xludf.DUMMYFUNCTION("GoogleTranslate(C90, ""en"", ""nl"")"),"Weersverwachting {naam} morgen")</f>
        <v>Weersverwachting {naam} morgen</v>
      </c>
      <c r="U90" s="3" t="str">
        <f>IFERROR(__xludf.DUMMYFUNCTION("GoogleTranslate(C90, ""en"", ""et"")"),"Ilmateade {name} homme")</f>
        <v>Ilmateade {name} homme</v>
      </c>
      <c r="V90" s="1" t="str">
        <f t="shared" si="3"/>
        <v>Weather forecast {name} tomorrow</v>
      </c>
      <c r="W90" s="3" t="str">
        <f>IFERROR(__xludf.DUMMYFUNCTION("GoogleTranslate(C90, ""en"", ""fi"")"),"Sääennuste {name} huomenna")</f>
        <v>Sääennuste {name} huomenna</v>
      </c>
      <c r="X90" s="3" t="str">
        <f>IFERROR(__xludf.DUMMYFUNCTION("GoogleTranslate(C90, ""en"", ""fr"")"),"Prévisions météo pour {name} demain")</f>
        <v>Prévisions météo pour {name} demain</v>
      </c>
      <c r="Y90" s="3" t="str">
        <f>IFERROR(__xludf.DUMMYFUNCTION("GoogleTranslate(C90, ""en"", ""de"")"),"Wettervorhersage {name} morgen")</f>
        <v>Wettervorhersage {name} morgen</v>
      </c>
      <c r="Z90" s="3" t="str">
        <f>IFERROR(__xludf.DUMMYFUNCTION("GoogleTranslate(C90, ""en"", ""el"")"),"Πρόγνωση καιρού {name} αύριο")</f>
        <v>Πρόγνωση καιρού {name} αύριο</v>
      </c>
      <c r="AA90" s="3" t="str">
        <f>IFERROR(__xludf.DUMMYFUNCTION("GoogleTranslate(C90, ""en"", ""iw"")"),"תחזית מזג האוויר {name} מחר")</f>
        <v>תחזית מזג האוויר {name} מחר</v>
      </c>
      <c r="AB90" s="3" t="str">
        <f>IFERROR(__xludf.DUMMYFUNCTION("GoogleTranslate(C90, ""en"", ""hi"")"),"कल मौसम का पूर्वानुमान {नाम}")</f>
        <v>कल मौसम का पूर्वानुमान {नाम}</v>
      </c>
      <c r="AC90" s="3" t="str">
        <f>IFERROR(__xludf.DUMMYFUNCTION("GoogleTranslate(C90, ""en"", ""hu"")"),"Időjárás előrejelzés holnapra: {name}")</f>
        <v>Időjárás előrejelzés holnapra: {name}</v>
      </c>
      <c r="AD90" s="3" t="str">
        <f>IFERROR(__xludf.DUMMYFUNCTION("GoogleTranslate(C90, ""en"", ""is"")"),"Veðurspá {name} á morgun")</f>
        <v>Veðurspá {name} á morgun</v>
      </c>
      <c r="AE90" s="3" t="str">
        <f>IFERROR(__xludf.DUMMYFUNCTION("GoogleTranslate(C90, ""en"", ""id"")"),"Prakiraan cuaca {name} besok")</f>
        <v>Prakiraan cuaca {name} besok</v>
      </c>
      <c r="AF90" s="3" t="str">
        <f>IFERROR(__xludf.DUMMYFUNCTION("GoogleTranslate(C90, ""en"", ""in"")"),"Prakiraan cuaca {name} besok")</f>
        <v>Prakiraan cuaca {name} besok</v>
      </c>
      <c r="AG90" s="3" t="str">
        <f>IFERROR(__xludf.DUMMYFUNCTION("GoogleTranslate(C90, ""en"", ""it"")"),"Previsioni del tempo {nome} domani")</f>
        <v>Previsioni del tempo {nome} domani</v>
      </c>
      <c r="AH90" s="3" t="str">
        <f>IFERROR(__xludf.DUMMYFUNCTION("GoogleTranslate(C90, ""en"", ""ja"")"),"明日の天気予報 {name}")</f>
        <v>明日の天気予報 {name}</v>
      </c>
      <c r="AI90" s="3" t="str">
        <f>IFERROR(__xludf.DUMMYFUNCTION("GoogleTranslate(C90, ""en"", ""kn"")"),"ನಾಳೆ {name} ಹವಾಮಾನ ಮುನ್ಸೂಚನೆ")</f>
        <v>ನಾಳೆ {name} ಹವಾಮಾನ ಮುನ್ಸೂಚನೆ</v>
      </c>
      <c r="AJ90" s="3" t="str">
        <f>IFERROR(__xludf.DUMMYFUNCTION("GoogleTranslate(C90, ""en"", ""km"")"),"ការព្យាករណ៍អាកាសធាតុ {name} ថ្ងៃស្អែក")</f>
        <v>ការព្យាករណ៍អាកាសធាតុ {name} ថ្ងៃស្អែក</v>
      </c>
      <c r="AK90" s="3" t="str">
        <f>IFERROR(__xludf.DUMMYFUNCTION("GoogleTranslate(C90, ""en"", ""ko"")"),"내일 일기 예보 {name}")</f>
        <v>내일 일기 예보 {name}</v>
      </c>
      <c r="AL90" s="3" t="str">
        <f>IFERROR(__xludf.DUMMYFUNCTION("GoogleTranslate(C90, ""en"", ""lo"")"),"ພະຍາກອນອາກາດ {name} ມື້ອື່ນ")</f>
        <v>ພະຍາກອນອາກາດ {name} ມື້ອື່ນ</v>
      </c>
      <c r="AM90" s="3" t="str">
        <f>IFERROR(__xludf.DUMMYFUNCTION("GoogleTranslate(C90, ""en"", ""lv"")"),"Laika prognoze {name} rīt")</f>
        <v>Laika prognoze {name} rīt</v>
      </c>
      <c r="AN90" s="3" t="str">
        <f>IFERROR(__xludf.DUMMYFUNCTION("GoogleTranslate(C90, ""en"", ""lt"")"),"Orų prognozė {name} rytoj")</f>
        <v>Orų prognozė {name} rytoj</v>
      </c>
      <c r="AO90" s="3" t="str">
        <f>IFERROR(__xludf.DUMMYFUNCTION("GoogleTranslate(C90, ""en"", ""mk"")"),"Временска прогноза {name} утре")</f>
        <v>Временска прогноза {name} утре</v>
      </c>
      <c r="AP90" s="3" t="str">
        <f>IFERROR(__xludf.DUMMYFUNCTION("GoogleTranslate(C90, ""en"", ""ms"")"),"Ramalan cuaca {name} esok")</f>
        <v>Ramalan cuaca {name} esok</v>
      </c>
      <c r="AQ90" s="3" t="str">
        <f>IFERROR(__xludf.DUMMYFUNCTION("GoogleTranslate(C90, ""en"", ""ml"")"),"നാളെ {name} കാലാവസ്ഥാ പ്രവചനം")</f>
        <v>നാളെ {name} കാലാവസ്ഥാ പ്രവചനം</v>
      </c>
      <c r="AR90" s="3" t="str">
        <f>IFERROR(__xludf.DUMMYFUNCTION("GoogleTranslate(C90, ""en"", ""mr"")"),"हवामानाचा अंदाज {name} उद्या")</f>
        <v>हवामानाचा अंदाज {name} उद्या</v>
      </c>
      <c r="AS90" s="3" t="str">
        <f>IFERROR(__xludf.DUMMYFUNCTION("GoogleTranslate(C90, ""en"", ""mn"")"),"Маргааш {name} цаг агаарын мэдээ")</f>
        <v>Маргааш {name} цаг агаарын мэдээ</v>
      </c>
      <c r="AT90" s="3" t="str">
        <f>IFERROR(__xludf.DUMMYFUNCTION("GoogleTranslate(C90, ""en"", ""ne"")"),"मौसम पूर्वानुमान {name} भोलि")</f>
        <v>मौसम पूर्वानुमान {name} भोलि</v>
      </c>
      <c r="AU90" s="3" t="str">
        <f>IFERROR(__xludf.DUMMYFUNCTION("GoogleTranslate(C90, ""en"", ""nb"")"),"Værmelding {name} i morgen")</f>
        <v>Værmelding {name} i morgen</v>
      </c>
      <c r="AV90" s="3" t="str">
        <f>IFERROR(__xludf.DUMMYFUNCTION("GoogleTranslate(C90, ""en"", ""fa"")"),"پیش بینی هوای فردا {name}")</f>
        <v>پیش بینی هوای فردا {name}</v>
      </c>
      <c r="AW90" s="3" t="str">
        <f>IFERROR(__xludf.DUMMYFUNCTION("GoogleTranslate(C90, ""en"", ""pl"")"),"Prognoza pogody {name} na jutro")</f>
        <v>Prognoza pogody {name} na jutro</v>
      </c>
      <c r="AX90" s="3" t="str">
        <f>IFERROR(__xludf.DUMMYFUNCTION("GoogleTranslate(C90, ""en"", ""pt"")"),"Previsão do tempo {nome} para amanhã")</f>
        <v>Previsão do tempo {nome} para amanhã</v>
      </c>
      <c r="AY90" s="3" t="str">
        <f>IFERROR(__xludf.DUMMYFUNCTION("GoogleTranslate(C90, ""en"", ""ro"")"),"Prognoza meteo {name} mâine")</f>
        <v>Prognoza meteo {name} mâine</v>
      </c>
      <c r="AZ90" s="3" t="str">
        <f>IFERROR(__xludf.DUMMYFUNCTION("GoogleTranslate(C90, ""en"", ""ru"")"),"Прогноз погоды {name} на завтра")</f>
        <v>Прогноз погоды {name} на завтра</v>
      </c>
      <c r="BA90" s="3" t="str">
        <f>IFERROR(__xludf.DUMMYFUNCTION("GoogleTranslate(C90, ""en"", ""sr"")"),"Временска прогноза {наме} за сутра")</f>
        <v>Временска прогноза {наме} за сутра</v>
      </c>
      <c r="BB90" s="3" t="str">
        <f>IFERROR(__xludf.DUMMYFUNCTION("GoogleTranslate(C90, ""en"", ""si"")"),"කාලගුණ අනාවැකිය {name} හෙට")</f>
        <v>කාලගුණ අනාවැකිය {name} හෙට</v>
      </c>
      <c r="BC90" s="3" t="str">
        <f>IFERROR(__xludf.DUMMYFUNCTION("GoogleTranslate(C90, ""en"", ""sk"")"),"Predpoveď počasia {name} zajtra")</f>
        <v>Predpoveď počasia {name} zajtra</v>
      </c>
      <c r="BD90" s="3" t="str">
        <f>IFERROR(__xludf.DUMMYFUNCTION("GoogleTranslate(C90, ""en"", ""sl"")"),"Vremenska napoved {name} za jutri")</f>
        <v>Vremenska napoved {name} za jutri</v>
      </c>
      <c r="BE90" s="3" t="str">
        <f>IFERROR(__xludf.DUMMYFUNCTION("GoogleTranslate(C90, ""en"", ""es"")"),"Pronóstico del tiempo para {nombre} mañana")</f>
        <v>Pronóstico del tiempo para {nombre} mañana</v>
      </c>
      <c r="BF90" s="3" t="str">
        <f>IFERROR(__xludf.DUMMYFUNCTION("GoogleTranslate(C90, ""en"", ""sw"")"),"Utabiri wa hali ya hewa {name} kesho")</f>
        <v>Utabiri wa hali ya hewa {name} kesho</v>
      </c>
      <c r="BG90" s="3" t="str">
        <f>IFERROR(__xludf.DUMMYFUNCTION("GoogleTranslate(C90, ""en"", ""sv"")"),"Väderprognos {name} imorgon")</f>
        <v>Väderprognos {name} imorgon</v>
      </c>
      <c r="BH90" s="3" t="str">
        <f>IFERROR(__xludf.DUMMYFUNCTION("GoogleTranslate(C90, ""en"", ""te"")"),"రేపు {name} వాతావరణ సూచన")</f>
        <v>రేపు {name} వాతావరణ సూచన</v>
      </c>
      <c r="BI90" s="3" t="str">
        <f>IFERROR(__xludf.DUMMYFUNCTION("GoogleTranslate(C90, ""en"", ""th"")"),"พยากรณ์อากาศ {name} พรุ่งนี้")</f>
        <v>พยากรณ์อากาศ {name} พรุ่งนี้</v>
      </c>
      <c r="BJ90" s="3" t="str">
        <f>IFERROR(__xludf.DUMMYFUNCTION("GoogleTranslate(C90, ""en"", ""tr"")"),"{name} için yarın hava tahmini")</f>
        <v>{name} için yarın hava tahmini</v>
      </c>
      <c r="BK90" s="3" t="str">
        <f>IFERROR(__xludf.DUMMYFUNCTION("GoogleTranslate(C90, ""en"", ""uk"")"),"Прогноз погоди {name} завтра")</f>
        <v>Прогноз погоди {name} завтра</v>
      </c>
      <c r="BL90" s="3" t="str">
        <f>IFERROR(__xludf.DUMMYFUNCTION("GoogleTranslate(C90, ""en"", ""zu"")"),"Isibikezelo sezulu se-{name} kusasa")</f>
        <v>Isibikezelo sezulu se-{name} kusasa</v>
      </c>
    </row>
    <row r="91">
      <c r="A91" s="1" t="str">
        <f t="shared" si="1"/>
        <v>Weather_{name}_tomorrow_hourly</v>
      </c>
      <c r="B91" s="4" t="s">
        <v>149</v>
      </c>
      <c r="C91" s="1" t="str">
        <f t="shared" si="2"/>
        <v>Weather {name} tomorrow hourly</v>
      </c>
      <c r="D91" s="3" t="str">
        <f>IFERROR(__xludf.DUMMYFUNCTION("GoogleTranslate(C91, ""en"", ""es"")"),"Tiempo {nombre} mañana cada hora")</f>
        <v>Tiempo {nombre} mañana cada hora</v>
      </c>
      <c r="E91" s="3" t="str">
        <f>IFERROR(__xludf.DUMMYFUNCTION("GoogleTranslate(C91, ""en"", ""ar"")"),"الطقس {الاسم} غدا كل ساعة")</f>
        <v>الطقس {الاسم} غدا كل ساعة</v>
      </c>
      <c r="F91" s="3" t="str">
        <f>IFERROR(__xludf.DUMMYFUNCTION("GoogleTranslate(C91, ""en"", ""hy"")"),"Եղանակը {name} վաղը ամեն ժամ")</f>
        <v>Եղանակը {name} վաղը ամեն ժամ</v>
      </c>
      <c r="G91" s="3" t="str">
        <f>IFERROR(__xludf.DUMMYFUNCTION("GoogleTranslate(C91, ""en"", ""vi"")"),"Thời tiết {name} ngày mai theo giờ")</f>
        <v>Thời tiết {name} ngày mai theo giờ</v>
      </c>
      <c r="H91" s="3" t="str">
        <f>IFERROR(__xludf.DUMMYFUNCTION("GoogleTranslate(C91, ""en"", ""az"")"),"Sabah saatlıq hava {name}")</f>
        <v>Sabah saatlıq hava {name}</v>
      </c>
      <c r="I91" s="3" t="str">
        <f>IFERROR(__xludf.DUMMYFUNCTION("GoogleTranslate(C91, ""en"", ""eu"")"),"{name} eguraldia bihar orduro")</f>
        <v>{name} eguraldia bihar orduro</v>
      </c>
      <c r="J91" s="3" t="str">
        <f>IFERROR(__xludf.DUMMYFUNCTION("GoogleTranslate(C91, ""en"", ""be"")"),"Надвор'е {name} заўтра кожную гадзіну")</f>
        <v>Надвор'е {name} заўтра кожную гадзіну</v>
      </c>
      <c r="K91" s="3" t="str">
        <f>IFERROR(__xludf.DUMMYFUNCTION("GoogleTranslate(C91, ""en"", ""bn"")"),"আগামীকাল প্রতি ঘণ্টায় আবহাওয়া {name}")</f>
        <v>আগামীকাল প্রতি ঘণ্টায় আবহাওয়া {name}</v>
      </c>
      <c r="L91" s="3" t="str">
        <f>IFERROR(__xludf.DUMMYFUNCTION("GoogleTranslate(C91, ""en"", ""bg"")"),"Времето {name} утре на всеки час")</f>
        <v>Времето {name} утре на всеки час</v>
      </c>
      <c r="M91" s="3" t="str">
        <f>IFERROR(__xludf.DUMMYFUNCTION("GoogleTranslate(C91, ""en"", ""my"")"),"မိုးလေဝသ {name} မနက်ဖြန် နာရီတိုင်း")</f>
        <v>မိုးလေဝသ {name} မနက်ဖြန် နာရီတိုင်း</v>
      </c>
      <c r="N91" s="3" t="str">
        <f>IFERROR(__xludf.DUMMYFUNCTION("GoogleTranslate(C91, ""en"", ""ca"")"),"El temps {name} demà cada hora")</f>
        <v>El temps {name} demà cada hora</v>
      </c>
      <c r="O91" s="3" t="str">
        <f>IFERROR(__xludf.DUMMYFUNCTION("GoogleTranslate(C91, ""en"", ""zh-cn"")"),"天气 {name} 明天每小时")</f>
        <v>天气 {name} 明天每小时</v>
      </c>
      <c r="P91" s="3" t="str">
        <f>IFERROR(__xludf.DUMMYFUNCTION("GoogleTranslate(C91, ""en"", ""zh-TW"")"),"天氣 {name} 明天每小時")</f>
        <v>天氣 {name} 明天每小時</v>
      </c>
      <c r="Q91" s="3" t="str">
        <f>IFERROR(__xludf.DUMMYFUNCTION("GoogleTranslate(C91, ""en"", ""hr"")"),"Vrijeme {name} sutra svaki sat")</f>
        <v>Vrijeme {name} sutra svaki sat</v>
      </c>
      <c r="R91" s="3" t="str">
        <f>IFERROR(__xludf.DUMMYFUNCTION("GoogleTranslate(C91, ""en"", ""cs"")"),"Počasí {name} zítra každou hodinu")</f>
        <v>Počasí {name} zítra každou hodinu</v>
      </c>
      <c r="S91" s="3" t="str">
        <f>IFERROR(__xludf.DUMMYFUNCTION("GoogleTranslate(C91, ""en"", ""da"")"),"Vejret {name} i morgen hver time")</f>
        <v>Vejret {name} i morgen hver time</v>
      </c>
      <c r="T91" s="3" t="str">
        <f>IFERROR(__xludf.DUMMYFUNCTION("GoogleTranslate(C91, ""en"", ""nl"")"),"Weer {naam} morgen elk uur")</f>
        <v>Weer {naam} morgen elk uur</v>
      </c>
      <c r="U91" s="3" t="str">
        <f>IFERROR(__xludf.DUMMYFUNCTION("GoogleTranslate(C91, ""en"", ""et"")"),"Ilm {name} homme tunnis")</f>
        <v>Ilm {name} homme tunnis</v>
      </c>
      <c r="V91" s="1" t="str">
        <f t="shared" si="3"/>
        <v>Weather {name} tomorrow hourly</v>
      </c>
      <c r="W91" s="3" t="str">
        <f>IFERROR(__xludf.DUMMYFUNCTION("GoogleTranslate(C91, ""en"", ""fi"")"),"Sää {name} huomenna tunnin välein")</f>
        <v>Sää {name} huomenna tunnin välein</v>
      </c>
      <c r="X91" s="3" t="str">
        <f>IFERROR(__xludf.DUMMYFUNCTION("GoogleTranslate(C91, ""en"", ""fr"")"),"Météo {name} demain horaire")</f>
        <v>Météo {name} demain horaire</v>
      </c>
      <c r="Y91" s="3" t="str">
        <f>IFERROR(__xludf.DUMMYFUNCTION("GoogleTranslate(C91, ""en"", ""de"")"),"Wetter {name} morgen stündlich")</f>
        <v>Wetter {name} morgen stündlich</v>
      </c>
      <c r="Z91" s="3" t="str">
        <f>IFERROR(__xludf.DUMMYFUNCTION("GoogleTranslate(C91, ""en"", ""el"")"),"Καιρός {name} αύριο κάθε ώρα")</f>
        <v>Καιρός {name} αύριο κάθε ώρα</v>
      </c>
      <c r="AA91" s="3" t="str">
        <f>IFERROR(__xludf.DUMMYFUNCTION("GoogleTranslate(C91, ""en"", ""iw"")"),"מזג האוויר {name} מחר מדי שעה")</f>
        <v>מזג האוויר {name} מחר מדי שעה</v>
      </c>
      <c r="AB91" s="3" t="str">
        <f>IFERROR(__xludf.DUMMYFUNCTION("GoogleTranslate(C91, ""en"", ""hi"")"),"मौसम {नाम} कल प्रति घंटा")</f>
        <v>मौसम {नाम} कल प्रति घंटा</v>
      </c>
      <c r="AC91" s="3" t="str">
        <f>IFERROR(__xludf.DUMMYFUNCTION("GoogleTranslate(C91, ""en"", ""hu"")"),"Időjárás {name} holnap óránként")</f>
        <v>Időjárás {name} holnap óránként</v>
      </c>
      <c r="AD91" s="3" t="str">
        <f>IFERROR(__xludf.DUMMYFUNCTION("GoogleTranslate(C91, ""en"", ""is"")"),"Veður {name} á morgun á klukkustundar fresti")</f>
        <v>Veður {name} á morgun á klukkustundar fresti</v>
      </c>
      <c r="AE91" s="3" t="str">
        <f>IFERROR(__xludf.DUMMYFUNCTION("GoogleTranslate(C91, ""en"", ""id"")"),"Cuaca {name} besok setiap jam")</f>
        <v>Cuaca {name} besok setiap jam</v>
      </c>
      <c r="AF91" s="3" t="str">
        <f>IFERROR(__xludf.DUMMYFUNCTION("GoogleTranslate(C91, ""en"", ""in"")"),"Cuaca {name} besok setiap jam")</f>
        <v>Cuaca {name} besok setiap jam</v>
      </c>
      <c r="AG91" s="3" t="str">
        <f>IFERROR(__xludf.DUMMYFUNCTION("GoogleTranslate(C91, ""en"", ""it"")"),"Meteo {nome} domani ogni ora")</f>
        <v>Meteo {nome} domani ogni ora</v>
      </c>
      <c r="AH91" s="3" t="str">
        <f>IFERROR(__xludf.DUMMYFUNCTION("GoogleTranslate(C91, ""en"", ""ja"")"),"明日の{名前}の時間別天気予報")</f>
        <v>明日の{名前}の時間別天気予報</v>
      </c>
      <c r="AI91" s="3" t="str">
        <f>IFERROR(__xludf.DUMMYFUNCTION("GoogleTranslate(C91, ""en"", ""kn"")"),"ಹವಾಮಾನ {name} ನಾಳೆ ಗಂಟೆಗೆ")</f>
        <v>ಹವಾಮಾನ {name} ನಾಳೆ ಗಂಟೆಗೆ</v>
      </c>
      <c r="AJ91" s="3" t="str">
        <f>IFERROR(__xludf.DUMMYFUNCTION("GoogleTranslate(C91, ""en"", ""km"")"),"អាកាសធាតុ {name} ថ្ងៃស្អែករៀងរាល់ម៉ោង")</f>
        <v>អាកាសធាតុ {name} ថ្ងៃស្អែករៀងរាល់ម៉ោង</v>
      </c>
      <c r="AK91" s="3" t="str">
        <f>IFERROR(__xludf.DUMMYFUNCTION("GoogleTranslate(C91, ""en"", ""ko"")"),"내일 시간별 날씨 {name}")</f>
        <v>내일 시간별 날씨 {name}</v>
      </c>
      <c r="AL91" s="3" t="str">
        <f>IFERROR(__xludf.DUMMYFUNCTION("GoogleTranslate(C91, ""en"", ""lo"")"),"ສະພາບອາກາດ {name} ມື້ອື່ນທຸກໆຊົ່ວໂມງ")</f>
        <v>ສະພາບອາກາດ {name} ມື້ອື່ນທຸກໆຊົ່ວໂມງ</v>
      </c>
      <c r="AM91" s="3" t="str">
        <f>IFERROR(__xludf.DUMMYFUNCTION("GoogleTranslate(C91, ""en"", ""lv"")"),"Laikapstākļi {name} rīt katru stundu")</f>
        <v>Laikapstākļi {name} rīt katru stundu</v>
      </c>
      <c r="AN91" s="3" t="str">
        <f>IFERROR(__xludf.DUMMYFUNCTION("GoogleTranslate(C91, ""en"", ""lt"")"),"Orai {name} rytoj kas valandą")</f>
        <v>Orai {name} rytoj kas valandą</v>
      </c>
      <c r="AO91" s="3" t="str">
        <f>IFERROR(__xludf.DUMMYFUNCTION("GoogleTranslate(C91, ""en"", ""mk"")"),"Времето {name} утре на час")</f>
        <v>Времето {name} утре на час</v>
      </c>
      <c r="AP91" s="3" t="str">
        <f>IFERROR(__xludf.DUMMYFUNCTION("GoogleTranslate(C91, ""en"", ""ms"")"),"Cuaca {name} esok setiap jam")</f>
        <v>Cuaca {name} esok setiap jam</v>
      </c>
      <c r="AQ91" s="3" t="str">
        <f>IFERROR(__xludf.DUMMYFUNCTION("GoogleTranslate(C91, ""en"", ""ml"")"),"നാളെ ഓരോ മണിക്കൂറിലും {name} കാലാവസ്ഥ")</f>
        <v>നാളെ ഓരോ മണിക്കൂറിലും {name} കാലാവസ്ഥ</v>
      </c>
      <c r="AR91" s="3" t="str">
        <f>IFERROR(__xludf.DUMMYFUNCTION("GoogleTranslate(C91, ""en"", ""mr"")"),"हवामान {name} उद्या तासाला")</f>
        <v>हवामान {name} उद्या तासाला</v>
      </c>
      <c r="AS91" s="3" t="str">
        <f>IFERROR(__xludf.DUMMYFUNCTION("GoogleTranslate(C91, ""en"", ""mn"")"),"{name} цаг агаар маргааш цаг тутамд")</f>
        <v>{name} цаг агаар маргааш цаг тутамд</v>
      </c>
      <c r="AT91" s="3" t="str">
        <f>IFERROR(__xludf.DUMMYFUNCTION("GoogleTranslate(C91, ""en"", ""ne"")"),"मौसम {name} भोलि प्रति घण्टा")</f>
        <v>मौसम {name} भोलि प्रति घण्टा</v>
      </c>
      <c r="AU91" s="3" t="str">
        <f>IFERROR(__xludf.DUMMYFUNCTION("GoogleTranslate(C91, ""en"", ""nb"")"),"Været {name} i morgen hver time")</f>
        <v>Været {name} i morgen hver time</v>
      </c>
      <c r="AV91" s="3" t="str">
        <f>IFERROR(__xludf.DUMMYFUNCTION("GoogleTranslate(C91, ""en"", ""fa"")"),"آب و هوا {name} فردا هر ساعت")</f>
        <v>آب و هوا {name} فردا هر ساعت</v>
      </c>
      <c r="AW91" s="3" t="str">
        <f>IFERROR(__xludf.DUMMYFUNCTION("GoogleTranslate(C91, ""en"", ""pl"")"),"Pogoda {name} jutro co godzinę")</f>
        <v>Pogoda {name} jutro co godzinę</v>
      </c>
      <c r="AX91" s="3" t="str">
        <f>IFERROR(__xludf.DUMMYFUNCTION("GoogleTranslate(C91, ""en"", ""pt"")"),"Tempo {nome} amanhã a cada hora")</f>
        <v>Tempo {nome} amanhã a cada hora</v>
      </c>
      <c r="AY91" s="3" t="str">
        <f>IFERROR(__xludf.DUMMYFUNCTION("GoogleTranslate(C91, ""en"", ""ro"")"),"Vremea {name} mâine la oră")</f>
        <v>Vremea {name} mâine la oră</v>
      </c>
      <c r="AZ91" s="3" t="str">
        <f>IFERROR(__xludf.DUMMYFUNCTION("GoogleTranslate(C91, ""en"", ""ru"")"),"Погода {name} завтра по часам")</f>
        <v>Погода {name} завтра по часам</v>
      </c>
      <c r="BA91" s="3" t="str">
        <f>IFERROR(__xludf.DUMMYFUNCTION("GoogleTranslate(C91, ""en"", ""sr"")"),"Време {наме} сутра по сату")</f>
        <v>Време {наме} сутра по сату</v>
      </c>
      <c r="BB91" s="3" t="str">
        <f>IFERROR(__xludf.DUMMYFUNCTION("GoogleTranslate(C91, ""en"", ""si"")"),"කාලගුණය {name} හෙට පැයට")</f>
        <v>කාලගුණය {name} හෙට පැයට</v>
      </c>
      <c r="BC91" s="3" t="str">
        <f>IFERROR(__xludf.DUMMYFUNCTION("GoogleTranslate(C91, ""en"", ""sk"")"),"Počasie {name} zajtra každú hodinu")</f>
        <v>Počasie {name} zajtra každú hodinu</v>
      </c>
      <c r="BD91" s="3" t="str">
        <f>IFERROR(__xludf.DUMMYFUNCTION("GoogleTranslate(C91, ""en"", ""sl"")"),"Vreme {name} jutri vsako uro")</f>
        <v>Vreme {name} jutri vsako uro</v>
      </c>
      <c r="BE91" s="3" t="str">
        <f>IFERROR(__xludf.DUMMYFUNCTION("GoogleTranslate(C91, ""en"", ""es"")"),"Tiempo {nombre} mañana cada hora")</f>
        <v>Tiempo {nombre} mañana cada hora</v>
      </c>
      <c r="BF91" s="3" t="str">
        <f>IFERROR(__xludf.DUMMYFUNCTION("GoogleTranslate(C91, ""en"", ""sw"")"),"Hali ya hewa {name} kesho kila saa")</f>
        <v>Hali ya hewa {name} kesho kila saa</v>
      </c>
      <c r="BG91" s="3" t="str">
        <f>IFERROR(__xludf.DUMMYFUNCTION("GoogleTranslate(C91, ""en"", ""sv"")"),"Väder {name} i morgon varje timme")</f>
        <v>Väder {name} i morgon varje timme</v>
      </c>
      <c r="BH91" s="3" t="str">
        <f>IFERROR(__xludf.DUMMYFUNCTION("GoogleTranslate(C91, ""en"", ""te"")"),"రేపు గంట వారీ వాతావరణం {name}")</f>
        <v>రేపు గంట వారీ వాతావరణం {name}</v>
      </c>
      <c r="BI91" s="3" t="str">
        <f>IFERROR(__xludf.DUMMYFUNCTION("GoogleTranslate(C91, ""en"", ""th"")"),"สภาพอากาศ {name} พรุ่งนี้ทุกชั่วโมง")</f>
        <v>สภาพอากาศ {name} พรุ่งนี้ทุกชั่วโมง</v>
      </c>
      <c r="BJ91" s="3" t="str">
        <f>IFERROR(__xludf.DUMMYFUNCTION("GoogleTranslate(C91, ""en"", ""tr"")"),"{name} için yarın saatlik hava durumu")</f>
        <v>{name} için yarın saatlik hava durumu</v>
      </c>
      <c r="BK91" s="3" t="str">
        <f>IFERROR(__xludf.DUMMYFUNCTION("GoogleTranslate(C91, ""en"", ""uk"")"),"Погода {name} завтра щогодини")</f>
        <v>Погода {name} завтра щогодини</v>
      </c>
      <c r="BL91" s="3" t="str">
        <f>IFERROR(__xludf.DUMMYFUNCTION("GoogleTranslate(C91, ""en"", ""zu"")"),"Isimo sezulu {name} kusasa njalo ngehora")</f>
        <v>Isimo sezulu {name} kusasa njalo ngehora</v>
      </c>
    </row>
    <row r="92">
      <c r="A92" s="1" t="str">
        <f t="shared" si="1"/>
        <v>Chance_of_rain_in_{name}_tomorrow_by_the_hour</v>
      </c>
      <c r="B92" s="4" t="s">
        <v>150</v>
      </c>
      <c r="C92" s="1" t="str">
        <f t="shared" si="2"/>
        <v>Chance of rain in {name} tomorrow by the hour</v>
      </c>
      <c r="D92" s="3" t="str">
        <f>IFERROR(__xludf.DUMMYFUNCTION("GoogleTranslate(C92, ""en"", ""es"")"),"Probabilidad de lluvia en {nombre} mañana por horas")</f>
        <v>Probabilidad de lluvia en {nombre} mañana por horas</v>
      </c>
      <c r="E92" s="3" t="str">
        <f>IFERROR(__xludf.DUMMYFUNCTION("GoogleTranslate(C92, ""en"", ""ar"")"),"فرصة هطول أمطار في {الاسم} غدا بعد الساعة")</f>
        <v>فرصة هطول أمطار في {الاسم} غدا بعد الساعة</v>
      </c>
      <c r="F92" s="3" t="str">
        <f>IFERROR(__xludf.DUMMYFUNCTION("GoogleTranslate(C92, ""en"", ""hy"")"),"Վաղը ժամ առ ժամ անձրևի հավանականություն կա {name}-ում")</f>
        <v>Վաղը ժամ առ ժամ անձրևի հավանականություն կա {name}-ում</v>
      </c>
      <c r="G92" s="3" t="str">
        <f>IFERROR(__xludf.DUMMYFUNCTION("GoogleTranslate(C92, ""en"", ""vi"")"),"Có thể có mưa ở {name} vào ngày mai theo giờ")</f>
        <v>Có thể có mưa ở {name} vào ngày mai theo giờ</v>
      </c>
      <c r="H92" s="3" t="str">
        <f>IFERROR(__xludf.DUMMYFUNCTION("GoogleTranslate(C92, ""en"", ""az"")"),"Sabah {name} ərazisində yağış ehtimalı")</f>
        <v>Sabah {name} ərazisində yağış ehtimalı</v>
      </c>
      <c r="I92" s="3" t="str">
        <f>IFERROR(__xludf.DUMMYFUNCTION("GoogleTranslate(C92, ""en"", ""eu"")"),"Euria egiteko aukera {name}n bihar ordurako")</f>
        <v>Euria egiteko aukera {name}n bihar ordurako</v>
      </c>
      <c r="J92" s="3" t="str">
        <f>IFERROR(__xludf.DUMMYFUNCTION("GoogleTranslate(C92, ""en"", ""be"")"),"У {name} заўтра па гадзінах магчымы дождж")</f>
        <v>У {name} заўтра па гадзінах магчымы дождж</v>
      </c>
      <c r="K92" s="3" t="str">
        <f>IFERROR(__xludf.DUMMYFUNCTION("GoogleTranslate(C92, ""en"", ""bn"")"),"আগামীকাল {name} এ ঘণ্টায় বৃষ্টির সম্ভাবনা")</f>
        <v>আগামীকাল {name} এ ঘণ্টায় বৃষ্টির সম্ভাবনা</v>
      </c>
      <c r="L92" s="3" t="str">
        <f>IFERROR(__xludf.DUMMYFUNCTION("GoogleTranslate(C92, ""en"", ""bg"")"),"Вероятност за дъжд в {name} утре на всеки час")</f>
        <v>Вероятност за дъжд в {name} утре на всеки час</v>
      </c>
      <c r="M92" s="3" t="str">
        <f>IFERROR(__xludf.DUMMYFUNCTION("GoogleTranslate(C92, ""en"", ""my"")"),"မနက်ဖြန်နာရီပိုင်းအတွင်း မိုးရွာနိုင်ခြေ")</f>
        <v>မနက်ဖြန်နာရီပိုင်းအတွင်း မိုးရွာနိုင်ခြေ</v>
      </c>
      <c r="N92" s="3" t="str">
        <f>IFERROR(__xludf.DUMMYFUNCTION("GoogleTranslate(C92, ""en"", ""ca"")"),"Possibilitat de pluja a {name} demà a l'hora")</f>
        <v>Possibilitat de pluja a {name} demà a l'hora</v>
      </c>
      <c r="O92" s="3" t="str">
        <f>IFERROR(__xludf.DUMMYFUNCTION("GoogleTranslate(C92, ""en"", ""zh-cn"")"),"明天{name}每小时有可能下雨")</f>
        <v>明天{name}每小时有可能下雨</v>
      </c>
      <c r="P92" s="3" t="str">
        <f>IFERROR(__xludf.DUMMYFUNCTION("GoogleTranslate(C92, ""en"", ""zh-TW"")"),"明天{name}每小時有可能下雨")</f>
        <v>明天{name}每小時有可能下雨</v>
      </c>
      <c r="Q92" s="3" t="str">
        <f>IFERROR(__xludf.DUMMYFUNCTION("GoogleTranslate(C92, ""en"", ""hr"")"),"Mogućnost kiše u {name} sutra na sat")</f>
        <v>Mogućnost kiše u {name} sutra na sat</v>
      </c>
      <c r="R92" s="3" t="str">
        <f>IFERROR(__xludf.DUMMYFUNCTION("GoogleTranslate(C92, ""en"", ""cs"")"),"Možnost deště v {name} zítra do hodiny")</f>
        <v>Možnost deště v {name} zítra do hodiny</v>
      </c>
      <c r="S92" s="3" t="str">
        <f>IFERROR(__xludf.DUMMYFUNCTION("GoogleTranslate(C92, ""en"", ""da"")"),"Mulighed for regn i {name} i morgen pr. time")</f>
        <v>Mulighed for regn i {name} i morgen pr. time</v>
      </c>
      <c r="T92" s="3" t="str">
        <f>IFERROR(__xludf.DUMMYFUNCTION("GoogleTranslate(C92, ""en"", ""nl"")"),"Morgen per uur kans op regen in {name}")</f>
        <v>Morgen per uur kans op regen in {name}</v>
      </c>
      <c r="U92" s="3" t="str">
        <f>IFERROR(__xludf.DUMMYFUNCTION("GoogleTranslate(C92, ""en"", ""et"")"),"Vihma võimalus kohas {name} homme iga tund")</f>
        <v>Vihma võimalus kohas {name} homme iga tund</v>
      </c>
      <c r="V92" s="1" t="str">
        <f t="shared" si="3"/>
        <v>Chance of rain in {name} tomorrow by the hour</v>
      </c>
      <c r="W92" s="3" t="str">
        <f>IFERROR(__xludf.DUMMYFUNCTION("GoogleTranslate(C92, ""en"", ""fi"")"),"Sateen mahdollisuus paikassa {name} huomenna tunnin välein")</f>
        <v>Sateen mahdollisuus paikassa {name} huomenna tunnin välein</v>
      </c>
      <c r="X92" s="3" t="str">
        <f>IFERROR(__xludf.DUMMYFUNCTION("GoogleTranslate(C92, ""en"", ""fr"")"),"Risque de pluie à {name} demain par heure")</f>
        <v>Risque de pluie à {name} demain par heure</v>
      </c>
      <c r="Y92" s="3" t="str">
        <f>IFERROR(__xludf.DUMMYFUNCTION("GoogleTranslate(C92, ""en"", ""de"")"),"Morgen kann es stundenweise regnen in {name}")</f>
        <v>Morgen kann es stundenweise regnen in {name}</v>
      </c>
      <c r="Z92" s="3" t="str">
        <f>IFERROR(__xludf.DUMMYFUNCTION("GoogleTranslate(C92, ""en"", ""el"")"),"Πιθανότητα βροχής στο {name} αύριο ανά ώρα")</f>
        <v>Πιθανότητα βροχής στο {name} αύριο ανά ώρα</v>
      </c>
      <c r="AA92" s="3" t="str">
        <f>IFERROR(__xludf.DUMMYFUNCTION("GoogleTranslate(C92, ""en"", ""iw"")"),"סיכוי לגשם ב{name} מחר לפי שעה")</f>
        <v>סיכוי לגשם ב{name} מחר לפי שעה</v>
      </c>
      <c r="AB92" s="3" t="str">
        <f>IFERROR(__xludf.DUMMYFUNCTION("GoogleTranslate(C92, ""en"", ""hi"")"),"कल {नाम} में घंटे के हिसाब से बारिश की संभावना")</f>
        <v>कल {नाम} में घंटे के हिसाब से बारिश की संभावना</v>
      </c>
      <c r="AC92" s="3" t="str">
        <f>IFERROR(__xludf.DUMMYFUNCTION("GoogleTranslate(C92, ""en"", ""hu"")"),"Eső valószínű holnap {name} helyen")</f>
        <v>Eső valószínű holnap {name} helyen</v>
      </c>
      <c r="AD92" s="3" t="str">
        <f>IFERROR(__xludf.DUMMYFUNCTION("GoogleTranslate(C92, ""en"", ""is"")"),"Líkur á rigningu í {name} á morgun eftir klukkustund")</f>
        <v>Líkur á rigningu í {name} á morgun eftir klukkustund</v>
      </c>
      <c r="AE92" s="3" t="str">
        <f>IFERROR(__xludf.DUMMYFUNCTION("GoogleTranslate(C92, ""en"", ""id"")"),"Kemungkinan hujan di {name} besok per jam")</f>
        <v>Kemungkinan hujan di {name} besok per jam</v>
      </c>
      <c r="AF92" s="3" t="str">
        <f>IFERROR(__xludf.DUMMYFUNCTION("GoogleTranslate(C92, ""en"", ""in"")"),"Kemungkinan hujan di {name} besok per jam")</f>
        <v>Kemungkinan hujan di {name} besok per jam</v>
      </c>
      <c r="AG92" s="3" t="str">
        <f>IFERROR(__xludf.DUMMYFUNCTION("GoogleTranslate(C92, ""en"", ""it"")"),"Possibilità di pioggia a {name} domani a ore")</f>
        <v>Possibilità di pioggia a {name} domani a ore</v>
      </c>
      <c r="AH92" s="3" t="str">
        <f>IFERROR(__xludf.DUMMYFUNCTION("GoogleTranslate(C92, ""en"", ""ja"")"),"明日の{name}の時間別の降水確率")</f>
        <v>明日の{name}の時間別の降水確率</v>
      </c>
      <c r="AI92" s="3" t="str">
        <f>IFERROR(__xludf.DUMMYFUNCTION("GoogleTranslate(C92, ""en"", ""kn"")"),"ನಾಳೆ {name} ನಲ್ಲಿ ಗಂಟೆಗೊಮ್ಮೆ ಮಳೆಯಾಗುವ ಸಾಧ್ಯತೆ")</f>
        <v>ನಾಳೆ {name} ನಲ್ಲಿ ಗಂಟೆಗೊಮ್ಮೆ ಮಳೆಯಾಗುವ ಸಾಧ್ಯತೆ</v>
      </c>
      <c r="AJ92" s="3" t="str">
        <f>IFERROR(__xludf.DUMMYFUNCTION("GoogleTranslate(C92, ""en"", ""km"")"),"ឱកាសមានភ្លៀងធ្លាក់ក្នុង {name} ថ្ងៃស្អែកត្រឹមម៉ោង")</f>
        <v>ឱកាសមានភ្លៀងធ្លាក់ក្នុង {name} ថ្ងៃស្អែកត្រឹមម៉ោង</v>
      </c>
      <c r="AK92" s="3" t="str">
        <f>IFERROR(__xludf.DUMMYFUNCTION("GoogleTranslate(C92, ""en"", ""ko"")"),"내일 시간별 {name}에 비가 올 확률")</f>
        <v>내일 시간별 {name}에 비가 올 확률</v>
      </c>
      <c r="AL92" s="3" t="str">
        <f>IFERROR(__xludf.DUMMYFUNCTION("GoogleTranslate(C92, ""en"", ""lo"")"),"ໂອກາດຝົນຕົກໃນ {name} ມື້ອື່ນໂດຍຊົ່ວໂມງ")</f>
        <v>ໂອກາດຝົນຕົກໃນ {name} ມື້ອື່ນໂດຍຊົ່ວໂມງ</v>
      </c>
      <c r="AM92" s="3" t="str">
        <f>IFERROR(__xludf.DUMMYFUNCTION("GoogleTranslate(C92, ""en"", ""lv"")"),"Rīt dienā {name} iespējams lietus")</f>
        <v>Rīt dienā {name} iespējams lietus</v>
      </c>
      <c r="AN92" s="3" t="str">
        <f>IFERROR(__xludf.DUMMYFUNCTION("GoogleTranslate(C92, ""en"", ""lt"")"),"Lietaus tikimybė rytoj {name} valandomis")</f>
        <v>Lietaus tikimybė rytoj {name} valandomis</v>
      </c>
      <c r="AO92" s="3" t="str">
        <f>IFERROR(__xludf.DUMMYFUNCTION("GoogleTranslate(C92, ""en"", ""mk"")"),"Можност за дожд во {name} утре по час")</f>
        <v>Можност за дожд во {name} утре по час</v>
      </c>
      <c r="AP92" s="3" t="str">
        <f>IFERROR(__xludf.DUMMYFUNCTION("GoogleTranslate(C92, ""en"", ""ms"")"),"Kemungkinan hujan di {name} esok mengikut jam")</f>
        <v>Kemungkinan hujan di {name} esok mengikut jam</v>
      </c>
      <c r="AQ92" s="3" t="str">
        <f>IFERROR(__xludf.DUMMYFUNCTION("GoogleTranslate(C92, ""en"", ""ml"")"),"നാളെ {name} എന്ന സ്ഥലത്ത് മണിക്കൂറിൽ മഴ പെയ്യാൻ സാധ്യതയുണ്ട്")</f>
        <v>നാളെ {name} എന്ന സ്ഥലത്ത് മണിക്കൂറിൽ മഴ പെയ്യാൻ സാധ്യതയുണ്ട്</v>
      </c>
      <c r="AR92" s="3" t="str">
        <f>IFERROR(__xludf.DUMMYFUNCTION("GoogleTranslate(C92, ""en"", ""mr"")"),"उद्या {name} मध्ये तासाभराने पावसाची शक्यता आहे")</f>
        <v>उद्या {name} मध्ये तासाभराने पावसाची शक्यता आहे</v>
      </c>
      <c r="AS92" s="3" t="str">
        <f>IFERROR(__xludf.DUMMYFUNCTION("GoogleTranslate(C92, ""en"", ""mn"")"),"Маргааш {name}-д цагт бороо орох магадлалтай")</f>
        <v>Маргааш {name}-д цагт бороо орох магадлалтай</v>
      </c>
      <c r="AT92" s="3" t="str">
        <f>IFERROR(__xludf.DUMMYFUNCTION("GoogleTranslate(C92, ""en"", ""ne"")"),"भोलि {name} मा एक घण्टासम्म पानी पर्ने सम्भावना छ")</f>
        <v>भोलि {name} मा एक घण्टासम्म पानी पर्ने सम्भावना छ</v>
      </c>
      <c r="AU92" s="3" t="str">
        <f>IFERROR(__xludf.DUMMYFUNCTION("GoogleTranslate(C92, ""en"", ""nb"")"),"Sjanse for regn i {name} i morgen hver time")</f>
        <v>Sjanse for regn i {name} i morgen hver time</v>
      </c>
      <c r="AV92" s="3" t="str">
        <f>IFERROR(__xludf.DUMMYFUNCTION("GoogleTranslate(C92, ""en"", ""fa"")"),"احتمال بارندگی در {name} فردا به ساعت")</f>
        <v>احتمال بارندگی در {name} فردا به ساعت</v>
      </c>
      <c r="AW92" s="3" t="str">
        <f>IFERROR(__xludf.DUMMYFUNCTION("GoogleTranslate(C92, ""en"", ""pl"")"),"Jutro prawdopodobieństwo deszczu w {name} do godziny")</f>
        <v>Jutro prawdopodobieństwo deszczu w {name} do godziny</v>
      </c>
      <c r="AX92" s="3" t="str">
        <f>IFERROR(__xludf.DUMMYFUNCTION("GoogleTranslate(C92, ""en"", ""pt"")"),"Possibilidade de chuva em {name} amanhã a cada hora")</f>
        <v>Possibilidade de chuva em {name} amanhã a cada hora</v>
      </c>
      <c r="AY92" s="3" t="str">
        <f>IFERROR(__xludf.DUMMYFUNCTION("GoogleTranslate(C92, ""en"", ""ro"")"),"Şanse de ploaie în {name} mâine la oră")</f>
        <v>Şanse de ploaie în {name} mâine la oră</v>
      </c>
      <c r="AZ92" s="3" t="str">
        <f>IFERROR(__xludf.DUMMYFUNCTION("GoogleTranslate(C92, ""en"", ""ru"")"),"Завтра в {name} возможен дождь, с точностью до часа.")</f>
        <v>Завтра в {name} возможен дождь, с точностью до часа.</v>
      </c>
      <c r="BA92" s="3" t="str">
        <f>IFERROR(__xludf.DUMMYFUNCTION("GoogleTranslate(C92, ""en"", ""sr"")"),"Могућа киша у {наме} сутра до сата")</f>
        <v>Могућа киша у {наме} сутра до сата</v>
      </c>
      <c r="BB92" s="3" t="str">
        <f>IFERROR(__xludf.DUMMYFUNCTION("GoogleTranslate(C92, ""en"", ""si"")"),"හෙට පැයෙන් {name} හි වැසි ඇති වීමට ඉඩ ඇත")</f>
        <v>හෙට පැයෙන් {name} හි වැසි ඇති වීමට ඉඩ ඇත</v>
      </c>
      <c r="BC92" s="3" t="str">
        <f>IFERROR(__xludf.DUMMYFUNCTION("GoogleTranslate(C92, ""en"", ""sk"")"),"Pravdepodobnosť dažďa v mieste {name} zajtra o hodinu")</f>
        <v>Pravdepodobnosť dažďa v mieste {name} zajtra o hodinu</v>
      </c>
      <c r="BD92" s="3" t="str">
        <f>IFERROR(__xludf.DUMMYFUNCTION("GoogleTranslate(C92, ""en"", ""sl"")"),"Možnost dežja v {name} jutri ob eni uri")</f>
        <v>Možnost dežja v {name} jutri ob eni uri</v>
      </c>
      <c r="BE92" s="3" t="str">
        <f>IFERROR(__xludf.DUMMYFUNCTION("GoogleTranslate(C92, ""en"", ""es"")"),"Probabilidad de lluvia en {nombre} mañana por horas")</f>
        <v>Probabilidad de lluvia en {nombre} mañana por horas</v>
      </c>
      <c r="BF92" s="3" t="str">
        <f>IFERROR(__xludf.DUMMYFUNCTION("GoogleTranslate(C92, ""en"", ""sw"")"),"Uwezekano wa mvua kunyesha katika {name} kesho saa moja")</f>
        <v>Uwezekano wa mvua kunyesha katika {name} kesho saa moja</v>
      </c>
      <c r="BG92" s="3" t="str">
        <f>IFERROR(__xludf.DUMMYFUNCTION("GoogleTranslate(C92, ""en"", ""sv"")"),"Risk för regn i {name} i morgon per timme")</f>
        <v>Risk för regn i {name} i morgon per timme</v>
      </c>
      <c r="BH92" s="3" t="str">
        <f>IFERROR(__xludf.DUMMYFUNCTION("GoogleTranslate(C92, ""en"", ""te"")"),"రేపు {name}లో గంట వారీగా వర్షం పడే అవకాశం")</f>
        <v>రేపు {name}లో గంట వారీగా వర్షం పడే అవకాశం</v>
      </c>
      <c r="BI92" s="3" t="str">
        <f>IFERROR(__xludf.DUMMYFUNCTION("GoogleTranslate(C92, ""en"", ""th"")"),"โอกาสที่ฝนจะตกใน {name} พรุ่งนี้ รายชั่วโมง")</f>
        <v>โอกาสที่ฝนจะตกใน {name} พรุ่งนี้ รายชั่วโมง</v>
      </c>
      <c r="BJ92" s="3" t="str">
        <f>IFERROR(__xludf.DUMMYFUNCTION("GoogleTranslate(C92, ""en"", ""tr"")"),"{name} için yarın saat başı yağmur ihtimali")</f>
        <v>{name} için yarın saat başı yağmur ihtimali</v>
      </c>
      <c r="BK92" s="3" t="str">
        <f>IFERROR(__xludf.DUMMYFUNCTION("GoogleTranslate(C92, ""en"", ""uk"")"),"Можливий дощ у {name} завтра на годину")</f>
        <v>Можливий дощ у {name} завтра на годину</v>
      </c>
      <c r="BL92" s="3" t="str">
        <f>IFERROR(__xludf.DUMMYFUNCTION("GoogleTranslate(C92, ""en"", ""zu"")"),"Ithuba lemvula e-{name} kusasa ngehora")</f>
        <v>Ithuba lemvula e-{name} kusasa ngehora</v>
      </c>
    </row>
    <row r="93">
      <c r="A93" s="1" t="str">
        <f t="shared" si="1"/>
        <v>Temperature_in_{name}_tomorrow_by_hour</v>
      </c>
      <c r="B93" s="4" t="s">
        <v>151</v>
      </c>
      <c r="C93" s="1" t="str">
        <f t="shared" si="2"/>
        <v>Temperature in {name} tomorrow by hour</v>
      </c>
      <c r="D93" s="3" t="str">
        <f>IFERROR(__xludf.DUMMYFUNCTION("GoogleTranslate(C93, ""en"", ""es"")"),"Temperatura en {nombre} mañana por hora")</f>
        <v>Temperatura en {nombre} mañana por hora</v>
      </c>
      <c r="E93" s="3" t="str">
        <f>IFERROR(__xludf.DUMMYFUNCTION("GoogleTranslate(C93, ""en"", ""ar"")"),"درجة الحرارة في {name} غدا بساعة")</f>
        <v>درجة الحرارة في {name} غدا بساعة</v>
      </c>
      <c r="F93" s="3" t="str">
        <f>IFERROR(__xludf.DUMMYFUNCTION("GoogleTranslate(C93, ""en"", ""hy"")"),"Ջերմաստիճանը {name}-ում վաղը ժամ առ ժամ")</f>
        <v>Ջերմաստիճանը {name}-ում վաղը ժամ առ ժամ</v>
      </c>
      <c r="G93" s="3" t="str">
        <f>IFERROR(__xludf.DUMMYFUNCTION("GoogleTranslate(C93, ""en"", ""vi"")"),"Nhiệt độ ở {name} ngày mai theo giờ")</f>
        <v>Nhiệt độ ở {name} ngày mai theo giờ</v>
      </c>
      <c r="H93" s="3" t="str">
        <f>IFERROR(__xludf.DUMMYFUNCTION("GoogleTranslate(C93, ""en"", ""az"")"),"Sabah {name} ərazisində temperatur")</f>
        <v>Sabah {name} ərazisində temperatur</v>
      </c>
      <c r="I93" s="3" t="str">
        <f>IFERROR(__xludf.DUMMYFUNCTION("GoogleTranslate(C93, ""en"", ""eu"")"),"{name}ko tenperatura bihar orduz")</f>
        <v>{name}ko tenperatura bihar orduz</v>
      </c>
      <c r="J93" s="3" t="str">
        <f>IFERROR(__xludf.DUMMYFUNCTION("GoogleTranslate(C93, ""en"", ""be"")"),"Тэмпература ў {name} заўтра па гадзінах")</f>
        <v>Тэмпература ў {name} заўтра па гадзінах</v>
      </c>
      <c r="K93" s="3" t="str">
        <f>IFERROR(__xludf.DUMMYFUNCTION("GoogleTranslate(C93, ""en"", ""bn"")"),"আগামীকাল ঘণ্টায় {name}-এ তাপমাত্রা")</f>
        <v>আগামীকাল ঘণ্টায় {name}-এ তাপমাত্রা</v>
      </c>
      <c r="L93" s="3" t="str">
        <f>IFERROR(__xludf.DUMMYFUNCTION("GoogleTranslate(C93, ""en"", ""bg"")"),"Температура в {name} утре по часове")</f>
        <v>Температура в {name} утре по часове</v>
      </c>
      <c r="M93" s="3" t="str">
        <f>IFERROR(__xludf.DUMMYFUNCTION("GoogleTranslate(C93, ""en"", ""my"")"),"မနက်ဖြန် {name} တွင် အပူချိန်")</f>
        <v>မနက်ဖြန် {name} တွင် အပူချိန်</v>
      </c>
      <c r="N93" s="3" t="str">
        <f>IFERROR(__xludf.DUMMYFUNCTION("GoogleTranslate(C93, ""en"", ""ca"")"),"Temperatura a {name} demà per hora")</f>
        <v>Temperatura a {name} demà per hora</v>
      </c>
      <c r="O93" s="3" t="str">
        <f>IFERROR(__xludf.DUMMYFUNCTION("GoogleTranslate(C93, ""en"", ""zh-cn"")"),"明天 {name} 每小时的气温")</f>
        <v>明天 {name} 每小时的气温</v>
      </c>
      <c r="P93" s="3" t="str">
        <f>IFERROR(__xludf.DUMMYFUNCTION("GoogleTranslate(C93, ""en"", ""zh-TW"")"),"明天 {name} 每小時的氣溫")</f>
        <v>明天 {name} 每小時的氣溫</v>
      </c>
      <c r="Q93" s="3" t="str">
        <f>IFERROR(__xludf.DUMMYFUNCTION("GoogleTranslate(C93, ""en"", ""hr"")"),"Temperatura u {name} sutra po satima")</f>
        <v>Temperatura u {name} sutra po satima</v>
      </c>
      <c r="R93" s="3" t="str">
        <f>IFERROR(__xludf.DUMMYFUNCTION("GoogleTranslate(C93, ""en"", ""cs"")"),"Teplota v {name} zítra za hodinu")</f>
        <v>Teplota v {name} zítra za hodinu</v>
      </c>
      <c r="S93" s="3" t="str">
        <f>IFERROR(__xludf.DUMMYFUNCTION("GoogleTranslate(C93, ""en"", ""da"")"),"Temperatur i {name} i morgen for time")</f>
        <v>Temperatur i {name} i morgen for time</v>
      </c>
      <c r="T93" s="3" t="str">
        <f>IFERROR(__xludf.DUMMYFUNCTION("GoogleTranslate(C93, ""en"", ""nl"")"),"Temperatuur in {name} morgen per uur")</f>
        <v>Temperatuur in {name} morgen per uur</v>
      </c>
      <c r="U93" s="3" t="str">
        <f>IFERROR(__xludf.DUMMYFUNCTION("GoogleTranslate(C93, ""en"", ""et"")"),"Temperatuur asukohas {name} homme tundide kaupa")</f>
        <v>Temperatuur asukohas {name} homme tundide kaupa</v>
      </c>
      <c r="V93" s="1" t="str">
        <f t="shared" si="3"/>
        <v>Temperature in {name} tomorrow by hour</v>
      </c>
      <c r="W93" s="3" t="str">
        <f>IFERROR(__xludf.DUMMYFUNCTION("GoogleTranslate(C93, ""en"", ""fi"")"),"Lämpötila paikassa {name} huomenna tunneittain")</f>
        <v>Lämpötila paikassa {name} huomenna tunneittain</v>
      </c>
      <c r="X93" s="3" t="str">
        <f>IFERROR(__xludf.DUMMYFUNCTION("GoogleTranslate(C93, ""en"", ""fr"")"),"Température à {name} demain par heure")</f>
        <v>Température à {name} demain par heure</v>
      </c>
      <c r="Y93" s="3" t="str">
        <f>IFERROR(__xludf.DUMMYFUNCTION("GoogleTranslate(C93, ""en"", ""de"")"),"Temperatur in {name} morgen stundenweise")</f>
        <v>Temperatur in {name} morgen stundenweise</v>
      </c>
      <c r="Z93" s="3" t="str">
        <f>IFERROR(__xludf.DUMMYFUNCTION("GoogleTranslate(C93, ""en"", ""el"")"),"Θερμοκρασία στο {name} αύριο προς ώρα")</f>
        <v>Θερμοκρασία στο {name} αύριο προς ώρα</v>
      </c>
      <c r="AA93" s="3" t="str">
        <f>IFERROR(__xludf.DUMMYFUNCTION("GoogleTranslate(C93, ""en"", ""iw"")"),"טמפרטורה ב{name} מחר לפי שעה")</f>
        <v>טמפרטורה ב{name} מחר לפי שעה</v>
      </c>
      <c r="AB93" s="3" t="str">
        <f>IFERROR(__xludf.DUMMYFUNCTION("GoogleTranslate(C93, ""en"", ""hi"")"),"कल {नाम} में तापमान घंटे के हिसाब से")</f>
        <v>कल {नाम} में तापमान घंटे के हिसाब से</v>
      </c>
      <c r="AC93" s="3" t="str">
        <f>IFERROR(__xludf.DUMMYFUNCTION("GoogleTranslate(C93, ""en"", ""hu"")"),"Hőmérséklet holnap: {name}")</f>
        <v>Hőmérséklet holnap: {name}</v>
      </c>
      <c r="AD93" s="3" t="str">
        <f>IFERROR(__xludf.DUMMYFUNCTION("GoogleTranslate(C93, ""en"", ""is"")"),"Hiti í {name} á morgun eftir klukkustund")</f>
        <v>Hiti í {name} á morgun eftir klukkustund</v>
      </c>
      <c r="AE93" s="3" t="str">
        <f>IFERROR(__xludf.DUMMYFUNCTION("GoogleTranslate(C93, ""en"", ""id"")"),"Suhu di {name} besok per jam")</f>
        <v>Suhu di {name} besok per jam</v>
      </c>
      <c r="AF93" s="3" t="str">
        <f>IFERROR(__xludf.DUMMYFUNCTION("GoogleTranslate(C93, ""en"", ""in"")"),"Suhu di {name} besok per jam")</f>
        <v>Suhu di {name} besok per jam</v>
      </c>
      <c r="AG93" s="3" t="str">
        <f>IFERROR(__xludf.DUMMYFUNCTION("GoogleTranslate(C93, ""en"", ""it"")"),"Temperatura a {name} domani ogni ora")</f>
        <v>Temperatura a {name} domani ogni ora</v>
      </c>
      <c r="AH93" s="3" t="str">
        <f>IFERROR(__xludf.DUMMYFUNCTION("GoogleTranslate(C93, ""en"", ""ja"")"),"明日の{name}の時間別気温")</f>
        <v>明日の{name}の時間別気温</v>
      </c>
      <c r="AI93" s="3" t="str">
        <f>IFERROR(__xludf.DUMMYFUNCTION("GoogleTranslate(C93, ""en"", ""kn"")"),"ನಾಳೆ {name} ನಲ್ಲಿ ತಾಪಮಾನವು ಗಂಟೆಗೆ")</f>
        <v>ನಾಳೆ {name} ನಲ್ಲಿ ತಾಪಮಾನವು ಗಂಟೆಗೆ</v>
      </c>
      <c r="AJ93" s="3" t="str">
        <f>IFERROR(__xludf.DUMMYFUNCTION("GoogleTranslate(C93, ""en"", ""km"")"),"សីតុណ្ហភាពក្នុង {name} ថ្ងៃស្អែកតាមម៉ោង")</f>
        <v>សីតុណ្ហភាពក្នុង {name} ថ្ងៃស្អែកតាមម៉ោង</v>
      </c>
      <c r="AK93" s="3" t="str">
        <f>IFERROR(__xludf.DUMMYFUNCTION("GoogleTranslate(C93, ""en"", ""ko"")"),"내일 {name}의 시간별 기온")</f>
        <v>내일 {name}의 시간별 기온</v>
      </c>
      <c r="AL93" s="3" t="str">
        <f>IFERROR(__xludf.DUMMYFUNCTION("GoogleTranslate(C93, ""en"", ""lo"")"),"ອຸນຫະພູມໃນ {name} ມື້ອື່ນໂດຍຊົ່ວໂມງ")</f>
        <v>ອຸນຫະພູມໃນ {name} ມື້ອື່ນໂດຍຊົ່ວໂມງ</v>
      </c>
      <c r="AM93" s="3" t="str">
        <f>IFERROR(__xludf.DUMMYFUNCTION("GoogleTranslate(C93, ""en"", ""lv"")"),"Temperatūra {name} rīt pa stundām")</f>
        <v>Temperatūra {name} rīt pa stundām</v>
      </c>
      <c r="AN93" s="3" t="str">
        <f>IFERROR(__xludf.DUMMYFUNCTION("GoogleTranslate(C93, ""en"", ""lt"")"),"Temperatūra rytoj {name} valandomis")</f>
        <v>Temperatūra rytoj {name} valandomis</v>
      </c>
      <c r="AO93" s="3" t="str">
        <f>IFERROR(__xludf.DUMMYFUNCTION("GoogleTranslate(C93, ""en"", ""mk"")"),"Температура во {name} утре по час")</f>
        <v>Температура во {name} утре по час</v>
      </c>
      <c r="AP93" s="3" t="str">
        <f>IFERROR(__xludf.DUMMYFUNCTION("GoogleTranslate(C93, ""en"", ""ms"")"),"Suhu dalam {name} esok mengikut jam")</f>
        <v>Suhu dalam {name} esok mengikut jam</v>
      </c>
      <c r="AQ93" s="3" t="str">
        <f>IFERROR(__xludf.DUMMYFUNCTION("GoogleTranslate(C93, ""en"", ""ml"")"),"നാളെ {name}-ലെ താപനില മണിക്കൂറിൽ")</f>
        <v>നാളെ {name}-ലെ താപനില മണിക്കൂറിൽ</v>
      </c>
      <c r="AR93" s="3" t="str">
        <f>IFERROR(__xludf.DUMMYFUNCTION("GoogleTranslate(C93, ""en"", ""mr"")"),"उद्या {name} मध्ये तासानुसार तापमान")</f>
        <v>उद्या {name} मध्ये तासानुसार तापमान</v>
      </c>
      <c r="AS93" s="3" t="str">
        <f>IFERROR(__xludf.DUMMYFUNCTION("GoogleTranslate(C93, ""en"", ""mn"")"),"{name}-д маргааш цагийн температур")</f>
        <v>{name}-д маргааш цагийн температур</v>
      </c>
      <c r="AT93" s="3" t="str">
        <f>IFERROR(__xludf.DUMMYFUNCTION("GoogleTranslate(C93, ""en"", ""ne"")"),"भोलि घन्टा अनुसार {name} मा तापक्रम")</f>
        <v>भोलि घन्टा अनुसार {name} मा तापक्रम</v>
      </c>
      <c r="AU93" s="3" t="str">
        <f>IFERROR(__xludf.DUMMYFUNCTION("GoogleTranslate(C93, ""en"", ""nb"")"),"Temperatur i {name} i morgen for time")</f>
        <v>Temperatur i {name} i morgen for time</v>
      </c>
      <c r="AV93" s="3" t="str">
        <f>IFERROR(__xludf.DUMMYFUNCTION("GoogleTranslate(C93, ""en"", ""fa"")"),"دما در {name} فردا به ساعت")</f>
        <v>دما در {name} فردا به ساعت</v>
      </c>
      <c r="AW93" s="3" t="str">
        <f>IFERROR(__xludf.DUMMYFUNCTION("GoogleTranslate(C93, ""en"", ""pl"")"),"Jutro temperatura w {name} według godzin")</f>
        <v>Jutro temperatura w {name} według godzin</v>
      </c>
      <c r="AX93" s="3" t="str">
        <f>IFERROR(__xludf.DUMMYFUNCTION("GoogleTranslate(C93, ""en"", ""pt"")"),"Temperatura em {name} amanhã por hora")</f>
        <v>Temperatura em {name} amanhã por hora</v>
      </c>
      <c r="AY93" s="3" t="str">
        <f>IFERROR(__xludf.DUMMYFUNCTION("GoogleTranslate(C93, ""en"", ""ro"")"),"Temperatura în {name} mâine după oră")</f>
        <v>Temperatura în {name} mâine după oră</v>
      </c>
      <c r="AZ93" s="3" t="str">
        <f>IFERROR(__xludf.DUMMYFUNCTION("GoogleTranslate(C93, ""en"", ""ru"")"),"Температура в {name} завтра по часам")</f>
        <v>Температура в {name} завтра по часам</v>
      </c>
      <c r="BA93" s="3" t="str">
        <f>IFERROR(__xludf.DUMMYFUNCTION("GoogleTranslate(C93, ""en"", ""sr"")"),"Температура у {наме} сутра по сатима")</f>
        <v>Температура у {наме} сутра по сатима</v>
      </c>
      <c r="BB93" s="3" t="str">
        <f>IFERROR(__xludf.DUMMYFUNCTION("GoogleTranslate(C93, ""en"", ""si"")"),"හෙට {name} හි උෂ්ණත්වය පැයෙන් පැය")</f>
        <v>හෙට {name} හි උෂ්ණත්වය පැයෙන් පැය</v>
      </c>
      <c r="BC93" s="3" t="str">
        <f>IFERROR(__xludf.DUMMYFUNCTION("GoogleTranslate(C93, ""en"", ""sk"")"),"Teplota v {name} zajtra o hodinu")</f>
        <v>Teplota v {name} zajtra o hodinu</v>
      </c>
      <c r="BD93" s="3" t="str">
        <f>IFERROR(__xludf.DUMMYFUNCTION("GoogleTranslate(C93, ""en"", ""sl"")"),"Temperatura v {name} jutri po urah")</f>
        <v>Temperatura v {name} jutri po urah</v>
      </c>
      <c r="BE93" s="3" t="str">
        <f>IFERROR(__xludf.DUMMYFUNCTION("GoogleTranslate(C93, ""en"", ""es"")"),"Temperatura en {nombre} mañana por hora")</f>
        <v>Temperatura en {nombre} mañana por hora</v>
      </c>
      <c r="BF93" s="3" t="str">
        <f>IFERROR(__xludf.DUMMYFUNCTION("GoogleTranslate(C93, ""en"", ""sw"")"),"Halijoto katika {name} kesho kwa saa")</f>
        <v>Halijoto katika {name} kesho kwa saa</v>
      </c>
      <c r="BG93" s="3" t="str">
        <f>IFERROR(__xludf.DUMMYFUNCTION("GoogleTranslate(C93, ""en"", ""sv"")"),"Temperatur i {name} i morgon för timme")</f>
        <v>Temperatur i {name} i morgon för timme</v>
      </c>
      <c r="BH93" s="3" t="str">
        <f>IFERROR(__xludf.DUMMYFUNCTION("GoogleTranslate(C93, ""en"", ""te"")"),"రేపు {name}లో ఉష్ణోగ్రత గంట వారీగా")</f>
        <v>రేపు {name}లో ఉష్ణోగ్రత గంట వారీగా</v>
      </c>
      <c r="BI93" s="3" t="str">
        <f>IFERROR(__xludf.DUMMYFUNCTION("GoogleTranslate(C93, ""en"", ""th"")"),"อุณหภูมิใน {name} พรุ่งนี้รายชั่วโมง")</f>
        <v>อุณหภูมิใน {name} พรุ่งนี้รายชั่วโมง</v>
      </c>
      <c r="BJ93" s="3" t="str">
        <f>IFERROR(__xludf.DUMMYFUNCTION("GoogleTranslate(C93, ""en"", ""tr"")"),"{name}'de yarın saat bazında sıcaklık")</f>
        <v>{name}'de yarın saat bazında sıcaklık</v>
      </c>
      <c r="BK93" s="3" t="str">
        <f>IFERROR(__xludf.DUMMYFUNCTION("GoogleTranslate(C93, ""en"", ""uk"")"),"Температура в {name} завтра по годинах")</f>
        <v>Температура в {name} завтра по годинах</v>
      </c>
      <c r="BL93" s="3" t="str">
        <f>IFERROR(__xludf.DUMMYFUNCTION("GoogleTranslate(C93, ""en"", ""zu"")"),"Izinga lokushisa e-{name} kusasa ngehora")</f>
        <v>Izinga lokushisa e-{name} kusasa ngehora</v>
      </c>
    </row>
    <row r="94">
      <c r="A94" s="1" t="str">
        <f t="shared" si="1"/>
        <v>Uv_index_{name}_tomorrow_hourly</v>
      </c>
      <c r="B94" s="4" t="s">
        <v>152</v>
      </c>
      <c r="C94" s="1" t="str">
        <f t="shared" si="2"/>
        <v>Uv index {name} tomorrow hourly</v>
      </c>
      <c r="D94" s="3" t="str">
        <f>IFERROR(__xludf.DUMMYFUNCTION("GoogleTranslate(C94, ""en"", ""es"")"),"Índice ultravioleta {nombre} mañana cada hora")</f>
        <v>Índice ultravioleta {nombre} mañana cada hora</v>
      </c>
      <c r="E94" s="3" t="str">
        <f>IFERROR(__xludf.DUMMYFUNCTION("GoogleTranslate(C94, ""en"", ""ar"")"),"مؤشر الأشعة فوق البنفسجية {الاسم} غدًا كل ساعة")</f>
        <v>مؤشر الأشعة فوق البنفسجية {الاسم} غدًا كل ساعة</v>
      </c>
      <c r="F94" s="3" t="str">
        <f>IFERROR(__xludf.DUMMYFUNCTION("GoogleTranslate(C94, ""en"", ""hy"")"),"Ուլտրամանուշակագույն ինդեքս {name} վաղը ամեն ժամ")</f>
        <v>Ուլտրամանուշակագույն ինդեքս {name} վաղը ամեն ժամ</v>
      </c>
      <c r="G94" s="3" t="str">
        <f>IFERROR(__xludf.DUMMYFUNCTION("GoogleTranslate(C94, ""en"", ""vi"")"),"Chỉ số Uv {name} ngày mai hàng giờ")</f>
        <v>Chỉ số Uv {name} ngày mai hàng giờ</v>
      </c>
      <c r="H94" s="3" t="str">
        <f>IFERROR(__xludf.DUMMYFUNCTION("GoogleTranslate(C94, ""en"", ""az"")"),"Sabah saatlıq UV indeksi {name}")</f>
        <v>Sabah saatlıq UV indeksi {name}</v>
      </c>
      <c r="I94" s="3" t="str">
        <f>IFERROR(__xludf.DUMMYFUNCTION("GoogleTranslate(C94, ""en"", ""eu"")"),"Uv indizea {izena} bihar orduro")</f>
        <v>Uv indizea {izena} bihar orduro</v>
      </c>
      <c r="J94" s="3" t="str">
        <f>IFERROR(__xludf.DUMMYFUNCTION("GoogleTranslate(C94, ""en"", ""be"")"),"УФ-індэкс {імя} заўтра кожную гадзіну")</f>
        <v>УФ-індэкс {імя} заўтра кожную гадзіну</v>
      </c>
      <c r="K94" s="3" t="str">
        <f>IFERROR(__xludf.DUMMYFUNCTION("GoogleTranslate(C94, ""en"", ""bn"")"),"Uv সূচক {name} আগামীকাল প্রতি ঘণ্টায়")</f>
        <v>Uv সূচক {name} আগামীকাল প্রতি ঘণ্টায়</v>
      </c>
      <c r="L94" s="3" t="str">
        <f>IFERROR(__xludf.DUMMYFUNCTION("GoogleTranslate(C94, ""en"", ""bg"")"),"Uv индекс {name} утре на всеки час")</f>
        <v>Uv индекс {name} утре на всеки час</v>
      </c>
      <c r="M94" s="3" t="str">
        <f>IFERROR(__xludf.DUMMYFUNCTION("GoogleTranslate(C94, ""en"", ""my"")"),"Uv အညွှန်း {name} မနက်ဖြန် နာရီတိုင်း")</f>
        <v>Uv အညွှန်း {name} မနက်ဖြန် နာရီတိုင်း</v>
      </c>
      <c r="N94" s="3" t="str">
        <f>IFERROR(__xludf.DUMMYFUNCTION("GoogleTranslate(C94, ""en"", ""ca"")"),"Índex UV {nom} demà cada hora")</f>
        <v>Índex UV {nom} demà cada hora</v>
      </c>
      <c r="O94" s="3" t="str">
        <f>IFERROR(__xludf.DUMMYFUNCTION("GoogleTranslate(C94, ""en"", ""zh-cn"")"),"紫外线指数 {name} 明天每小时")</f>
        <v>紫外线指数 {name} 明天每小时</v>
      </c>
      <c r="P94" s="3" t="str">
        <f>IFERROR(__xludf.DUMMYFUNCTION("GoogleTranslate(C94, ""en"", ""zh-TW"")"),"紫外線指數 {name} 明天每小時")</f>
        <v>紫外線指數 {name} 明天每小時</v>
      </c>
      <c r="Q94" s="3" t="str">
        <f>IFERROR(__xludf.DUMMYFUNCTION("GoogleTranslate(C94, ""en"", ""hr"")"),"Uv indeks {name} sutra svakog sata")</f>
        <v>Uv indeks {name} sutra svakog sata</v>
      </c>
      <c r="R94" s="3" t="str">
        <f>IFERROR(__xludf.DUMMYFUNCTION("GoogleTranslate(C94, ""en"", ""cs"")"),"UV index {name} zítra každou hodinu")</f>
        <v>UV index {name} zítra každou hodinu</v>
      </c>
      <c r="S94" s="3" t="str">
        <f>IFERROR(__xludf.DUMMYFUNCTION("GoogleTranslate(C94, ""en"", ""da"")"),"Uv-indeks {name} i morgen hver time")</f>
        <v>Uv-indeks {name} i morgen hver time</v>
      </c>
      <c r="T94" s="3" t="str">
        <f>IFERROR(__xludf.DUMMYFUNCTION("GoogleTranslate(C94, ""en"", ""nl"")"),"Uv-index {naam} morgen elk uur")</f>
        <v>Uv-index {naam} morgen elk uur</v>
      </c>
      <c r="U94" s="3" t="str">
        <f>IFERROR(__xludf.DUMMYFUNCTION("GoogleTranslate(C94, ""en"", ""et"")"),"UV-indeks {name} homme tunnis")</f>
        <v>UV-indeks {name} homme tunnis</v>
      </c>
      <c r="V94" s="1" t="str">
        <f t="shared" si="3"/>
        <v>Uv index {name} tomorrow hourly</v>
      </c>
      <c r="W94" s="3" t="str">
        <f>IFERROR(__xludf.DUMMYFUNCTION("GoogleTranslate(C94, ""en"", ""fi"")"),"UV-indeksi {name} huomenna tunnin välein")</f>
        <v>UV-indeksi {name} huomenna tunnin välein</v>
      </c>
      <c r="X94" s="3" t="str">
        <f>IFERROR(__xludf.DUMMYFUNCTION("GoogleTranslate(C94, ""en"", ""fr"")"),"Indice Uv {name} demain horaire")</f>
        <v>Indice Uv {name} demain horaire</v>
      </c>
      <c r="Y94" s="3" t="str">
        <f>IFERROR(__xludf.DUMMYFUNCTION("GoogleTranslate(C94, ""en"", ""de"")"),"UV-Index {Name} morgen stündlich")</f>
        <v>UV-Index {Name} morgen stündlich</v>
      </c>
      <c r="Z94" s="3" t="str">
        <f>IFERROR(__xludf.DUMMYFUNCTION("GoogleTranslate(C94, ""en"", ""el"")"),"Ευρετήριο UV {name} αύριο κάθε ώρα")</f>
        <v>Ευρετήριο UV {name} αύριο κάθε ώρα</v>
      </c>
      <c r="AA94" s="3" t="str">
        <f>IFERROR(__xludf.DUMMYFUNCTION("GoogleTranslate(C94, ""en"", ""iw"")"),"אינדקס UV {name} מחר לפי שעה")</f>
        <v>אינדקס UV {name} מחר לפי שעה</v>
      </c>
      <c r="AB94" s="3" t="str">
        <f>IFERROR(__xludf.DUMMYFUNCTION("GoogleTranslate(C94, ""en"", ""hi"")"),"यूवी सूचकांक {नाम} कल प्रति घंटा")</f>
        <v>यूवी सूचकांक {नाम} कल प्रति घंटा</v>
      </c>
      <c r="AC94" s="3" t="str">
        <f>IFERROR(__xludf.DUMMYFUNCTION("GoogleTranslate(C94, ""en"", ""hu"")"),"Uv index {name} holnap óránként")</f>
        <v>Uv index {name} holnap óránként</v>
      </c>
      <c r="AD94" s="3" t="str">
        <f>IFERROR(__xludf.DUMMYFUNCTION("GoogleTranslate(C94, ""en"", ""is"")"),"UV vísitala {name} á morgun á klukkutíma fresti")</f>
        <v>UV vísitala {name} á morgun á klukkutíma fresti</v>
      </c>
      <c r="AE94" s="3" t="str">
        <f>IFERROR(__xludf.DUMMYFUNCTION("GoogleTranslate(C94, ""en"", ""id"")"),"Indeks UV {name} besok setiap jam")</f>
        <v>Indeks UV {name} besok setiap jam</v>
      </c>
      <c r="AF94" s="3" t="str">
        <f>IFERROR(__xludf.DUMMYFUNCTION("GoogleTranslate(C94, ""en"", ""in"")"),"Indeks UV {name} besok setiap jam")</f>
        <v>Indeks UV {name} besok setiap jam</v>
      </c>
      <c r="AG94" s="3" t="str">
        <f>IFERROR(__xludf.DUMMYFUNCTION("GoogleTranslate(C94, ""en"", ""it"")"),"Indice Uv {nome} domani ogni ora")</f>
        <v>Indice Uv {nome} domani ogni ora</v>
      </c>
      <c r="AH94" s="3" t="str">
        <f>IFERROR(__xludf.DUMMYFUNCTION("GoogleTranslate(C94, ""en"", ""ja"")"),"明日の紫外線指数 {name} の時間別")</f>
        <v>明日の紫外線指数 {name} の時間別</v>
      </c>
      <c r="AI94" s="3" t="str">
        <f>IFERROR(__xludf.DUMMYFUNCTION("GoogleTranslate(C94, ""en"", ""kn"")"),"ಯುವಿ ಸೂಚ್ಯಂಕ {name} ನಾಳೆ ಗಂಟೆಗೆ")</f>
        <v>ಯುವಿ ಸೂಚ್ಯಂಕ {name} ನಾಳೆ ಗಂಟೆಗೆ</v>
      </c>
      <c r="AJ94" s="3" t="str">
        <f>IFERROR(__xludf.DUMMYFUNCTION("GoogleTranslate(C94, ""en"", ""km"")"),"Uv index {name} ថ្ងៃស្អែករៀងរាល់ម៉ោង")</f>
        <v>Uv index {name} ថ្ងៃស្អែករៀងរាល់ម៉ោង</v>
      </c>
      <c r="AK94" s="3" t="str">
        <f>IFERROR(__xludf.DUMMYFUNCTION("GoogleTranslate(C94, ""en"", ""ko"")"),"자외선 지수 {name} 내일 시간별")</f>
        <v>자외선 지수 {name} 내일 시간별</v>
      </c>
      <c r="AL94" s="3" t="str">
        <f>IFERROR(__xludf.DUMMYFUNCTION("GoogleTranslate(C94, ""en"", ""lo"")"),"Uv index {name} ມື້ອື່ນທຸກຊົ່ວໂມງ")</f>
        <v>Uv index {name} ມື້ອື່ນທຸກຊົ່ວໂມງ</v>
      </c>
      <c r="AM94" s="3" t="str">
        <f>IFERROR(__xludf.DUMMYFUNCTION("GoogleTranslate(C94, ""en"", ""lv"")"),"UV indekss {name} rīt reizi stundā")</f>
        <v>UV indekss {name} rīt reizi stundā</v>
      </c>
      <c r="AN94" s="3" t="str">
        <f>IFERROR(__xludf.DUMMYFUNCTION("GoogleTranslate(C94, ""en"", ""lt"")"),"UV indeksas {name} rytoj kas valandą")</f>
        <v>UV indeksas {name} rytoj kas valandą</v>
      </c>
      <c r="AO94" s="3" t="str">
        <f>IFERROR(__xludf.DUMMYFUNCTION("GoogleTranslate(C94, ""en"", ""mk"")"),"УВ индекс {име} утре секој час")</f>
        <v>УВ индекс {име} утре секој час</v>
      </c>
      <c r="AP94" s="3" t="str">
        <f>IFERROR(__xludf.DUMMYFUNCTION("GoogleTranslate(C94, ""en"", ""ms"")"),"Indeks UV {nama} esok setiap jam")</f>
        <v>Indeks UV {nama} esok setiap jam</v>
      </c>
      <c r="AQ94" s="3" t="str">
        <f>IFERROR(__xludf.DUMMYFUNCTION("GoogleTranslate(C94, ""en"", ""ml"")"),"Uv സൂചിക {name} നാളെ മണിക്കൂർ തോറും")</f>
        <v>Uv സൂചിക {name} നാളെ മണിക്കൂർ തോറും</v>
      </c>
      <c r="AR94" s="3" t="str">
        <f>IFERROR(__xludf.DUMMYFUNCTION("GoogleTranslate(C94, ""en"", ""mr"")"),"Uv इंडेक्स {name} उद्या तासाला")</f>
        <v>Uv इंडेक्स {name} उद्या तासाला</v>
      </c>
      <c r="AS94" s="3" t="str">
        <f>IFERROR(__xludf.DUMMYFUNCTION("GoogleTranslate(C94, ""en"", ""mn"")"),"Маргааш цаг тутамд UV индекс {name}")</f>
        <v>Маргааш цаг тутамд UV индекс {name}</v>
      </c>
      <c r="AT94" s="3" t="str">
        <f>IFERROR(__xludf.DUMMYFUNCTION("GoogleTranslate(C94, ""en"", ""ne"")"),"Uv अनुक्रमणिका {name} भोलि प्रति घण्टा")</f>
        <v>Uv अनुक्रमणिका {name} भोलि प्रति घण्टा</v>
      </c>
      <c r="AU94" s="3" t="str">
        <f>IFERROR(__xludf.DUMMYFUNCTION("GoogleTranslate(C94, ""en"", ""nb"")"),"Uv-indeks {name} i morgen hver time")</f>
        <v>Uv-indeks {name} i morgen hver time</v>
      </c>
      <c r="AV94" s="3" t="str">
        <f>IFERROR(__xludf.DUMMYFUNCTION("GoogleTranslate(C94, ""en"", ""fa"")"),"شاخص Uv {name} فردا هر ساعت")</f>
        <v>شاخص Uv {name} فردا هر ساعت</v>
      </c>
      <c r="AW94" s="3" t="str">
        <f>IFERROR(__xludf.DUMMYFUNCTION("GoogleTranslate(C94, ""en"", ""pl"")"),"Indeks UV {name} jutro co godzinę")</f>
        <v>Indeks UV {name} jutro co godzinę</v>
      </c>
      <c r="AX94" s="3" t="str">
        <f>IFERROR(__xludf.DUMMYFUNCTION("GoogleTranslate(C94, ""en"", ""pt"")"),"Índice UV {nome} amanhã de hora em hora")</f>
        <v>Índice UV {nome} amanhã de hora em hora</v>
      </c>
      <c r="AY94" s="3" t="str">
        <f>IFERROR(__xludf.DUMMYFUNCTION("GoogleTranslate(C94, ""en"", ""ro"")"),"Index UV {name} mâine la oră")</f>
        <v>Index UV {name} mâine la oră</v>
      </c>
      <c r="AZ94" s="3" t="str">
        <f>IFERROR(__xludf.DUMMYFUNCTION("GoogleTranslate(C94, ""en"", ""ru"")"),"УФ-индекс {имя} завтра каждый час")</f>
        <v>УФ-индекс {имя} завтра каждый час</v>
      </c>
      <c r="BA94" s="3" t="str">
        <f>IFERROR(__xludf.DUMMYFUNCTION("GoogleTranslate(C94, ""en"", ""sr"")"),"УВ индекс {наме} сутра сваког сата")</f>
        <v>УВ индекс {наме} сутра сваког сата</v>
      </c>
      <c r="BB94" s="3" t="str">
        <f>IFERROR(__xludf.DUMMYFUNCTION("GoogleTranslate(C94, ""en"", ""si"")"),"Uv දර්ශකය {name} හෙට පැයකට")</f>
        <v>Uv දර්ශකය {name} හෙට පැයකට</v>
      </c>
      <c r="BC94" s="3" t="str">
        <f>IFERROR(__xludf.DUMMYFUNCTION("GoogleTranslate(C94, ""en"", ""sk"")"),"UV index {name} zajtra každú hodinu")</f>
        <v>UV index {name} zajtra každú hodinu</v>
      </c>
      <c r="BD94" s="3" t="str">
        <f>IFERROR(__xludf.DUMMYFUNCTION("GoogleTranslate(C94, ""en"", ""sl"")"),"Uv indeks {name} jutri vsako uro")</f>
        <v>Uv indeks {name} jutri vsako uro</v>
      </c>
      <c r="BE94" s="3" t="str">
        <f>IFERROR(__xludf.DUMMYFUNCTION("GoogleTranslate(C94, ""en"", ""es"")"),"Índice ultravioleta {nombre} mañana cada hora")</f>
        <v>Índice ultravioleta {nombre} mañana cada hora</v>
      </c>
      <c r="BF94" s="3" t="str">
        <f>IFERROR(__xludf.DUMMYFUNCTION("GoogleTranslate(C94, ""en"", ""sw"")"),"Uv index {name} kesho kila saa")</f>
        <v>Uv index {name} kesho kila saa</v>
      </c>
      <c r="BG94" s="3" t="str">
        <f>IFERROR(__xludf.DUMMYFUNCTION("GoogleTranslate(C94, ""en"", ""sv"")"),"Uv-index {name} i morgon varje timme")</f>
        <v>Uv-index {name} i morgon varje timme</v>
      </c>
      <c r="BH94" s="3" t="str">
        <f>IFERROR(__xludf.DUMMYFUNCTION("GoogleTranslate(C94, ""en"", ""te"")"),"Uv సూచిక {name} రేపు గంటకు")</f>
        <v>Uv సూచిక {name} రేపు గంటకు</v>
      </c>
      <c r="BI94" s="3" t="str">
        <f>IFERROR(__xludf.DUMMYFUNCTION("GoogleTranslate(C94, ""en"", ""th"")"),"ดัชนี UV {name} พรุ่งนี้ ทุกชั่วโมง")</f>
        <v>ดัชนี UV {name} พรุ่งนี้ ทุกชั่วโมง</v>
      </c>
      <c r="BJ94" s="3" t="str">
        <f>IFERROR(__xludf.DUMMYFUNCTION("GoogleTranslate(C94, ""en"", ""tr"")"),"UV indeksi {name} yarın saatlik")</f>
        <v>UV indeksi {name} yarın saatlik</v>
      </c>
      <c r="BK94" s="3" t="str">
        <f>IFERROR(__xludf.DUMMYFUNCTION("GoogleTranslate(C94, ""en"", ""uk"")"),"УФ-індекс {name} завтра щогодини")</f>
        <v>УФ-індекс {name} завтра щогодини</v>
      </c>
      <c r="BL94" s="3" t="str">
        <f>IFERROR(__xludf.DUMMYFUNCTION("GoogleTranslate(C94, ""en"", ""zu"")"),"Inkomba ye-Uv {name} kusasa njalo ngehora")</f>
        <v>Inkomba ye-Uv {name} kusasa njalo ngehora</v>
      </c>
    </row>
    <row r="95">
      <c r="A95" s="1" t="str">
        <f t="shared" si="1"/>
        <v>Short</v>
      </c>
      <c r="B95" s="4" t="s">
        <v>153</v>
      </c>
      <c r="C95" s="1" t="str">
        <f t="shared" si="2"/>
        <v>Short</v>
      </c>
      <c r="D95" s="3" t="str">
        <f>IFERROR(__xludf.DUMMYFUNCTION("GoogleTranslate(C95, ""en"", ""es"")"),"Corto")</f>
        <v>Corto</v>
      </c>
      <c r="E95" s="3" t="str">
        <f>IFERROR(__xludf.DUMMYFUNCTION("GoogleTranslate(C95, ""en"", ""ar"")"),"قصير")</f>
        <v>قصير</v>
      </c>
      <c r="F95" s="3" t="str">
        <f>IFERROR(__xludf.DUMMYFUNCTION("GoogleTranslate(C95, ""en"", ""hy"")"),"Կարճ")</f>
        <v>Կարճ</v>
      </c>
      <c r="G95" s="3" t="str">
        <f>IFERROR(__xludf.DUMMYFUNCTION("GoogleTranslate(C95, ""en"", ""vi"")"),"Ngắn")</f>
        <v>Ngắn</v>
      </c>
      <c r="H95" s="3" t="str">
        <f>IFERROR(__xludf.DUMMYFUNCTION("GoogleTranslate(C95, ""en"", ""az"")"),"Qısa")</f>
        <v>Qısa</v>
      </c>
      <c r="I95" s="3" t="str">
        <f>IFERROR(__xludf.DUMMYFUNCTION("GoogleTranslate(C95, ""en"", ""eu"")"),"Laburra")</f>
        <v>Laburra</v>
      </c>
      <c r="J95" s="3" t="str">
        <f>IFERROR(__xludf.DUMMYFUNCTION("GoogleTranslate(C95, ""en"", ""be"")"),"Кароткі")</f>
        <v>Кароткі</v>
      </c>
      <c r="K95" s="3" t="str">
        <f>IFERROR(__xludf.DUMMYFUNCTION("GoogleTranslate(C95, ""en"", ""bn"")"),"সংক্ষিপ্ত")</f>
        <v>সংক্ষিপ্ত</v>
      </c>
      <c r="L95" s="3" t="str">
        <f>IFERROR(__xludf.DUMMYFUNCTION("GoogleTranslate(C95, ""en"", ""bg"")"),"Кратко")</f>
        <v>Кратко</v>
      </c>
      <c r="M95" s="3" t="str">
        <f>IFERROR(__xludf.DUMMYFUNCTION("GoogleTranslate(C95, ""en"", ""my"")"),"တိုတို")</f>
        <v>တိုတို</v>
      </c>
      <c r="N95" s="3" t="str">
        <f>IFERROR(__xludf.DUMMYFUNCTION("GoogleTranslate(C95, ""en"", ""ca"")"),"Curta")</f>
        <v>Curta</v>
      </c>
      <c r="O95" s="3" t="str">
        <f>IFERROR(__xludf.DUMMYFUNCTION("GoogleTranslate(C95, ""en"", ""zh-cn"")"),"短的")</f>
        <v>短的</v>
      </c>
      <c r="P95" s="3" t="str">
        <f>IFERROR(__xludf.DUMMYFUNCTION("GoogleTranslate(C95, ""en"", ""zh-TW"")"),"短的")</f>
        <v>短的</v>
      </c>
      <c r="Q95" s="3" t="str">
        <f>IFERROR(__xludf.DUMMYFUNCTION("GoogleTranslate(C95, ""en"", ""hr"")"),"Kratak")</f>
        <v>Kratak</v>
      </c>
      <c r="R95" s="3" t="str">
        <f>IFERROR(__xludf.DUMMYFUNCTION("GoogleTranslate(C95, ""en"", ""cs"")"),"Krátký")</f>
        <v>Krátký</v>
      </c>
      <c r="S95" s="3" t="str">
        <f>IFERROR(__xludf.DUMMYFUNCTION("GoogleTranslate(C95, ""en"", ""da"")"),"Kort")</f>
        <v>Kort</v>
      </c>
      <c r="T95" s="3" t="str">
        <f>IFERROR(__xludf.DUMMYFUNCTION("GoogleTranslate(C95, ""en"", ""nl"")"),"Kort")</f>
        <v>Kort</v>
      </c>
      <c r="U95" s="3" t="str">
        <f>IFERROR(__xludf.DUMMYFUNCTION("GoogleTranslate(C95, ""en"", ""et"")"),"Lühike")</f>
        <v>Lühike</v>
      </c>
      <c r="V95" s="1" t="str">
        <f t="shared" si="3"/>
        <v>Short</v>
      </c>
      <c r="W95" s="3" t="str">
        <f>IFERROR(__xludf.DUMMYFUNCTION("GoogleTranslate(C95, ""en"", ""fi"")"),"Lyhyt")</f>
        <v>Lyhyt</v>
      </c>
      <c r="X95" s="3" t="str">
        <f>IFERROR(__xludf.DUMMYFUNCTION("GoogleTranslate(C95, ""en"", ""fr"")"),"Court")</f>
        <v>Court</v>
      </c>
      <c r="Y95" s="3" t="str">
        <f>IFERROR(__xludf.DUMMYFUNCTION("GoogleTranslate(C95, ""en"", ""de"")"),"Kurz")</f>
        <v>Kurz</v>
      </c>
      <c r="Z95" s="3" t="str">
        <f>IFERROR(__xludf.DUMMYFUNCTION("GoogleTranslate(C95, ""en"", ""el"")"),"Μικρός")</f>
        <v>Μικρός</v>
      </c>
      <c r="AA95" s="3" t="str">
        <f>IFERROR(__xludf.DUMMYFUNCTION("GoogleTranslate(C95, ""en"", ""iw"")"),"קָצָר")</f>
        <v>קָצָר</v>
      </c>
      <c r="AB95" s="3" t="str">
        <f>IFERROR(__xludf.DUMMYFUNCTION("GoogleTranslate(C95, ""en"", ""hi"")"),"छोटा")</f>
        <v>छोटा</v>
      </c>
      <c r="AC95" s="3" t="str">
        <f>IFERROR(__xludf.DUMMYFUNCTION("GoogleTranslate(C95, ""en"", ""hu"")"),"Rövid")</f>
        <v>Rövid</v>
      </c>
      <c r="AD95" s="3" t="str">
        <f>IFERROR(__xludf.DUMMYFUNCTION("GoogleTranslate(C95, ""en"", ""is"")"),"Stutt")</f>
        <v>Stutt</v>
      </c>
      <c r="AE95" s="3" t="str">
        <f>IFERROR(__xludf.DUMMYFUNCTION("GoogleTranslate(C95, ""en"", ""id"")"),"Pendek")</f>
        <v>Pendek</v>
      </c>
      <c r="AF95" s="3" t="str">
        <f>IFERROR(__xludf.DUMMYFUNCTION("GoogleTranslate(C95, ""en"", ""in"")"),"Pendek")</f>
        <v>Pendek</v>
      </c>
      <c r="AG95" s="3" t="str">
        <f>IFERROR(__xludf.DUMMYFUNCTION("GoogleTranslate(C95, ""en"", ""it"")"),"Corto")</f>
        <v>Corto</v>
      </c>
      <c r="AH95" s="3" t="str">
        <f>IFERROR(__xludf.DUMMYFUNCTION("GoogleTranslate(C95, ""en"", ""ja"")"),"短い")</f>
        <v>短い</v>
      </c>
      <c r="AI95" s="3" t="str">
        <f>IFERROR(__xludf.DUMMYFUNCTION("GoogleTranslate(C95, ""en"", ""kn"")"),"ಚಿಕ್ಕದು")</f>
        <v>ಚಿಕ್ಕದು</v>
      </c>
      <c r="AJ95" s="3" t="str">
        <f>IFERROR(__xludf.DUMMYFUNCTION("GoogleTranslate(C95, ""en"", ""km"")"),"ខ្លី")</f>
        <v>ខ្លី</v>
      </c>
      <c r="AK95" s="3" t="str">
        <f>IFERROR(__xludf.DUMMYFUNCTION("GoogleTranslate(C95, ""en"", ""ko"")"),"짧은")</f>
        <v>짧은</v>
      </c>
      <c r="AL95" s="3" t="str">
        <f>IFERROR(__xludf.DUMMYFUNCTION("GoogleTranslate(C95, ""en"", ""lo"")"),"ສັ້ນ")</f>
        <v>ສັ້ນ</v>
      </c>
      <c r="AM95" s="3" t="str">
        <f>IFERROR(__xludf.DUMMYFUNCTION("GoogleTranslate(C95, ""en"", ""lv"")"),"Īss")</f>
        <v>Īss</v>
      </c>
      <c r="AN95" s="3" t="str">
        <f>IFERROR(__xludf.DUMMYFUNCTION("GoogleTranslate(C95, ""en"", ""lt"")"),"Trumpas")</f>
        <v>Trumpas</v>
      </c>
      <c r="AO95" s="3" t="str">
        <f>IFERROR(__xludf.DUMMYFUNCTION("GoogleTranslate(C95, ""en"", ""mk"")"),"Кратко")</f>
        <v>Кратко</v>
      </c>
      <c r="AP95" s="3" t="str">
        <f>IFERROR(__xludf.DUMMYFUNCTION("GoogleTranslate(C95, ""en"", ""ms"")"),"pendek")</f>
        <v>pendek</v>
      </c>
      <c r="AQ95" s="3" t="str">
        <f>IFERROR(__xludf.DUMMYFUNCTION("GoogleTranslate(C95, ""en"", ""ml"")"),"ചെറുത്")</f>
        <v>ചെറുത്</v>
      </c>
      <c r="AR95" s="3" t="str">
        <f>IFERROR(__xludf.DUMMYFUNCTION("GoogleTranslate(C95, ""en"", ""mr"")"),"लहान")</f>
        <v>लहान</v>
      </c>
      <c r="AS95" s="3" t="str">
        <f>IFERROR(__xludf.DUMMYFUNCTION("GoogleTranslate(C95, ""en"", ""mn"")"),"Богино")</f>
        <v>Богино</v>
      </c>
      <c r="AT95" s="3" t="str">
        <f>IFERROR(__xludf.DUMMYFUNCTION("GoogleTranslate(C95, ""en"", ""ne"")"),"छोटो")</f>
        <v>छोटो</v>
      </c>
      <c r="AU95" s="3" t="str">
        <f>IFERROR(__xludf.DUMMYFUNCTION("GoogleTranslate(C95, ""en"", ""nb"")"),"Kort")</f>
        <v>Kort</v>
      </c>
      <c r="AV95" s="3" t="str">
        <f>IFERROR(__xludf.DUMMYFUNCTION("GoogleTranslate(C95, ""en"", ""fa"")"),"کوتاه")</f>
        <v>کوتاه</v>
      </c>
      <c r="AW95" s="3" t="str">
        <f>IFERROR(__xludf.DUMMYFUNCTION("GoogleTranslate(C95, ""en"", ""pl"")"),"Krótki")</f>
        <v>Krótki</v>
      </c>
      <c r="AX95" s="3" t="str">
        <f>IFERROR(__xludf.DUMMYFUNCTION("GoogleTranslate(C95, ""en"", ""pt"")"),"Curto")</f>
        <v>Curto</v>
      </c>
      <c r="AY95" s="3" t="str">
        <f>IFERROR(__xludf.DUMMYFUNCTION("GoogleTranslate(C95, ""en"", ""ro"")"),"Scurt")</f>
        <v>Scurt</v>
      </c>
      <c r="AZ95" s="3" t="str">
        <f>IFERROR(__xludf.DUMMYFUNCTION("GoogleTranslate(C95, ""en"", ""ru"")"),"Короткий")</f>
        <v>Короткий</v>
      </c>
      <c r="BA95" s="3" t="str">
        <f>IFERROR(__xludf.DUMMYFUNCTION("GoogleTranslate(C95, ""en"", ""sr"")"),"Кратко")</f>
        <v>Кратко</v>
      </c>
      <c r="BB95" s="3" t="str">
        <f>IFERROR(__xludf.DUMMYFUNCTION("GoogleTranslate(C95, ""en"", ""si"")"),"කෙටි")</f>
        <v>කෙටි</v>
      </c>
      <c r="BC95" s="3" t="str">
        <f>IFERROR(__xludf.DUMMYFUNCTION("GoogleTranslate(C95, ""en"", ""sk"")"),"Krátke")</f>
        <v>Krátke</v>
      </c>
      <c r="BD95" s="3" t="str">
        <f>IFERROR(__xludf.DUMMYFUNCTION("GoogleTranslate(C95, ""en"", ""sl"")"),"Kratek")</f>
        <v>Kratek</v>
      </c>
      <c r="BE95" s="3" t="str">
        <f>IFERROR(__xludf.DUMMYFUNCTION("GoogleTranslate(C95, ""en"", ""es"")"),"Corto")</f>
        <v>Corto</v>
      </c>
      <c r="BF95" s="3" t="str">
        <f>IFERROR(__xludf.DUMMYFUNCTION("GoogleTranslate(C95, ""en"", ""sw"")"),"Mfupi")</f>
        <v>Mfupi</v>
      </c>
      <c r="BG95" s="3" t="str">
        <f>IFERROR(__xludf.DUMMYFUNCTION("GoogleTranslate(C95, ""en"", ""sv"")"),"Kort")</f>
        <v>Kort</v>
      </c>
      <c r="BH95" s="3" t="str">
        <f>IFERROR(__xludf.DUMMYFUNCTION("GoogleTranslate(C95, ""en"", ""te"")"),"పొట్టి")</f>
        <v>పొట్టి</v>
      </c>
      <c r="BI95" s="3" t="str">
        <f>IFERROR(__xludf.DUMMYFUNCTION("GoogleTranslate(C95, ""en"", ""th"")"),"สั้น")</f>
        <v>สั้น</v>
      </c>
      <c r="BJ95" s="3" t="str">
        <f>IFERROR(__xludf.DUMMYFUNCTION("GoogleTranslate(C95, ""en"", ""tr"")"),"Kısa")</f>
        <v>Kısa</v>
      </c>
      <c r="BK95" s="3" t="str">
        <f>IFERROR(__xludf.DUMMYFUNCTION("GoogleTranslate(C95, ""en"", ""uk"")"),"Короткий")</f>
        <v>Короткий</v>
      </c>
      <c r="BL95" s="3" t="str">
        <f>IFERROR(__xludf.DUMMYFUNCTION("GoogleTranslate(C95, ""en"", ""zu"")"),"Kufushane")</f>
        <v>Kufushane</v>
      </c>
    </row>
    <row r="96">
      <c r="A96" s="1" t="str">
        <f t="shared" si="1"/>
        <v>Low_UV_levels,_no_need_for_special_protection_when_outdoors.</v>
      </c>
      <c r="B96" s="4" t="s">
        <v>154</v>
      </c>
      <c r="C96" s="1" t="str">
        <f t="shared" si="2"/>
        <v>Low UV levels, no need for special protection when outdoors.</v>
      </c>
      <c r="D96" s="3" t="str">
        <f>IFERROR(__xludf.DUMMYFUNCTION("GoogleTranslate(C96, ""en"", ""es"")"),"Bajos niveles de UV, sin necesidad de protección especial al aire libre.")</f>
        <v>Bajos niveles de UV, sin necesidad de protección especial al aire libre.</v>
      </c>
      <c r="E96" s="3" t="str">
        <f>IFERROR(__xludf.DUMMYFUNCTION("GoogleTranslate(C96, ""en"", ""ar"")"),"مستويات منخفضة من الأشعة فوق البنفسجية، لا حاجة لحماية خاصة عندما تكون في الهواء الطلق.")</f>
        <v>مستويات منخفضة من الأشعة فوق البنفسجية، لا حاجة لحماية خاصة عندما تكون في الهواء الطلق.</v>
      </c>
      <c r="F96" s="3" t="str">
        <f>IFERROR(__xludf.DUMMYFUNCTION("GoogleTranslate(C96, ""en"", ""hy"")"),"Ուլտրամանուշակագույն ճառագայթման ցածր մակարդակ, դրսում հատուկ պաշտպանության կարիք չկա:")</f>
        <v>Ուլտրամանուշակագույն ճառագայթման ցածր մակարդակ, դրսում հատուկ պաշտպանության կարիք չկա:</v>
      </c>
      <c r="G96" s="3" t="str">
        <f>IFERROR(__xludf.DUMMYFUNCTION("GoogleTranslate(C96, ""en"", ""vi"")"),"Mức độ tia cực tím thấp, không cần bảo vệ đặc biệt khi ở ngoài trời.")</f>
        <v>Mức độ tia cực tím thấp, không cần bảo vệ đặc biệt khi ở ngoài trời.</v>
      </c>
      <c r="H96" s="3" t="str">
        <f>IFERROR(__xludf.DUMMYFUNCTION("GoogleTranslate(C96, ""en"", ""az"")"),"Aşağı UV səviyyələri, açıq havada xüsusi qorunmaya ehtiyac yoxdur.")</f>
        <v>Aşağı UV səviyyələri, açıq havada xüsusi qorunmaya ehtiyac yoxdur.</v>
      </c>
      <c r="I96" s="3" t="str">
        <f>IFERROR(__xludf.DUMMYFUNCTION("GoogleTranslate(C96, ""en"", ""eu"")"),"UV maila baxua, ez dago babes berezirik behar kanpoan.")</f>
        <v>UV maila baxua, ez dago babes berezirik behar kanpoan.</v>
      </c>
      <c r="J96" s="3" t="str">
        <f>IFERROR(__xludf.DUMMYFUNCTION("GoogleTranslate(C96, ""en"", ""be"")"),"Нізкі ўзровень ультрафіялету, няма неабходнасці ў спецыяльнай абароне на вуліцы.")</f>
        <v>Нізкі ўзровень ультрафіялету, няма неабходнасці ў спецыяльнай абароне на вуліцы.</v>
      </c>
      <c r="K96" s="3" t="str">
        <f>IFERROR(__xludf.DUMMYFUNCTION("GoogleTranslate(C96, ""en"", ""bn"")"),"নিম্ন UV স্তর, বাইরে যখন বিশেষ সুরক্ষার প্রয়োজন নেই।")</f>
        <v>নিম্ন UV স্তর, বাইরে যখন বিশেষ সুরক্ষার প্রয়োজন নেই।</v>
      </c>
      <c r="L96" s="3" t="str">
        <f>IFERROR(__xludf.DUMMYFUNCTION("GoogleTranslate(C96, ""en"", ""bg"")"),"Ниски UV нива, няма нужда от специална защита, когато сте на открито.")</f>
        <v>Ниски UV нива, няма нужда от специална защита, когато сте на открито.</v>
      </c>
      <c r="M96" s="3" t="str">
        <f>IFERROR(__xludf.DUMMYFUNCTION("GoogleTranslate(C96, ""en"", ""my"")"),"ခရမ်းလွန်ရောင်ခြည်ပါဝင်မှု နည်းပါးသောကြောင့် အပြင်ထွက်သည့်အခါ အထူးကာကွယ်ရန် မလိုအပ်ပါ။")</f>
        <v>ခရမ်းလွန်ရောင်ခြည်ပါဝင်မှု နည်းပါးသောကြောင့် အပြင်ထွက်သည့်အခါ အထူးကာကွယ်ရန် မလိုအပ်ပါ။</v>
      </c>
      <c r="N96" s="3" t="str">
        <f>IFERROR(__xludf.DUMMYFUNCTION("GoogleTranslate(C96, ""en"", ""ca"")"),"Nivells UV baixos, sense necessitat de protecció especial a l'aire lliure.")</f>
        <v>Nivells UV baixos, sense necessitat de protecció especial a l'aire lliure.</v>
      </c>
      <c r="O96" s="3" t="str">
        <f>IFERROR(__xludf.DUMMYFUNCTION("GoogleTranslate(C96, ""en"", ""zh-cn"")"),"紫外线水平低，户外时无需特殊防护。")</f>
        <v>紫外线水平低，户外时无需特殊防护。</v>
      </c>
      <c r="P96" s="3" t="str">
        <f>IFERROR(__xludf.DUMMYFUNCTION("GoogleTranslate(C96, ""en"", ""zh-TW"")"),"紫外線水平低，戶外時無需特殊防護。")</f>
        <v>紫外線水平低，戶外時無需特殊防護。</v>
      </c>
      <c r="Q96" s="3" t="str">
        <f>IFERROR(__xludf.DUMMYFUNCTION("GoogleTranslate(C96, ""en"", ""hr"")"),"Niske razine UV zračenja, nema potrebe za posebnom zaštitom na otvorenom.")</f>
        <v>Niske razine UV zračenja, nema potrebe za posebnom zaštitom na otvorenom.</v>
      </c>
      <c r="R96" s="3" t="str">
        <f>IFERROR(__xludf.DUMMYFUNCTION("GoogleTranslate(C96, ""en"", ""cs"")"),"Nízká hladina UV záření, není potřeba speciální ochrana při venkovním použití.")</f>
        <v>Nízká hladina UV záření, není potřeba speciální ochrana při venkovním použití.</v>
      </c>
      <c r="S96" s="3" t="str">
        <f>IFERROR(__xludf.DUMMYFUNCTION("GoogleTranslate(C96, ""en"", ""da"")"),"Lave UV-niveauer, intet behov for særlig beskyttelse, når du er udendørs.")</f>
        <v>Lave UV-niveauer, intet behov for særlig beskyttelse, når du er udendørs.</v>
      </c>
      <c r="T96" s="3" t="str">
        <f>IFERROR(__xludf.DUMMYFUNCTION("GoogleTranslate(C96, ""en"", ""nl"")"),"Lage UV-niveaus, geen speciale bescherming nodig buitenshuis.")</f>
        <v>Lage UV-niveaus, geen speciale bescherming nodig buitenshuis.</v>
      </c>
      <c r="U96" s="3" t="str">
        <f>IFERROR(__xludf.DUMMYFUNCTION("GoogleTranslate(C96, ""en"", ""et"")"),"Madal UV-tase, ei vaja õues viibides erilist kaitset.")</f>
        <v>Madal UV-tase, ei vaja õues viibides erilist kaitset.</v>
      </c>
      <c r="V96" s="1" t="str">
        <f t="shared" si="3"/>
        <v>Low UV levels, no need for special protection when outdoors.</v>
      </c>
      <c r="W96" s="3" t="str">
        <f>IFERROR(__xludf.DUMMYFUNCTION("GoogleTranslate(C96, ""en"", ""fi"")"),"Matala UV-taso, ei vaadi erityistä suojausta ulkona.")</f>
        <v>Matala UV-taso, ei vaadi erityistä suojausta ulkona.</v>
      </c>
      <c r="X96" s="3" t="str">
        <f>IFERROR(__xludf.DUMMYFUNCTION("GoogleTranslate(C96, ""en"", ""fr"")"),"Faibles niveaux d'UV, pas besoin de protection particulière en extérieur.")</f>
        <v>Faibles niveaux d'UV, pas besoin de protection particulière en extérieur.</v>
      </c>
      <c r="Y96" s="3" t="str">
        <f>IFERROR(__xludf.DUMMYFUNCTION("GoogleTranslate(C96, ""en"", ""de"")"),"Geringe UV-Werte, kein besonderer Schutz im Außenbereich erforderlich.")</f>
        <v>Geringe UV-Werte, kein besonderer Schutz im Außenbereich erforderlich.</v>
      </c>
      <c r="Z96" s="3" t="str">
        <f>IFERROR(__xludf.DUMMYFUNCTION("GoogleTranslate(C96, ""en"", ""el"")"),"Χαμηλά επίπεδα UV, δεν χρειάζεται ειδική προστασία όταν βρίσκεστε σε εξωτερικούς χώρους.")</f>
        <v>Χαμηλά επίπεδα UV, δεν χρειάζεται ειδική προστασία όταν βρίσκεστε σε εξωτερικούς χώρους.</v>
      </c>
      <c r="AA96" s="3" t="str">
        <f>IFERROR(__xludf.DUMMYFUNCTION("GoogleTranslate(C96, ""en"", ""iw"")"),"רמות UV נמוכות, אין צורך בהגנה מיוחדת בחוץ.")</f>
        <v>רמות UV נמוכות, אין צורך בהגנה מיוחדת בחוץ.</v>
      </c>
      <c r="AB96" s="3" t="str">
        <f>IFERROR(__xludf.DUMMYFUNCTION("GoogleTranslate(C96, ""en"", ""hi"")"),"कम यूवी स्तर, बाहर जाने पर विशेष सुरक्षा की आवश्यकता नहीं।")</f>
        <v>कम यूवी स्तर, बाहर जाने पर विशेष सुरक्षा की आवश्यकता नहीं।</v>
      </c>
      <c r="AC96" s="3" t="str">
        <f>IFERROR(__xludf.DUMMYFUNCTION("GoogleTranslate(C96, ""en"", ""hu"")"),"Alacsony UV-szint, nincs szükség különleges védelemre a szabadban.")</f>
        <v>Alacsony UV-szint, nincs szükség különleges védelemre a szabadban.</v>
      </c>
      <c r="AD96" s="3" t="str">
        <f>IFERROR(__xludf.DUMMYFUNCTION("GoogleTranslate(C96, ""en"", ""is"")"),"Lágt UV gildi, engin þörf á sérstakri vernd þegar þú ert utandyra.")</f>
        <v>Lágt UV gildi, engin þörf á sérstakri vernd þegar þú ert utandyra.</v>
      </c>
      <c r="AE96" s="3" t="str">
        <f>IFERROR(__xludf.DUMMYFUNCTION("GoogleTranslate(C96, ""en"", ""id"")"),"Tingkat UV yang rendah, tidak memerlukan perlindungan khusus saat berada di luar ruangan.")</f>
        <v>Tingkat UV yang rendah, tidak memerlukan perlindungan khusus saat berada di luar ruangan.</v>
      </c>
      <c r="AF96" s="3" t="str">
        <f>IFERROR(__xludf.DUMMYFUNCTION("GoogleTranslate(C96, ""en"", ""in"")"),"Tingkat UV yang rendah, tidak memerlukan perlindungan khusus saat berada di luar ruangan.")</f>
        <v>Tingkat UV yang rendah, tidak memerlukan perlindungan khusus saat berada di luar ruangan.</v>
      </c>
      <c r="AG96" s="3" t="str">
        <f>IFERROR(__xludf.DUMMYFUNCTION("GoogleTranslate(C96, ""en"", ""it"")"),"Bassi livelli di UV, non è necessaria una protezione speciale quando si è all'aperto.")</f>
        <v>Bassi livelli di UV, non è necessaria una protezione speciale quando si è all'aperto.</v>
      </c>
      <c r="AH96" s="3" t="str">
        <f>IFERROR(__xludf.DUMMYFUNCTION("GoogleTranslate(C96, ""en"", ""ja"")"),"紫外線レベルが低いため、屋外での特別な保護は必要ありません。")</f>
        <v>紫外線レベルが低いため、屋外での特別な保護は必要ありません。</v>
      </c>
      <c r="AI96" s="3" t="str">
        <f>IFERROR(__xludf.DUMMYFUNCTION("GoogleTranslate(C96, ""en"", ""kn"")"),"ಕಡಿಮೆ UV ಮಟ್ಟಗಳು, ಹೊರಾಂಗಣದಲ್ಲಿ ವಿಶೇಷ ರಕ್ಷಣೆ ಅಗತ್ಯವಿಲ್ಲ.")</f>
        <v>ಕಡಿಮೆ UV ಮಟ್ಟಗಳು, ಹೊರಾಂಗಣದಲ್ಲಿ ವಿಶೇಷ ರಕ್ಷಣೆ ಅಗತ್ಯವಿಲ್ಲ.</v>
      </c>
      <c r="AJ96" s="3" t="str">
        <f>IFERROR(__xludf.DUMMYFUNCTION("GoogleTranslate(C96, ""en"", ""km"")"),"កម្រិតកាំរស្មីយូវីទាប មិនត្រូវការការការពារពិសេសនៅពេលនៅខាងក្រៅ។")</f>
        <v>កម្រិតកាំរស្មីយូវីទាប មិនត្រូវការការការពារពិសេសនៅពេលនៅខាងក្រៅ។</v>
      </c>
      <c r="AK96" s="3" t="str">
        <f>IFERROR(__xludf.DUMMYFUNCTION("GoogleTranslate(C96, ""en"", ""ko"")"),"UV 수준이 낮아 야외에서 특별한 보호가 필요하지 않습니다.")</f>
        <v>UV 수준이 낮아 야외에서 특별한 보호가 필요하지 않습니다.</v>
      </c>
      <c r="AL96" s="3" t="str">
        <f>IFERROR(__xludf.DUMMYFUNCTION("GoogleTranslate(C96, ""en"", ""lo"")"),"ລະດັບ UV ຕ່ໍາ, ບໍ່ຈໍາເປັນຕ້ອງມີການປົກປ້ອງພິເສດໃນເວລາທີ່ຢູ່ນອກ.")</f>
        <v>ລະດັບ UV ຕ່ໍາ, ບໍ່ຈໍາເປັນຕ້ອງມີການປົກປ້ອງພິເສດໃນເວລາທີ່ຢູ່ນອກ.</v>
      </c>
      <c r="AM96" s="3" t="str">
        <f>IFERROR(__xludf.DUMMYFUNCTION("GoogleTranslate(C96, ""en"", ""lv"")"),"Zems UV līmenis, nav nepieciešama īpaša aizsardzība, atrodoties ārpus telpām.")</f>
        <v>Zems UV līmenis, nav nepieciešama īpaša aizsardzība, atrodoties ārpus telpām.</v>
      </c>
      <c r="AN96" s="3" t="str">
        <f>IFERROR(__xludf.DUMMYFUNCTION("GoogleTranslate(C96, ""en"", ""lt"")"),"Žemas UV lygis, nereikia specialios apsaugos lauke.")</f>
        <v>Žemas UV lygis, nereikia specialios apsaugos lauke.</v>
      </c>
      <c r="AO96" s="3" t="str">
        <f>IFERROR(__xludf.DUMMYFUNCTION("GoogleTranslate(C96, ""en"", ""mk"")"),"Ниско ниво на УВ, нема потреба од посебна заштита кога сте на отворено.")</f>
        <v>Ниско ниво на УВ, нема потреба од посебна заштита кога сте на отворено.</v>
      </c>
      <c r="AP96" s="3" t="str">
        <f>IFERROR(__xludf.DUMMYFUNCTION("GoogleTranslate(C96, ""en"", ""ms"")"),"Tahap UV yang rendah, tidak memerlukan perlindungan khas apabila berada di luar rumah.")</f>
        <v>Tahap UV yang rendah, tidak memerlukan perlindungan khas apabila berada di luar rumah.</v>
      </c>
      <c r="AQ96" s="3" t="str">
        <f>IFERROR(__xludf.DUMMYFUNCTION("GoogleTranslate(C96, ""en"", ""ml"")"),"കുറഞ്ഞ അൾട്രാവയലറ്റ് ലെവൽ, ഔട്ട്ഡോർ ആയിരിക്കുമ്പോൾ പ്രത്യേക സംരക്ഷണം ആവശ്യമില്ല.")</f>
        <v>കുറഞ്ഞ അൾട്രാവയലറ്റ് ലെവൽ, ഔട്ട്ഡോർ ആയിരിക്കുമ്പോൾ പ്രത്യേക സംരക്ഷണം ആവശ്യമില്ല.</v>
      </c>
      <c r="AR96" s="3" t="str">
        <f>IFERROR(__xludf.DUMMYFUNCTION("GoogleTranslate(C96, ""en"", ""mr"")"),"कमी अतिनील पातळी, घराबाहेर असताना विशेष संरक्षणाची आवश्यकता नाही.")</f>
        <v>कमी अतिनील पातळी, घराबाहेर असताना विशेष संरक्षणाची आवश्यकता नाही.</v>
      </c>
      <c r="AS96" s="3" t="str">
        <f>IFERROR(__xludf.DUMMYFUNCTION("GoogleTranslate(C96, ""en"", ""mn"")"),"Хэт ягаан туяаны түвшин бага, гадаа байх үед тусгай хамгаалалт шаардлагагүй.")</f>
        <v>Хэт ягаан туяаны түвшин бага, гадаа байх үед тусгай хамгаалалт шаардлагагүй.</v>
      </c>
      <c r="AT96" s="3" t="str">
        <f>IFERROR(__xludf.DUMMYFUNCTION("GoogleTranslate(C96, ""en"", ""ne"")"),"कम UV स्तर, बाहिर जब विशेष सुरक्षा को आवश्यकता छैन।")</f>
        <v>कम UV स्तर, बाहिर जब विशेष सुरक्षा को आवश्यकता छैन।</v>
      </c>
      <c r="AU96" s="3" t="str">
        <f>IFERROR(__xludf.DUMMYFUNCTION("GoogleTranslate(C96, ""en"", ""nb"")"),"Lave UV-nivåer, ikke behov for spesiell beskyttelse når du er utendørs.")</f>
        <v>Lave UV-nivåer, ikke behov for spesiell beskyttelse når du er utendørs.</v>
      </c>
      <c r="AV96" s="3" t="str">
        <f>IFERROR(__xludf.DUMMYFUNCTION("GoogleTranslate(C96, ""en"", ""fa"")"),"سطوح کم اشعه ماوراء بنفش، بدون نیاز به محافظت ویژه در فضای باز.")</f>
        <v>سطوح کم اشعه ماوراء بنفش، بدون نیاز به محافظت ویژه در فضای باز.</v>
      </c>
      <c r="AW96" s="3" t="str">
        <f>IFERROR(__xludf.DUMMYFUNCTION("GoogleTranslate(C96, ""en"", ""pl"")"),"Niski poziom promieniowania UV, nie ma potrzeby stosowania specjalnej ochrony na zewnątrz.")</f>
        <v>Niski poziom promieniowania UV, nie ma potrzeby stosowania specjalnej ochrony na zewnątrz.</v>
      </c>
      <c r="AX96" s="3" t="str">
        <f>IFERROR(__xludf.DUMMYFUNCTION("GoogleTranslate(C96, ""en"", ""pt"")"),"Baixos níveis de UV, sem necessidade de proteção especial ao ar livre.")</f>
        <v>Baixos níveis de UV, sem necessidade de proteção especial ao ar livre.</v>
      </c>
      <c r="AY96" s="3" t="str">
        <f>IFERROR(__xludf.DUMMYFUNCTION("GoogleTranslate(C96, ""en"", ""ro"")"),"Nivele scăzute de UV, nu este nevoie de protecție specială în aer liber.")</f>
        <v>Nivele scăzute de UV, nu este nevoie de protecție specială în aer liber.</v>
      </c>
      <c r="AZ96" s="3" t="str">
        <f>IFERROR(__xludf.DUMMYFUNCTION("GoogleTranslate(C96, ""en"", ""ru"")"),"Низкий уровень ультрафиолета, нет необходимости в специальной защите на открытом воздухе.")</f>
        <v>Низкий уровень ультрафиолета, нет необходимости в специальной защите на открытом воздухе.</v>
      </c>
      <c r="BA96" s="3" t="str">
        <f>IFERROR(__xludf.DUMMYFUNCTION("GoogleTranslate(C96, ""en"", ""sr"")"),"Низак ниво УВ зрачења, нема потребе за посебном заштитом када сте на отвореном.")</f>
        <v>Низак ниво УВ зрачења, нема потребе за посебном заштитом када сте на отвореном.</v>
      </c>
      <c r="BB96" s="3" t="str">
        <f>IFERROR(__xludf.DUMMYFUNCTION("GoogleTranslate(C96, ""en"", ""si"")"),"අඩු UV මට්ටම්, එළිමහනේ සිටින විට විශේෂ ආරක්ෂාවක් අවශ්ය නොවේ.")</f>
        <v>අඩු UV මට්ටම්, එළිමහනේ සිටින විට විශේෂ ආරක්ෂාවක් අවශ්ය නොවේ.</v>
      </c>
      <c r="BC96" s="3" t="str">
        <f>IFERROR(__xludf.DUMMYFUNCTION("GoogleTranslate(C96, ""en"", ""sk"")"),"Nízka úroveň UV žiarenia, nie je potrebná špeciálna ochrana vonku.")</f>
        <v>Nízka úroveň UV žiarenia, nie je potrebná špeciálna ochrana vonku.</v>
      </c>
      <c r="BD96" s="3" t="str">
        <f>IFERROR(__xludf.DUMMYFUNCTION("GoogleTranslate(C96, ""en"", ""sl"")"),"Nizke ravni UV, ni potrebe po posebni zaščiti na prostem.")</f>
        <v>Nizke ravni UV, ni potrebe po posebni zaščiti na prostem.</v>
      </c>
      <c r="BE96" s="3" t="str">
        <f>IFERROR(__xludf.DUMMYFUNCTION("GoogleTranslate(C96, ""en"", ""es"")"),"Bajos niveles de UV, sin necesidad de protección especial al aire libre.")</f>
        <v>Bajos niveles de UV, sin necesidad de protección especial al aire libre.</v>
      </c>
      <c r="BF96" s="3" t="str">
        <f>IFERROR(__xludf.DUMMYFUNCTION("GoogleTranslate(C96, ""en"", ""sw"")"),"Viwango vya chini vya UV, hakuna haja ya ulinzi maalum wakati wa nje.")</f>
        <v>Viwango vya chini vya UV, hakuna haja ya ulinzi maalum wakati wa nje.</v>
      </c>
      <c r="BG96" s="3" t="str">
        <f>IFERROR(__xludf.DUMMYFUNCTION("GoogleTranslate(C96, ""en"", ""sv"")"),"Låga UV-nivåer, inget behov av speciellt skydd när du är utomhus.")</f>
        <v>Låga UV-nivåer, inget behov av speciellt skydd när du är utomhus.</v>
      </c>
      <c r="BH96" s="3" t="str">
        <f>IFERROR(__xludf.DUMMYFUNCTION("GoogleTranslate(C96, ""en"", ""te"")"),"తక్కువ UV స్థాయిలు, ఆరుబయట ఉన్నప్పుడు ప్రత్యేక రక్షణ అవసరం లేదు.")</f>
        <v>తక్కువ UV స్థాయిలు, ఆరుబయట ఉన్నప్పుడు ప్రత్యేక రక్షణ అవసరం లేదు.</v>
      </c>
      <c r="BI96" s="3" t="str">
        <f>IFERROR(__xludf.DUMMYFUNCTION("GoogleTranslate(C96, ""en"", ""th"")"),"ระดับรังสียูวีต่ำ ไม่จำเป็นต้องปกป้องเป็นพิเศษเมื่ออยู่กลางแจ้ง")</f>
        <v>ระดับรังสียูวีต่ำ ไม่จำเป็นต้องปกป้องเป็นพิเศษเมื่ออยู่กลางแจ้ง</v>
      </c>
      <c r="BJ96" s="3" t="str">
        <f>IFERROR(__xludf.DUMMYFUNCTION("GoogleTranslate(C96, ""en"", ""tr"")"),"Düşük UV seviyeleri, dış mekanlarda özel korumaya gerek yoktur.")</f>
        <v>Düşük UV seviyeleri, dış mekanlarda özel korumaya gerek yoktur.</v>
      </c>
      <c r="BK96" s="3" t="str">
        <f>IFERROR(__xludf.DUMMYFUNCTION("GoogleTranslate(C96, ""en"", ""uk"")"),"Низький рівень ультрафіолетового випромінювання, відсутність потреби в спеціальному захисті на вулиці.")</f>
        <v>Низький рівень ультрафіолетового випромінювання, відсутність потреби в спеціальному захисті на вулиці.</v>
      </c>
      <c r="BL96" s="3" t="str">
        <f>IFERROR(__xludf.DUMMYFUNCTION("GoogleTranslate(C96, ""en"", ""zu"")"),"Amaleveli e-UV aphansi, asikho isidingo sokuvikelwa okukhethekile lapho ungaphandle.")</f>
        <v>Amaleveli e-UV aphansi, asikho isidingo sokuvikelwa okukhethekile lapho ungaphandle.</v>
      </c>
    </row>
    <row r="97">
      <c r="A97" s="1" t="str">
        <f t="shared" si="1"/>
        <v>Medium</v>
      </c>
      <c r="B97" s="4" t="s">
        <v>155</v>
      </c>
      <c r="C97" s="1" t="str">
        <f t="shared" si="2"/>
        <v>Medium</v>
      </c>
      <c r="D97" s="3" t="str">
        <f>IFERROR(__xludf.DUMMYFUNCTION("GoogleTranslate(C97, ""en"", ""es"")"),"Medio")</f>
        <v>Medio</v>
      </c>
      <c r="E97" s="3" t="str">
        <f>IFERROR(__xludf.DUMMYFUNCTION("GoogleTranslate(C97, ""en"", ""ar"")"),"واسطة")</f>
        <v>واسطة</v>
      </c>
      <c r="F97" s="3" t="str">
        <f>IFERROR(__xludf.DUMMYFUNCTION("GoogleTranslate(C97, ""en"", ""hy"")"),"Միջին")</f>
        <v>Միջին</v>
      </c>
      <c r="G97" s="3" t="str">
        <f>IFERROR(__xludf.DUMMYFUNCTION("GoogleTranslate(C97, ""en"", ""vi"")"),"Trung bình")</f>
        <v>Trung bình</v>
      </c>
      <c r="H97" s="3" t="str">
        <f>IFERROR(__xludf.DUMMYFUNCTION("GoogleTranslate(C97, ""en"", ""az"")"),"Orta")</f>
        <v>Orta</v>
      </c>
      <c r="I97" s="3" t="str">
        <f>IFERROR(__xludf.DUMMYFUNCTION("GoogleTranslate(C97, ""en"", ""eu"")"),"Ertaina")</f>
        <v>Ertaina</v>
      </c>
      <c r="J97" s="3" t="str">
        <f>IFERROR(__xludf.DUMMYFUNCTION("GoogleTranslate(C97, ""en"", ""be"")"),"Сярэдні")</f>
        <v>Сярэдні</v>
      </c>
      <c r="K97" s="3" t="str">
        <f>IFERROR(__xludf.DUMMYFUNCTION("GoogleTranslate(C97, ""en"", ""bn"")"),"মাঝারি")</f>
        <v>মাঝারি</v>
      </c>
      <c r="L97" s="3" t="str">
        <f>IFERROR(__xludf.DUMMYFUNCTION("GoogleTranslate(C97, ""en"", ""bg"")"),"Среден")</f>
        <v>Среден</v>
      </c>
      <c r="M97" s="3" t="str">
        <f>IFERROR(__xludf.DUMMYFUNCTION("GoogleTranslate(C97, ""en"", ""my"")"),"လတ်")</f>
        <v>လတ်</v>
      </c>
      <c r="N97" s="3" t="str">
        <f>IFERROR(__xludf.DUMMYFUNCTION("GoogleTranslate(C97, ""en"", ""ca"")"),"Mitjana")</f>
        <v>Mitjana</v>
      </c>
      <c r="O97" s="3" t="str">
        <f>IFERROR(__xludf.DUMMYFUNCTION("GoogleTranslate(C97, ""en"", ""zh-cn"")"),"中等的")</f>
        <v>中等的</v>
      </c>
      <c r="P97" s="3" t="str">
        <f>IFERROR(__xludf.DUMMYFUNCTION("GoogleTranslate(C97, ""en"", ""zh-TW"")"),"中等的")</f>
        <v>中等的</v>
      </c>
      <c r="Q97" s="3" t="str">
        <f>IFERROR(__xludf.DUMMYFUNCTION("GoogleTranslate(C97, ""en"", ""hr"")"),"srednje")</f>
        <v>srednje</v>
      </c>
      <c r="R97" s="3" t="str">
        <f>IFERROR(__xludf.DUMMYFUNCTION("GoogleTranslate(C97, ""en"", ""cs"")"),"Střední")</f>
        <v>Střední</v>
      </c>
      <c r="S97" s="3" t="str">
        <f>IFERROR(__xludf.DUMMYFUNCTION("GoogleTranslate(C97, ""en"", ""da"")"),"Medium")</f>
        <v>Medium</v>
      </c>
      <c r="T97" s="3" t="str">
        <f>IFERROR(__xludf.DUMMYFUNCTION("GoogleTranslate(C97, ""en"", ""nl"")"),"Medium")</f>
        <v>Medium</v>
      </c>
      <c r="U97" s="3" t="str">
        <f>IFERROR(__xludf.DUMMYFUNCTION("GoogleTranslate(C97, ""en"", ""et"")"),"Keskmine")</f>
        <v>Keskmine</v>
      </c>
      <c r="V97" s="1" t="str">
        <f t="shared" si="3"/>
        <v>Medium</v>
      </c>
      <c r="W97" s="3" t="str">
        <f>IFERROR(__xludf.DUMMYFUNCTION("GoogleTranslate(C97, ""en"", ""fi"")"),"Keskikokoinen")</f>
        <v>Keskikokoinen</v>
      </c>
      <c r="X97" s="3" t="str">
        <f>IFERROR(__xludf.DUMMYFUNCTION("GoogleTranslate(C97, ""en"", ""fr"")"),"Moyen")</f>
        <v>Moyen</v>
      </c>
      <c r="Y97" s="3" t="str">
        <f>IFERROR(__xludf.DUMMYFUNCTION("GoogleTranslate(C97, ""en"", ""de"")"),"Medium")</f>
        <v>Medium</v>
      </c>
      <c r="Z97" s="3" t="str">
        <f>IFERROR(__xludf.DUMMYFUNCTION("GoogleTranslate(C97, ""en"", ""el"")"),"Μέσον")</f>
        <v>Μέσον</v>
      </c>
      <c r="AA97" s="3" t="str">
        <f>IFERROR(__xludf.DUMMYFUNCTION("GoogleTranslate(C97, ""en"", ""iw"")"),"בֵּינוֹנִי")</f>
        <v>בֵּינוֹנִי</v>
      </c>
      <c r="AB97" s="3" t="str">
        <f>IFERROR(__xludf.DUMMYFUNCTION("GoogleTranslate(C97, ""en"", ""hi"")"),"मध्यम")</f>
        <v>मध्यम</v>
      </c>
      <c r="AC97" s="3" t="str">
        <f>IFERROR(__xludf.DUMMYFUNCTION("GoogleTranslate(C97, ""en"", ""hu"")"),"Közepes")</f>
        <v>Közepes</v>
      </c>
      <c r="AD97" s="3" t="str">
        <f>IFERROR(__xludf.DUMMYFUNCTION("GoogleTranslate(C97, ""en"", ""is"")"),"Miðlungs")</f>
        <v>Miðlungs</v>
      </c>
      <c r="AE97" s="3" t="str">
        <f>IFERROR(__xludf.DUMMYFUNCTION("GoogleTranslate(C97, ""en"", ""id"")"),"Sedang")</f>
        <v>Sedang</v>
      </c>
      <c r="AF97" s="3" t="str">
        <f>IFERROR(__xludf.DUMMYFUNCTION("GoogleTranslate(C97, ""en"", ""in"")"),"Sedang")</f>
        <v>Sedang</v>
      </c>
      <c r="AG97" s="3" t="str">
        <f>IFERROR(__xludf.DUMMYFUNCTION("GoogleTranslate(C97, ""en"", ""it"")"),"Medio")</f>
        <v>Medio</v>
      </c>
      <c r="AH97" s="3" t="str">
        <f>IFERROR(__xludf.DUMMYFUNCTION("GoogleTranslate(C97, ""en"", ""ja"")"),"中くらい")</f>
        <v>中くらい</v>
      </c>
      <c r="AI97" s="3" t="str">
        <f>IFERROR(__xludf.DUMMYFUNCTION("GoogleTranslate(C97, ""en"", ""kn"")"),"ಮಧ್ಯಮ")</f>
        <v>ಮಧ್ಯಮ</v>
      </c>
      <c r="AJ97" s="3" t="str">
        <f>IFERROR(__xludf.DUMMYFUNCTION("GoogleTranslate(C97, ""en"", ""km"")"),"មធ្យម")</f>
        <v>មធ្យម</v>
      </c>
      <c r="AK97" s="3" t="str">
        <f>IFERROR(__xludf.DUMMYFUNCTION("GoogleTranslate(C97, ""en"", ""ko"")"),"중간")</f>
        <v>중간</v>
      </c>
      <c r="AL97" s="3" t="str">
        <f>IFERROR(__xludf.DUMMYFUNCTION("GoogleTranslate(C97, ""en"", ""lo"")"),"ຂະຫນາດກາງ")</f>
        <v>ຂະຫນາດກາງ</v>
      </c>
      <c r="AM97" s="3" t="str">
        <f>IFERROR(__xludf.DUMMYFUNCTION("GoogleTranslate(C97, ""en"", ""lv"")"),"Vidēja")</f>
        <v>Vidēja</v>
      </c>
      <c r="AN97" s="3" t="str">
        <f>IFERROR(__xludf.DUMMYFUNCTION("GoogleTranslate(C97, ""en"", ""lt"")"),"Vidutinis")</f>
        <v>Vidutinis</v>
      </c>
      <c r="AO97" s="3" t="str">
        <f>IFERROR(__xludf.DUMMYFUNCTION("GoogleTranslate(C97, ""en"", ""mk"")"),"Средно")</f>
        <v>Средно</v>
      </c>
      <c r="AP97" s="3" t="str">
        <f>IFERROR(__xludf.DUMMYFUNCTION("GoogleTranslate(C97, ""en"", ""ms"")"),"Sederhana")</f>
        <v>Sederhana</v>
      </c>
      <c r="AQ97" s="3" t="str">
        <f>IFERROR(__xludf.DUMMYFUNCTION("GoogleTranslate(C97, ""en"", ""ml"")"),"ഇടത്തരം")</f>
        <v>ഇടത്തരം</v>
      </c>
      <c r="AR97" s="3" t="str">
        <f>IFERROR(__xludf.DUMMYFUNCTION("GoogleTranslate(C97, ""en"", ""mr"")"),"मध्यम")</f>
        <v>मध्यम</v>
      </c>
      <c r="AS97" s="3" t="str">
        <f>IFERROR(__xludf.DUMMYFUNCTION("GoogleTranslate(C97, ""en"", ""mn"")"),"Дунд зэрэг")</f>
        <v>Дунд зэрэг</v>
      </c>
      <c r="AT97" s="3" t="str">
        <f>IFERROR(__xludf.DUMMYFUNCTION("GoogleTranslate(C97, ""en"", ""ne"")"),"मध्यम")</f>
        <v>मध्यम</v>
      </c>
      <c r="AU97" s="3" t="str">
        <f>IFERROR(__xludf.DUMMYFUNCTION("GoogleTranslate(C97, ""en"", ""nb"")"),"Medium")</f>
        <v>Medium</v>
      </c>
      <c r="AV97" s="3" t="str">
        <f>IFERROR(__xludf.DUMMYFUNCTION("GoogleTranslate(C97, ""en"", ""fa"")"),"متوسط")</f>
        <v>متوسط</v>
      </c>
      <c r="AW97" s="3" t="str">
        <f>IFERROR(__xludf.DUMMYFUNCTION("GoogleTranslate(C97, ""en"", ""pl"")"),"Średni")</f>
        <v>Średni</v>
      </c>
      <c r="AX97" s="3" t="str">
        <f>IFERROR(__xludf.DUMMYFUNCTION("GoogleTranslate(C97, ""en"", ""pt"")"),"Médio")</f>
        <v>Médio</v>
      </c>
      <c r="AY97" s="3" t="str">
        <f>IFERROR(__xludf.DUMMYFUNCTION("GoogleTranslate(C97, ""en"", ""ro"")"),"Mediu")</f>
        <v>Mediu</v>
      </c>
      <c r="AZ97" s="3" t="str">
        <f>IFERROR(__xludf.DUMMYFUNCTION("GoogleTranslate(C97, ""en"", ""ru"")"),"Середина")</f>
        <v>Середина</v>
      </c>
      <c r="BA97" s="3" t="str">
        <f>IFERROR(__xludf.DUMMYFUNCTION("GoogleTranslate(C97, ""en"", ""sr"")"),"Средње")</f>
        <v>Средње</v>
      </c>
      <c r="BB97" s="3" t="str">
        <f>IFERROR(__xludf.DUMMYFUNCTION("GoogleTranslate(C97, ""en"", ""si"")"),"මධ්යම")</f>
        <v>මධ්යම</v>
      </c>
      <c r="BC97" s="3" t="str">
        <f>IFERROR(__xludf.DUMMYFUNCTION("GoogleTranslate(C97, ""en"", ""sk"")"),"Stredná")</f>
        <v>Stredná</v>
      </c>
      <c r="BD97" s="3" t="str">
        <f>IFERROR(__xludf.DUMMYFUNCTION("GoogleTranslate(C97, ""en"", ""sl"")"),"Srednje")</f>
        <v>Srednje</v>
      </c>
      <c r="BE97" s="3" t="str">
        <f>IFERROR(__xludf.DUMMYFUNCTION("GoogleTranslate(C97, ""en"", ""es"")"),"Medio")</f>
        <v>Medio</v>
      </c>
      <c r="BF97" s="3" t="str">
        <f>IFERROR(__xludf.DUMMYFUNCTION("GoogleTranslate(C97, ""en"", ""sw"")"),"Kati")</f>
        <v>Kati</v>
      </c>
      <c r="BG97" s="3" t="str">
        <f>IFERROR(__xludf.DUMMYFUNCTION("GoogleTranslate(C97, ""en"", ""sv"")"),"Medium")</f>
        <v>Medium</v>
      </c>
      <c r="BH97" s="3" t="str">
        <f>IFERROR(__xludf.DUMMYFUNCTION("GoogleTranslate(C97, ""en"", ""te"")"),"మధ్యస్థం")</f>
        <v>మధ్యస్థం</v>
      </c>
      <c r="BI97" s="3" t="str">
        <f>IFERROR(__xludf.DUMMYFUNCTION("GoogleTranslate(C97, ""en"", ""th"")"),"ปานกลาง")</f>
        <v>ปานกลาง</v>
      </c>
      <c r="BJ97" s="3" t="str">
        <f>IFERROR(__xludf.DUMMYFUNCTION("GoogleTranslate(C97, ""en"", ""tr"")"),"Orta")</f>
        <v>Orta</v>
      </c>
      <c r="BK97" s="3" t="str">
        <f>IFERROR(__xludf.DUMMYFUNCTION("GoogleTranslate(C97, ""en"", ""uk"")"),"Середній")</f>
        <v>Середній</v>
      </c>
      <c r="BL97" s="3" t="str">
        <f>IFERROR(__xludf.DUMMYFUNCTION("GoogleTranslate(C97, ""en"", ""zu"")"),"Maphakathi")</f>
        <v>Maphakathi</v>
      </c>
    </row>
    <row r="98">
      <c r="A98" s="1" t="str">
        <f t="shared" si="1"/>
        <v>There_is_a_moderate_risk_from_UV_rays._Sunglasses_and_sunscreen_are_recommended.</v>
      </c>
      <c r="B98" s="4" t="s">
        <v>156</v>
      </c>
      <c r="C98" s="1" t="str">
        <f t="shared" si="2"/>
        <v>There is a moderate risk from UV rays. Sunglasses and sunscreen are recommended.</v>
      </c>
      <c r="D98" s="3" t="str">
        <f>IFERROR(__xludf.DUMMYFUNCTION("GoogleTranslate(C98, ""en"", ""es"")"),"Existe un riesgo moderado por los rayos UV. Se recomiendan gafas de sol y protector solar.")</f>
        <v>Existe un riesgo moderado por los rayos UV. Se recomiendan gafas de sol y protector solar.</v>
      </c>
      <c r="E98" s="3" t="str">
        <f>IFERROR(__xludf.DUMMYFUNCTION("GoogleTranslate(C98, ""en"", ""ar"")"),"هناك خطر معتدل من الأشعة فوق البنفسجية. يوصى باستخدام النظارات الشمسية وواقي الشمس.")</f>
        <v>هناك خطر معتدل من الأشعة فوق البنفسجية. يوصى باستخدام النظارات الشمسية وواقي الشمس.</v>
      </c>
      <c r="F98" s="3" t="str">
        <f>IFERROR(__xludf.DUMMYFUNCTION("GoogleTranslate(C98, ""en"", ""hy"")"),"Ուլտրամանուշակագույն ճառագայթներից չափավոր վտանգ կա։ Խորհուրդ է տրվում արևային ակնոցներ և արևապաշտպան քսուքներ:")</f>
        <v>Ուլտրամանուշակագույն ճառագայթներից չափավոր վտանգ կա։ Խորհուրդ է տրվում արևային ակնոցներ և արևապաշտպան քսուքներ:</v>
      </c>
      <c r="G98" s="3" t="str">
        <f>IFERROR(__xludf.DUMMYFUNCTION("GoogleTranslate(C98, ""en"", ""vi"")"),"Có nguy cơ vừa phải từ tia UV. Kính râm và kem chống nắng được khuyên dùng.")</f>
        <v>Có nguy cơ vừa phải từ tia UV. Kính râm và kem chống nắng được khuyên dùng.</v>
      </c>
      <c r="H98" s="3" t="str">
        <f>IFERROR(__xludf.DUMMYFUNCTION("GoogleTranslate(C98, ""en"", ""az"")"),"UV şüalarından orta dərəcədə risk var. Günəş eynəyi və günəş kremi tövsiyə olunur.")</f>
        <v>UV şüalarından orta dərəcədə risk var. Günəş eynəyi və günəş kremi tövsiyə olunur.</v>
      </c>
      <c r="I98" s="3" t="str">
        <f>IFERROR(__xludf.DUMMYFUNCTION("GoogleTranslate(C98, ""en"", ""eu"")"),"UV izpien arrisku moderatua dago. Eguzkitako betaurrekoak eta eguzkitako krema gomendatzen dira.")</f>
        <v>UV izpien arrisku moderatua dago. Eguzkitako betaurrekoak eta eguzkitako krema gomendatzen dira.</v>
      </c>
      <c r="J98" s="3" t="str">
        <f>IFERROR(__xludf.DUMMYFUNCTION("GoogleTranslate(C98, ""en"", ""be"")"),"Існуе ўмераны рызыка ад УФ-прамянёў. Рэкамендуюцца сонцаахоўныя акуляры і сонцаахоўны крэм.")</f>
        <v>Існуе ўмераны рызыка ад УФ-прамянёў. Рэкамендуюцца сонцаахоўныя акуляры і сонцаахоўны крэм.</v>
      </c>
      <c r="K98" s="3" t="str">
        <f>IFERROR(__xludf.DUMMYFUNCTION("GoogleTranslate(C98, ""en"", ""bn"")"),"অতিবেগুনী রশ্মি থেকে একটি মাঝারি ঝুঁকি আছে। সানগ্লাস এবং সানস্ক্রিন বাঞ্ছনীয়।")</f>
        <v>অতিবেগুনী রশ্মি থেকে একটি মাঝারি ঝুঁকি আছে। সানগ্লাস এবং সানস্ক্রিন বাঞ্ছনীয়।</v>
      </c>
      <c r="L98" s="3" t="str">
        <f>IFERROR(__xludf.DUMMYFUNCTION("GoogleTranslate(C98, ""en"", ""bg"")"),"Съществува умерен риск от ултравиолетовите лъчи. Препоръчват се слънчеви очила и слънцезащитен крем.")</f>
        <v>Съществува умерен риск от ултравиолетовите лъчи. Препоръчват се слънчеви очила и слънцезащитен крем.</v>
      </c>
      <c r="M98" s="3" t="str">
        <f>IFERROR(__xludf.DUMMYFUNCTION("GoogleTranslate(C98, ""en"", ""my"")"),"ခရမ်းလွန်ရောင်ခြည်ကြောင့် အန္တရာယ် အလယ်အလတ်ရှိပါတယ်။ နေကာမျက်မှန်နှင့် နေကာခရင်မ်ကို အကြံပြုထားသည်။")</f>
        <v>ခရမ်းလွန်ရောင်ခြည်ကြောင့် အန္တရာယ် အလယ်အလတ်ရှိပါတယ်။ နေကာမျက်မှန်နှင့် နေကာခရင်မ်ကို အကြံပြုထားသည်။</v>
      </c>
      <c r="N98" s="3" t="str">
        <f>IFERROR(__xludf.DUMMYFUNCTION("GoogleTranslate(C98, ""en"", ""ca"")"),"Hi ha un risc moderat dels raigs UV. Es recomanen ulleres de sol i protector solar.")</f>
        <v>Hi ha un risc moderat dels raigs UV. Es recomanen ulleres de sol i protector solar.</v>
      </c>
      <c r="O98" s="3" t="str">
        <f>IFERROR(__xludf.DUMMYFUNCTION("GoogleTranslate(C98, ""en"", ""zh-cn"")"),"紫外线存在中等风险。建议佩戴太阳镜和防晒霜。")</f>
        <v>紫外线存在中等风险。建议佩戴太阳镜和防晒霜。</v>
      </c>
      <c r="P98" s="3" t="str">
        <f>IFERROR(__xludf.DUMMYFUNCTION("GoogleTranslate(C98, ""en"", ""zh-TW"")"),"紫外線有中度風險。建議配戴太陽眼鏡和防曬霜。")</f>
        <v>紫外線有中度風險。建議配戴太陽眼鏡和防曬霜。</v>
      </c>
      <c r="Q98" s="3" t="str">
        <f>IFERROR(__xludf.DUMMYFUNCTION("GoogleTranslate(C98, ""en"", ""hr"")"),"Postoji umjereni rizik od UV zraka. Preporučuju se sunčane naočale i krema za sunčanje.")</f>
        <v>Postoji umjereni rizik od UV zraka. Preporučuju se sunčane naočale i krema za sunčanje.</v>
      </c>
      <c r="R98" s="3" t="str">
        <f>IFERROR(__xludf.DUMMYFUNCTION("GoogleTranslate(C98, ""en"", ""cs"")"),"Existuje střední riziko UV záření. Doporučují se sluneční brýle a opalovací krém.")</f>
        <v>Existuje střední riziko UV záření. Doporučují se sluneční brýle a opalovací krém.</v>
      </c>
      <c r="S98" s="3" t="str">
        <f>IFERROR(__xludf.DUMMYFUNCTION("GoogleTranslate(C98, ""en"", ""da"")"),"Der er en moderat risiko for UV-stråler. Solbriller og solcreme anbefales.")</f>
        <v>Der er en moderat risiko for UV-stråler. Solbriller og solcreme anbefales.</v>
      </c>
      <c r="T98" s="3" t="str">
        <f>IFERROR(__xludf.DUMMYFUNCTION("GoogleTranslate(C98, ""en"", ""nl"")"),"Er is een matig risico op UV-straling. Een zonnebril en zonnebrandcrème worden aanbevolen.")</f>
        <v>Er is een matig risico op UV-straling. Een zonnebril en zonnebrandcrème worden aanbevolen.</v>
      </c>
      <c r="U98" s="3" t="str">
        <f>IFERROR(__xludf.DUMMYFUNCTION("GoogleTranslate(C98, ""en"", ""et"")"),"UV-kiirguse oht on mõõdukas. Soovitatav on kanda päikeseprille ja päikesekaitsekreemi.")</f>
        <v>UV-kiirguse oht on mõõdukas. Soovitatav on kanda päikeseprille ja päikesekaitsekreemi.</v>
      </c>
      <c r="V98" s="1" t="str">
        <f t="shared" si="3"/>
        <v>There is a moderate risk from UV rays. Sunglasses and sunscreen are recommended.</v>
      </c>
      <c r="W98" s="3" t="str">
        <f>IFERROR(__xludf.DUMMYFUNCTION("GoogleTranslate(C98, ""en"", ""fi"")"),"UV-säteiden aiheuttama riski on kohtalainen. Aurinkolasit ja aurinkovoide on suositeltavaa.")</f>
        <v>UV-säteiden aiheuttama riski on kohtalainen. Aurinkolasit ja aurinkovoide on suositeltavaa.</v>
      </c>
      <c r="X98" s="3" t="str">
        <f>IFERROR(__xludf.DUMMYFUNCTION("GoogleTranslate(C98, ""en"", ""fr"")"),"Il existe un risque modéré lié aux rayons UV. Des lunettes de soleil et de la crème solaire sont recommandées.")</f>
        <v>Il existe un risque modéré lié aux rayons UV. Des lunettes de soleil et de la crème solaire sont recommandées.</v>
      </c>
      <c r="Y98" s="3" t="str">
        <f>IFERROR(__xludf.DUMMYFUNCTION("GoogleTranslate(C98, ""en"", ""de"")"),"Es besteht ein mäßiges Risiko durch UV-Strahlen. Sonnenbrillen und Sonnencreme werden empfohlen.")</f>
        <v>Es besteht ein mäßiges Risiko durch UV-Strahlen. Sonnenbrillen und Sonnencreme werden empfohlen.</v>
      </c>
      <c r="Z98" s="3" t="str">
        <f>IFERROR(__xludf.DUMMYFUNCTION("GoogleTranslate(C98, ""en"", ""el"")"),"Υπάρχει μέτριος κίνδυνος από τις ακτίνες UV. Συνιστώνται γυαλιά ηλίου και αντηλιακά.")</f>
        <v>Υπάρχει μέτριος κίνδυνος από τις ακτίνες UV. Συνιστώνται γυαλιά ηλίου και αντηλιακά.</v>
      </c>
      <c r="AA98" s="3" t="str">
        <f>IFERROR(__xludf.DUMMYFUNCTION("GoogleTranslate(C98, ""en"", ""iw"")"),"קיים סיכון בינוני מקרני UV. משקפי שמש וקרם הגנה מומלץ.")</f>
        <v>קיים סיכון בינוני מקרני UV. משקפי שמש וקרם הגנה מומלץ.</v>
      </c>
      <c r="AB98" s="3" t="str">
        <f>IFERROR(__xludf.DUMMYFUNCTION("GoogleTranslate(C98, ""en"", ""hi"")"),"यूवी किरणों से मध्यम जोखिम है। धूप का चश्मा और सनस्क्रीन की सिफारिश की जाती है।")</f>
        <v>यूवी किरणों से मध्यम जोखिम है। धूप का चश्मा और सनस्क्रीन की सिफारिश की जाती है।</v>
      </c>
      <c r="AC98" s="3" t="str">
        <f>IFERROR(__xludf.DUMMYFUNCTION("GoogleTranslate(C98, ""en"", ""hu"")"),"Az UV-sugárzás mérsékelt kockázatot jelent. Napszemüveg és fényvédő krém használata javasolt.")</f>
        <v>Az UV-sugárzás mérsékelt kockázatot jelent. Napszemüveg és fényvédő krém használata javasolt.</v>
      </c>
      <c r="AD98" s="3" t="str">
        <f>IFERROR(__xludf.DUMMYFUNCTION("GoogleTranslate(C98, ""en"", ""is"")"),"Það er miðlungs hætta af UV geislum. Mælt er með sólgleraugum og sólarvörn.")</f>
        <v>Það er miðlungs hætta af UV geislum. Mælt er með sólgleraugum og sólarvörn.</v>
      </c>
      <c r="AE98" s="3" t="str">
        <f>IFERROR(__xludf.DUMMYFUNCTION("GoogleTranslate(C98, ""en"", ""id"")"),"Ada risiko sedang dari sinar UV. Kacamata hitam dan tabir surya direkomendasikan.")</f>
        <v>Ada risiko sedang dari sinar UV. Kacamata hitam dan tabir surya direkomendasikan.</v>
      </c>
      <c r="AF98" s="3" t="str">
        <f>IFERROR(__xludf.DUMMYFUNCTION("GoogleTranslate(C98, ""en"", ""in"")"),"Ada risiko sedang dari sinar UV. Kacamata hitam dan tabir surya direkomendasikan.")</f>
        <v>Ada risiko sedang dari sinar UV. Kacamata hitam dan tabir surya direkomendasikan.</v>
      </c>
      <c r="AG98" s="3" t="str">
        <f>IFERROR(__xludf.DUMMYFUNCTION("GoogleTranslate(C98, ""en"", ""it"")"),"Il rischio derivante dai raggi UV è moderato. Si consigliano occhiali da sole e crema solare.")</f>
        <v>Il rischio derivante dai raggi UV è moderato. Si consigliano occhiali da sole e crema solare.</v>
      </c>
      <c r="AH98" s="3" t="str">
        <f>IFERROR(__xludf.DUMMYFUNCTION("GoogleTranslate(C98, ""en"", ""ja"")"),"紫外線による中程度のリスクがあります。サングラスと日焼け止めをお勧めします。")</f>
        <v>紫外線による中程度のリスクがあります。サングラスと日焼け止めをお勧めします。</v>
      </c>
      <c r="AI98" s="3" t="str">
        <f>IFERROR(__xludf.DUMMYFUNCTION("GoogleTranslate(C98, ""en"", ""kn"")"),"ಯುವಿ ಕಿರಣಗಳಿಂದ ಮಧ್ಯಮ ಅಪಾಯವಿದೆ. ಸನ್‌ಗ್ಲಾಸ್ ಮತ್ತು ಸನ್‌ಸ್ಕ್ರೀನ್ ಅನ್ನು ಶಿಫಾರಸು ಮಾಡಲಾಗಿದೆ.")</f>
        <v>ಯುವಿ ಕಿರಣಗಳಿಂದ ಮಧ್ಯಮ ಅಪಾಯವಿದೆ. ಸನ್‌ಗ್ಲಾಸ್ ಮತ್ತು ಸನ್‌ಸ್ಕ್ರೀನ್ ಅನ್ನು ಶಿಫಾರಸು ಮಾಡಲಾಗಿದೆ.</v>
      </c>
      <c r="AJ98" s="3" t="str">
        <f>IFERROR(__xludf.DUMMYFUNCTION("GoogleTranslate(C98, ""en"", ""km"")"),"មានហានិភ័យមធ្យមពីកាំរស្មីយូវី។ វ៉ែនតា និងឡេការពារកម្តៅថ្ងៃត្រូវបានណែនាំ។")</f>
        <v>មានហានិភ័យមធ្យមពីកាំរស្មីយូវី។ វ៉ែនតា និងឡេការពារកម្តៅថ្ងៃត្រូវបានណែនាំ។</v>
      </c>
      <c r="AK98" s="3" t="str">
        <f>IFERROR(__xludf.DUMMYFUNCTION("GoogleTranslate(C98, ""en"", ""ko"")"),"자외선으로 인한 위험은 중간 정도입니다. 선글라스와 자외선 차단제를 권장합니다.")</f>
        <v>자외선으로 인한 위험은 중간 정도입니다. 선글라스와 자외선 차단제를 권장합니다.</v>
      </c>
      <c r="AL98" s="3" t="str">
        <f>IFERROR(__xludf.DUMMYFUNCTION("GoogleTranslate(C98, ""en"", ""lo"")"),"ມີຄວາມສ່ຽງປານກາງຈາກຮັງສີ UV. ແນະນຳໃຫ້ໃສ່ແວ່ນຕາກັນແດດ ແລະ ແວ່ນຕາກັນແດດ.")</f>
        <v>ມີຄວາມສ່ຽງປານກາງຈາກຮັງສີ UV. ແນະນຳໃຫ້ໃສ່ແວ່ນຕາກັນແດດ ແລະ ແວ່ນຕາກັນແດດ.</v>
      </c>
      <c r="AM98" s="3" t="str">
        <f>IFERROR(__xludf.DUMMYFUNCTION("GoogleTranslate(C98, ""en"", ""lv"")"),"Pastāv mērens UV staru risks. Ieteicamas saulesbrilles un saules aizsargkrēms.")</f>
        <v>Pastāv mērens UV staru risks. Ieteicamas saulesbrilles un saules aizsargkrēms.</v>
      </c>
      <c r="AN98" s="3" t="str">
        <f>IFERROR(__xludf.DUMMYFUNCTION("GoogleTranslate(C98, ""en"", ""lt"")"),"Yra vidutinė UV spindulių rizika. Rekomenduojami akiniai nuo saulės ir apsaugos nuo saulės.")</f>
        <v>Yra vidutinė UV spindulių rizika. Rekomenduojami akiniai nuo saulės ir apsaugos nuo saulės.</v>
      </c>
      <c r="AO98" s="3" t="str">
        <f>IFERROR(__xludf.DUMMYFUNCTION("GoogleTranslate(C98, ""en"", ""mk"")"),"Постои умерен ризик од УВ зраците. Се препорачуваат очила за сонце и крема за сончање.")</f>
        <v>Постои умерен ризик од УВ зраците. Се препорачуваат очила за сонце и крема за сончање.</v>
      </c>
      <c r="AP98" s="3" t="str">
        <f>IFERROR(__xludf.DUMMYFUNCTION("GoogleTranslate(C98, ""en"", ""ms"")"),"Terdapat risiko sederhana dari sinaran UV. Cermin mata hitam dan pelindung matahari adalah disyorkan.")</f>
        <v>Terdapat risiko sederhana dari sinaran UV. Cermin mata hitam dan pelindung matahari adalah disyorkan.</v>
      </c>
      <c r="AQ98" s="3" t="str">
        <f>IFERROR(__xludf.DUMMYFUNCTION("GoogleTranslate(C98, ""en"", ""ml"")"),"അൾട്രാവയലറ്റ് രശ്മികളിൽ നിന്ന് മിതമായ അപകടസാധ്യതയുണ്ട്. സൺഗ്ലാസുകളും സൺസ്‌ക്രീനും ശുപാർശ ചെയ്യുന്നു.")</f>
        <v>അൾട്രാവയലറ്റ് രശ്മികളിൽ നിന്ന് മിതമായ അപകടസാധ്യതയുണ്ട്. സൺഗ്ലാസുകളും സൺസ്‌ക്രീനും ശുപാർശ ചെയ്യുന്നു.</v>
      </c>
      <c r="AR98" s="3" t="str">
        <f>IFERROR(__xludf.DUMMYFUNCTION("GoogleTranslate(C98, ""en"", ""mr"")"),"अतिनील किरणांपासून मध्यम धोका असतो. सनग्लासेस आणि सनस्क्रीनची शिफारस केली जाते.")</f>
        <v>अतिनील किरणांपासून मध्यम धोका असतो. सनग्लासेस आणि सनस्क्रीनची शिफारस केली जाते.</v>
      </c>
      <c r="AS98" s="3" t="str">
        <f>IFERROR(__xludf.DUMMYFUNCTION("GoogleTranslate(C98, ""en"", ""mn"")"),"Хэт ягаан туяанаас дунд зэргийн эрсдэлтэй байдаг. Нарны шил, нарнаас хамгаалах тосыг хэрэглэхийг зөвлөж байна.")</f>
        <v>Хэт ягаан туяанаас дунд зэргийн эрсдэлтэй байдаг. Нарны шил, нарнаас хамгаалах тосыг хэрэглэхийг зөвлөж байна.</v>
      </c>
      <c r="AT98" s="3" t="str">
        <f>IFERROR(__xludf.DUMMYFUNCTION("GoogleTranslate(C98, ""en"", ""ne"")"),"UV किरणहरूबाट मध्यम जोखिम छ। सनस्क्रिन र सनस्क्रिन सिफारिस गरिन्छ।")</f>
        <v>UV किरणहरूबाट मध्यम जोखिम छ। सनस्क्रिन र सनस्क्रिन सिफारिस गरिन्छ।</v>
      </c>
      <c r="AU98" s="3" t="str">
        <f>IFERROR(__xludf.DUMMYFUNCTION("GoogleTranslate(C98, ""en"", ""nb"")"),"Det er en moderat risiko fra UV-stråler. Solbriller og solkrem anbefales.")</f>
        <v>Det er en moderat risiko fra UV-stråler. Solbriller og solkrem anbefales.</v>
      </c>
      <c r="AV98" s="3" t="str">
        <f>IFERROR(__xludf.DUMMYFUNCTION("GoogleTranslate(C98, ""en"", ""fa"")"),"خطر متوسطی از اشعه ماوراء بنفش وجود دارد. استفاده از عینک آفتابی و ضد آفتاب توصیه می شود.")</f>
        <v>خطر متوسطی از اشعه ماوراء بنفش وجود دارد. استفاده از عینک آفتابی و ضد آفتاب توصیه می شود.</v>
      </c>
      <c r="AW98" s="3" t="str">
        <f>IFERROR(__xludf.DUMMYFUNCTION("GoogleTranslate(C98, ""en"", ""pl"")"),"Istnieje umiarkowane ryzyko związane z promieniami UV. Zalecane są okulary przeciwsłoneczne i krem ​​​​przeciwsłoneczny.")</f>
        <v>Istnieje umiarkowane ryzyko związane z promieniami UV. Zalecane są okulary przeciwsłoneczne i krem ​​​​przeciwsłoneczny.</v>
      </c>
      <c r="AX98" s="3" t="str">
        <f>IFERROR(__xludf.DUMMYFUNCTION("GoogleTranslate(C98, ""en"", ""pt"")"),"Existe um risco moderado devido aos raios UV. Óculos de sol e protetor solar são recomendados.")</f>
        <v>Existe um risco moderado devido aos raios UV. Óculos de sol e protetor solar são recomendados.</v>
      </c>
      <c r="AY98" s="3" t="str">
        <f>IFERROR(__xludf.DUMMYFUNCTION("GoogleTranslate(C98, ""en"", ""ro"")"),"Există un risc moderat de razele UV. Se recomandă ochelari de soare și protecție solară.")</f>
        <v>Există un risc moderat de razele UV. Se recomandă ochelari de soare și protecție solară.</v>
      </c>
      <c r="AZ98" s="3" t="str">
        <f>IFERROR(__xludf.DUMMYFUNCTION("GoogleTranslate(C98, ""en"", ""ru"")"),"Существует умеренный риск от ультрафиолетовых лучей. Рекомендуются солнцезащитные очки и солнцезащитный крем.")</f>
        <v>Существует умеренный риск от ультрафиолетовых лучей. Рекомендуются солнцезащитные очки и солнцезащитный крем.</v>
      </c>
      <c r="BA98" s="3" t="str">
        <f>IFERROR(__xludf.DUMMYFUNCTION("GoogleTranslate(C98, ""en"", ""sr"")"),"Постоји умерен ризик од УВ зрака. Препоручују се наочаре за сунце и крема за сунчање.")</f>
        <v>Постоји умерен ризик од УВ зрака. Препоручују се наочаре за сунце и крема за сунчање.</v>
      </c>
      <c r="BB98" s="3" t="str">
        <f>IFERROR(__xludf.DUMMYFUNCTION("GoogleTranslate(C98, ""en"", ""si"")"),"UV කිරණ වලින් මධ්යස්ථ අවදානමක් ඇත. අව් කණ්ණාඩි සහ හිරු ආවරණ නිර්දේශ කරනු ලැබේ.")</f>
        <v>UV කිරණ වලින් මධ්යස්ථ අවදානමක් ඇත. අව් කණ්ණාඩි සහ හිරු ආවරණ නිර්දේශ කරනු ලැබේ.</v>
      </c>
      <c r="BC98" s="3" t="str">
        <f>IFERROR(__xludf.DUMMYFUNCTION("GoogleTranslate(C98, ""en"", ""sk"")"),"Existuje mierne riziko UV žiarenia. Odporúčajú sa slnečné okuliare a opaľovací krém.")</f>
        <v>Existuje mierne riziko UV žiarenia. Odporúčajú sa slnečné okuliare a opaľovací krém.</v>
      </c>
      <c r="BD98" s="3" t="str">
        <f>IFERROR(__xludf.DUMMYFUNCTION("GoogleTranslate(C98, ""en"", ""sl"")"),"Obstaja zmerno tveganje zaradi UV žarkov. Priporočljiva so sončna očala in krema za sončenje.")</f>
        <v>Obstaja zmerno tveganje zaradi UV žarkov. Priporočljiva so sončna očala in krema za sončenje.</v>
      </c>
      <c r="BE98" s="3" t="str">
        <f>IFERROR(__xludf.DUMMYFUNCTION("GoogleTranslate(C98, ""en"", ""es"")"),"Existe un riesgo moderado por los rayos UV. Se recomiendan gafas de sol y protector solar.")</f>
        <v>Existe un riesgo moderado por los rayos UV. Se recomiendan gafas de sol y protector solar.</v>
      </c>
      <c r="BF98" s="3" t="str">
        <f>IFERROR(__xludf.DUMMYFUNCTION("GoogleTranslate(C98, ""en"", ""sw"")"),"Kuna hatari ya wastani kutoka kwa mionzi ya UV. Miwani ya jua na jua hupendekezwa.")</f>
        <v>Kuna hatari ya wastani kutoka kwa mionzi ya UV. Miwani ya jua na jua hupendekezwa.</v>
      </c>
      <c r="BG98" s="3" t="str">
        <f>IFERROR(__xludf.DUMMYFUNCTION("GoogleTranslate(C98, ""en"", ""sv"")"),"Det finns en måttlig risk från UV-strålar. Solglasögon och solskyddsmedel rekommenderas.")</f>
        <v>Det finns en måttlig risk från UV-strålar. Solglasögon och solskyddsmedel rekommenderas.</v>
      </c>
      <c r="BH98" s="3" t="str">
        <f>IFERROR(__xludf.DUMMYFUNCTION("GoogleTranslate(C98, ""en"", ""te"")"),"UV కిరణాల నుండి ఒక మోస్తరు ప్రమాదం ఉంది. సన్ గ్లాసెస్ మరియు సన్‌స్క్రీన్ సిఫార్సు చేయబడింది.")</f>
        <v>UV కిరణాల నుండి ఒక మోస్తరు ప్రమాదం ఉంది. సన్ గ్లాసెస్ మరియు సన్‌స్క్రీన్ సిఫార్సు చేయబడింది.</v>
      </c>
      <c r="BI98" s="3" t="str">
        <f>IFERROR(__xludf.DUMMYFUNCTION("GoogleTranslate(C98, ""en"", ""th"")"),"มีความเสี่ยงจากรังสียูวีปานกลาง แนะนำให้สวมแว่นกันแดดและครีมกันแดด")</f>
        <v>มีความเสี่ยงจากรังสียูวีปานกลาง แนะนำให้สวมแว่นกันแดดและครีมกันแดด</v>
      </c>
      <c r="BJ98" s="3" t="str">
        <f>IFERROR(__xludf.DUMMYFUNCTION("GoogleTranslate(C98, ""en"", ""tr"")"),"UV ışınlarından orta derecede risk vardır. Güneş gözlüğü ve güneş koruyucu kullanılması tavsiye edilir.")</f>
        <v>UV ışınlarından orta derecede risk vardır. Güneş gözlüğü ve güneş koruyucu kullanılması tavsiye edilir.</v>
      </c>
      <c r="BK98" s="3" t="str">
        <f>IFERROR(__xludf.DUMMYFUNCTION("GoogleTranslate(C98, ""en"", ""uk"")"),"Існує помірний ризик від УФ-променів. Рекомендуються сонцезахисні окуляри та сонцезахисний крем.")</f>
        <v>Існує помірний ризик від УФ-променів. Рекомендуються сонцезахисні окуляри та сонцезахисний крем.</v>
      </c>
      <c r="BL98" s="3" t="str">
        <f>IFERROR(__xludf.DUMMYFUNCTION("GoogleTranslate(C98, ""en"", ""zu"")"),"Kukhona ingozi emaphakathi evela emisebeni ye-UV. Kunconywa izibuko zelanga kanye nokuvikela ilanga.")</f>
        <v>Kukhona ingozi emaphakathi evela emisebeni ye-UV. Kunconywa izibuko zelanga kanye nokuvikela ilanga.</v>
      </c>
    </row>
    <row r="99">
      <c r="A99" s="1" t="str">
        <f t="shared" si="1"/>
        <v>High</v>
      </c>
      <c r="B99" s="4" t="s">
        <v>107</v>
      </c>
      <c r="C99" s="1" t="str">
        <f t="shared" si="2"/>
        <v>High</v>
      </c>
      <c r="D99" s="3" t="str">
        <f>IFERROR(__xludf.DUMMYFUNCTION("GoogleTranslate(C99, ""en"", ""es"")"),"Alto")</f>
        <v>Alto</v>
      </c>
      <c r="E99" s="3" t="str">
        <f>IFERROR(__xludf.DUMMYFUNCTION("GoogleTranslate(C99, ""en"", ""ar"")"),"عالي")</f>
        <v>عالي</v>
      </c>
      <c r="F99" s="3" t="str">
        <f>IFERROR(__xludf.DUMMYFUNCTION("GoogleTranslate(C99, ""en"", ""hy"")"),"Բարձր")</f>
        <v>Բարձր</v>
      </c>
      <c r="G99" s="3" t="str">
        <f>IFERROR(__xludf.DUMMYFUNCTION("GoogleTranslate(C99, ""en"", ""vi"")"),"Cao")</f>
        <v>Cao</v>
      </c>
      <c r="H99" s="3" t="str">
        <f>IFERROR(__xludf.DUMMYFUNCTION("GoogleTranslate(C99, ""en"", ""az"")"),"Yüksək")</f>
        <v>Yüksək</v>
      </c>
      <c r="I99" s="3" t="str">
        <f>IFERROR(__xludf.DUMMYFUNCTION("GoogleTranslate(C99, ""en"", ""eu"")"),"Alta")</f>
        <v>Alta</v>
      </c>
      <c r="J99" s="3" t="str">
        <f>IFERROR(__xludf.DUMMYFUNCTION("GoogleTranslate(C99, ""en"", ""be"")"),"Высокі")</f>
        <v>Высокі</v>
      </c>
      <c r="K99" s="3" t="str">
        <f>IFERROR(__xludf.DUMMYFUNCTION("GoogleTranslate(C99, ""en"", ""bn"")"),"উচ্চ")</f>
        <v>উচ্চ</v>
      </c>
      <c r="L99" s="3" t="str">
        <f>IFERROR(__xludf.DUMMYFUNCTION("GoogleTranslate(C99, ""en"", ""bg"")"),"високо")</f>
        <v>високо</v>
      </c>
      <c r="M99" s="3" t="str">
        <f>IFERROR(__xludf.DUMMYFUNCTION("GoogleTranslate(C99, ""en"", ""my"")"),"မြင့်သည်။")</f>
        <v>မြင့်သည်။</v>
      </c>
      <c r="N99" s="3" t="str">
        <f>IFERROR(__xludf.DUMMYFUNCTION("GoogleTranslate(C99, ""en"", ""ca"")"),"Alt")</f>
        <v>Alt</v>
      </c>
      <c r="O99" s="3" t="str">
        <f>IFERROR(__xludf.DUMMYFUNCTION("GoogleTranslate(C99, ""en"", ""zh-cn"")"),"高的")</f>
        <v>高的</v>
      </c>
      <c r="P99" s="3" t="str">
        <f>IFERROR(__xludf.DUMMYFUNCTION("GoogleTranslate(C99, ""en"", ""zh-TW"")"),"高的")</f>
        <v>高的</v>
      </c>
      <c r="Q99" s="3" t="str">
        <f>IFERROR(__xludf.DUMMYFUNCTION("GoogleTranslate(C99, ""en"", ""hr"")"),"visoko")</f>
        <v>visoko</v>
      </c>
      <c r="R99" s="3" t="str">
        <f>IFERROR(__xludf.DUMMYFUNCTION("GoogleTranslate(C99, ""en"", ""cs"")"),"Vysoký")</f>
        <v>Vysoký</v>
      </c>
      <c r="S99" s="3" t="str">
        <f>IFERROR(__xludf.DUMMYFUNCTION("GoogleTranslate(C99, ""en"", ""da"")"),"Høj")</f>
        <v>Høj</v>
      </c>
      <c r="T99" s="3" t="str">
        <f>IFERROR(__xludf.DUMMYFUNCTION("GoogleTranslate(C99, ""en"", ""nl"")"),"Hoog")</f>
        <v>Hoog</v>
      </c>
      <c r="U99" s="3" t="str">
        <f>IFERROR(__xludf.DUMMYFUNCTION("GoogleTranslate(C99, ""en"", ""et"")"),"Kõrge")</f>
        <v>Kõrge</v>
      </c>
      <c r="V99" s="1" t="str">
        <f t="shared" si="3"/>
        <v>High</v>
      </c>
      <c r="W99" s="3" t="str">
        <f>IFERROR(__xludf.DUMMYFUNCTION("GoogleTranslate(C99, ""en"", ""fi"")"),"Korkea")</f>
        <v>Korkea</v>
      </c>
      <c r="X99" s="3" t="str">
        <f>IFERROR(__xludf.DUMMYFUNCTION("GoogleTranslate(C99, ""en"", ""fr"")"),"Haut")</f>
        <v>Haut</v>
      </c>
      <c r="Y99" s="3" t="str">
        <f>IFERROR(__xludf.DUMMYFUNCTION("GoogleTranslate(C99, ""en"", ""de"")"),"Hoch")</f>
        <v>Hoch</v>
      </c>
      <c r="Z99" s="3" t="str">
        <f>IFERROR(__xludf.DUMMYFUNCTION("GoogleTranslate(C99, ""en"", ""el"")"),"Ψηλά")</f>
        <v>Ψηλά</v>
      </c>
      <c r="AA99" s="3" t="str">
        <f>IFERROR(__xludf.DUMMYFUNCTION("GoogleTranslate(C99, ""en"", ""iw"")"),"גָבוֹהַ")</f>
        <v>גָבוֹהַ</v>
      </c>
      <c r="AB99" s="3" t="str">
        <f>IFERROR(__xludf.DUMMYFUNCTION("GoogleTranslate(C99, ""en"", ""hi"")"),"उच्च")</f>
        <v>उच्च</v>
      </c>
      <c r="AC99" s="3" t="str">
        <f>IFERROR(__xludf.DUMMYFUNCTION("GoogleTranslate(C99, ""en"", ""hu"")"),"Magas")</f>
        <v>Magas</v>
      </c>
      <c r="AD99" s="3" t="str">
        <f>IFERROR(__xludf.DUMMYFUNCTION("GoogleTranslate(C99, ""en"", ""is"")"),"Hátt")</f>
        <v>Hátt</v>
      </c>
      <c r="AE99" s="3" t="str">
        <f>IFERROR(__xludf.DUMMYFUNCTION("GoogleTranslate(C99, ""en"", ""id"")"),"Tinggi")</f>
        <v>Tinggi</v>
      </c>
      <c r="AF99" s="3" t="str">
        <f>IFERROR(__xludf.DUMMYFUNCTION("GoogleTranslate(C99, ""en"", ""in"")"),"Tinggi")</f>
        <v>Tinggi</v>
      </c>
      <c r="AG99" s="3" t="str">
        <f>IFERROR(__xludf.DUMMYFUNCTION("GoogleTranslate(C99, ""en"", ""it"")"),"Alto")</f>
        <v>Alto</v>
      </c>
      <c r="AH99" s="3" t="str">
        <f>IFERROR(__xludf.DUMMYFUNCTION("GoogleTranslate(C99, ""en"", ""ja"")"),"高い")</f>
        <v>高い</v>
      </c>
      <c r="AI99" s="3" t="str">
        <f>IFERROR(__xludf.DUMMYFUNCTION("GoogleTranslate(C99, ""en"", ""kn"")"),"ಹೆಚ್ಚು")</f>
        <v>ಹೆಚ್ಚು</v>
      </c>
      <c r="AJ99" s="3" t="str">
        <f>IFERROR(__xludf.DUMMYFUNCTION("GoogleTranslate(C99, ""en"", ""km"")"),"ខ្ពស់។")</f>
        <v>ខ្ពស់។</v>
      </c>
      <c r="AK99" s="3" t="str">
        <f>IFERROR(__xludf.DUMMYFUNCTION("GoogleTranslate(C99, ""en"", ""ko"")"),"높은")</f>
        <v>높은</v>
      </c>
      <c r="AL99" s="3" t="str">
        <f>IFERROR(__xludf.DUMMYFUNCTION("GoogleTranslate(C99, ""en"", ""lo"")"),"ສູງ")</f>
        <v>ສູງ</v>
      </c>
      <c r="AM99" s="3" t="str">
        <f>IFERROR(__xludf.DUMMYFUNCTION("GoogleTranslate(C99, ""en"", ""lv"")"),"Augsts")</f>
        <v>Augsts</v>
      </c>
      <c r="AN99" s="3" t="str">
        <f>IFERROR(__xludf.DUMMYFUNCTION("GoogleTranslate(C99, ""en"", ""lt"")"),"Aukštas")</f>
        <v>Aukštas</v>
      </c>
      <c r="AO99" s="3" t="str">
        <f>IFERROR(__xludf.DUMMYFUNCTION("GoogleTranslate(C99, ""en"", ""mk"")"),"Високо")</f>
        <v>Високо</v>
      </c>
      <c r="AP99" s="3" t="str">
        <f>IFERROR(__xludf.DUMMYFUNCTION("GoogleTranslate(C99, ""en"", ""ms"")"),"tinggi")</f>
        <v>tinggi</v>
      </c>
      <c r="AQ99" s="3" t="str">
        <f>IFERROR(__xludf.DUMMYFUNCTION("GoogleTranslate(C99, ""en"", ""ml"")"),"ഉയർന്നത്")</f>
        <v>ഉയർന്നത്</v>
      </c>
      <c r="AR99" s="3" t="str">
        <f>IFERROR(__xludf.DUMMYFUNCTION("GoogleTranslate(C99, ""en"", ""mr"")"),"उच्च")</f>
        <v>उच्च</v>
      </c>
      <c r="AS99" s="3" t="str">
        <f>IFERROR(__xludf.DUMMYFUNCTION("GoogleTranslate(C99, ""en"", ""mn"")"),"Өндөр")</f>
        <v>Өндөр</v>
      </c>
      <c r="AT99" s="3" t="str">
        <f>IFERROR(__xludf.DUMMYFUNCTION("GoogleTranslate(C99, ""en"", ""ne"")"),"उच्च")</f>
        <v>उच्च</v>
      </c>
      <c r="AU99" s="3" t="str">
        <f>IFERROR(__xludf.DUMMYFUNCTION("GoogleTranslate(C99, ""en"", ""nb"")"),"Høy")</f>
        <v>Høy</v>
      </c>
      <c r="AV99" s="3" t="str">
        <f>IFERROR(__xludf.DUMMYFUNCTION("GoogleTranslate(C99, ""en"", ""fa"")"),"بالا")</f>
        <v>بالا</v>
      </c>
      <c r="AW99" s="3" t="str">
        <f>IFERROR(__xludf.DUMMYFUNCTION("GoogleTranslate(C99, ""en"", ""pl"")"),"Wysoki")</f>
        <v>Wysoki</v>
      </c>
      <c r="AX99" s="3" t="str">
        <f>IFERROR(__xludf.DUMMYFUNCTION("GoogleTranslate(C99, ""en"", ""pt"")"),"Alto")</f>
        <v>Alto</v>
      </c>
      <c r="AY99" s="3" t="str">
        <f>IFERROR(__xludf.DUMMYFUNCTION("GoogleTranslate(C99, ""en"", ""ro"")"),"Ridicat")</f>
        <v>Ridicat</v>
      </c>
      <c r="AZ99" s="3" t="str">
        <f>IFERROR(__xludf.DUMMYFUNCTION("GoogleTranslate(C99, ""en"", ""ru"")"),"Высокий")</f>
        <v>Высокий</v>
      </c>
      <c r="BA99" s="3" t="str">
        <f>IFERROR(__xludf.DUMMYFUNCTION("GoogleTranslate(C99, ""en"", ""sr"")"),"Високо")</f>
        <v>Високо</v>
      </c>
      <c r="BB99" s="3" t="str">
        <f>IFERROR(__xludf.DUMMYFUNCTION("GoogleTranslate(C99, ""en"", ""si"")"),"ඉහළ")</f>
        <v>ඉහළ</v>
      </c>
      <c r="BC99" s="3" t="str">
        <f>IFERROR(__xludf.DUMMYFUNCTION("GoogleTranslate(C99, ""en"", ""sk"")"),"Vysoká")</f>
        <v>Vysoká</v>
      </c>
      <c r="BD99" s="3" t="str">
        <f>IFERROR(__xludf.DUMMYFUNCTION("GoogleTranslate(C99, ""en"", ""sl"")"),"visoko")</f>
        <v>visoko</v>
      </c>
      <c r="BE99" s="3" t="str">
        <f>IFERROR(__xludf.DUMMYFUNCTION("GoogleTranslate(C99, ""en"", ""es"")"),"Alto")</f>
        <v>Alto</v>
      </c>
      <c r="BF99" s="3" t="str">
        <f>IFERROR(__xludf.DUMMYFUNCTION("GoogleTranslate(C99, ""en"", ""sw"")"),"Juu")</f>
        <v>Juu</v>
      </c>
      <c r="BG99" s="3" t="str">
        <f>IFERROR(__xludf.DUMMYFUNCTION("GoogleTranslate(C99, ""en"", ""sv"")"),"Hög")</f>
        <v>Hög</v>
      </c>
      <c r="BH99" s="3" t="str">
        <f>IFERROR(__xludf.DUMMYFUNCTION("GoogleTranslate(C99, ""en"", ""te"")"),"అధిక")</f>
        <v>అధిక</v>
      </c>
      <c r="BI99" s="3" t="str">
        <f>IFERROR(__xludf.DUMMYFUNCTION("GoogleTranslate(C99, ""en"", ""th"")"),"สูง")</f>
        <v>สูง</v>
      </c>
      <c r="BJ99" s="3" t="str">
        <f>IFERROR(__xludf.DUMMYFUNCTION("GoogleTranslate(C99, ""en"", ""tr"")"),"Yüksek")</f>
        <v>Yüksek</v>
      </c>
      <c r="BK99" s="3" t="str">
        <f>IFERROR(__xludf.DUMMYFUNCTION("GoogleTranslate(C99, ""en"", ""uk"")"),"Високий")</f>
        <v>Високий</v>
      </c>
      <c r="BL99" s="3" t="str">
        <f>IFERROR(__xludf.DUMMYFUNCTION("GoogleTranslate(C99, ""en"", ""zu"")"),"Phezulu")</f>
        <v>Phezulu</v>
      </c>
    </row>
    <row r="100">
      <c r="A100" s="1" t="str">
        <f t="shared" si="1"/>
        <v>UV_rays_are_highly_intense._You_should_limit_going_out_during_the_middle_of_the_day,_use_protective_clothing,_sunglasses,_and_sunscreen.</v>
      </c>
      <c r="B100" s="4" t="s">
        <v>157</v>
      </c>
      <c r="C100" s="1" t="str">
        <f t="shared" si="2"/>
        <v>UV rays are highly intense. You should limit going out during the middle of the day, use protective clothing, sunglasses, and sunscreen.</v>
      </c>
      <c r="D100" s="3" t="str">
        <f>IFERROR(__xludf.DUMMYFUNCTION("GoogleTranslate(C100, ""en"", ""es"")"),"Los rayos ultravioleta son muy intensos. Debes limitar las salidas a mitad del día, utilizar ropa protectora, gafas de sol y bloqueador solar.")</f>
        <v>Los rayos ultravioleta son muy intensos. Debes limitar las salidas a mitad del día, utilizar ropa protectora, gafas de sol y bloqueador solar.</v>
      </c>
      <c r="E100" s="3" t="str">
        <f>IFERROR(__xludf.DUMMYFUNCTION("GoogleTranslate(C100, ""en"", ""ar"")"),"الأشعة فوق البنفسجية شديدة للغاية. يجب عليك الحد من الخروج في منتصف النهار، واستخدام الملابس الواقية، والنظارات الشمسية، وواقي الشمس.")</f>
        <v>الأشعة فوق البنفسجية شديدة للغاية. يجب عليك الحد من الخروج في منتصف النهار، واستخدام الملابس الواقية، والنظارات الشمسية، وواقي الشمس.</v>
      </c>
      <c r="F100" s="3" t="str">
        <f>IFERROR(__xludf.DUMMYFUNCTION("GoogleTranslate(C100, ""en"", ""hy"")"),"Ուլտրամանուշակագույն ճառագայթները շատ ինտենսիվ են: Դուք պետք է սահմանափակեք օրվա կեսին դուրս գալը, օգտագործեք պաշտպանիչ հագուստ, արևային ակնոցներ և արևապաշտպան միջոցներ:")</f>
        <v>Ուլտրամանուշակագույն ճառագայթները շատ ինտենսիվ են: Դուք պետք է սահմանափակեք օրվա կեսին դուրս գալը, օգտագործեք պաշտպանիչ հագուստ, արևային ակնոցներ և արևապաշտպան միջոցներ:</v>
      </c>
      <c r="G100" s="3" t="str">
        <f>IFERROR(__xludf.DUMMYFUNCTION("GoogleTranslate(C100, ""en"", ""vi"")"),"Tia UV có cường độ rất cao. Bạn nên hạn chế ra ngoài vào giữa ngày, sử dụng quần áo bảo hộ, kính râm và kem chống nắng.")</f>
        <v>Tia UV có cường độ rất cao. Bạn nên hạn chế ra ngoài vào giữa ngày, sử dụng quần áo bảo hộ, kính râm và kem chống nắng.</v>
      </c>
      <c r="H100" s="3" t="str">
        <f>IFERROR(__xludf.DUMMYFUNCTION("GoogleTranslate(C100, ""en"", ""az"")"),"UV şüaları çox güclüdür. Günün ortasında çölə çıxmağı məhdudlaşdırmalı, qoruyucu geyim, günəş eynəyi və günəşdən qoruyucu vasitələrdən istifadə etməlisiniz.")</f>
        <v>UV şüaları çox güclüdür. Günün ortasında çölə çıxmağı məhdudlaşdırmalı, qoruyucu geyim, günəş eynəyi və günəşdən qoruyucu vasitələrdən istifadə etməlisiniz.</v>
      </c>
      <c r="I100" s="3" t="str">
        <f>IFERROR(__xludf.DUMMYFUNCTION("GoogleTranslate(C100, ""en"", ""eu"")"),"UV izpiak oso biziak dira. Egunaren erdialdean irtetea mugatu beharko zenuke, babes-arropa, eguzkitako betaurrekoak eta eguzkitako krema erabili.")</f>
        <v>UV izpiak oso biziak dira. Egunaren erdialdean irtetea mugatu beharko zenuke, babes-arropa, eguzkitako betaurrekoak eta eguzkitako krema erabili.</v>
      </c>
      <c r="J100" s="3" t="str">
        <f>IFERROR(__xludf.DUMMYFUNCTION("GoogleTranslate(C100, ""en"", ""be"")"),"УФ-прамяні вельмі інтэнсіўныя. Варта абмежаваць выхады на вуліцу ў сярэдзіне дня, карыстацца ахоўнай вопраткай, сонцаахоўнымі акулярамі і сонцаахоўнымі крэмамі.")</f>
        <v>УФ-прамяні вельмі інтэнсіўныя. Варта абмежаваць выхады на вуліцу ў сярэдзіне дня, карыстацца ахоўнай вопраткай, сонцаахоўнымі акулярамі і сонцаахоўнымі крэмамі.</v>
      </c>
      <c r="K100" s="3" t="str">
        <f>IFERROR(__xludf.DUMMYFUNCTION("GoogleTranslate(C100, ""en"", ""bn"")"),"UV রশ্মি অত্যন্ত তীব্র। দিনের মাঝখানে আপনার বাইরে যাওয়া সীমিত করা উচিত, সুরক্ষামূলক পোশাক, সানগ্লাস এবং সানস্ক্রিন ব্যবহার করা উচিত।")</f>
        <v>UV রশ্মি অত্যন্ত তীব্র। দিনের মাঝখানে আপনার বাইরে যাওয়া সীমিত করা উচিত, সুরক্ষামূলক পোশাক, সানগ্লাস এবং সানস্ক্রিন ব্যবহার করা উচিত।</v>
      </c>
      <c r="L100" s="3" t="str">
        <f>IFERROR(__xludf.DUMMYFUNCTION("GoogleTranslate(C100, ""en"", ""bg"")"),"UV лъчите са много интензивни. Трябва да ограничите излизането през средата на деня, да използвате защитно облекло, слънчеви очила и слънцезащитен крем.")</f>
        <v>UV лъчите са много интензивни. Трябва да ограничите излизането през средата на деня, да използвате защитно облекло, слънчеви очила и слънцезащитен крем.</v>
      </c>
      <c r="M100" s="3" t="str">
        <f>IFERROR(__xludf.DUMMYFUNCTION("GoogleTranslate(C100, ""en"", ""my"")"),"ခရမ်းလွန်ရောင်ခြည်သည် အလွန်ပြင်းထန်သည်။ နေ့ခင်းဘက် အပြင်ထွက်တာကို ကန့်သတ်ထားသင့်ပြီး အကာအကွယ်အဝတ်အစား၊ နေကာမျက်မှန်နဲ့ နေကာခရင်မ်ကို အသုံးပြုပါ။")</f>
        <v>ခရမ်းလွန်ရောင်ခြည်သည် အလွန်ပြင်းထန်သည်။ နေ့ခင်းဘက် အပြင်ထွက်တာကို ကန့်သတ်ထားသင့်ပြီး အကာအကွယ်အဝတ်အစား၊ နေကာမျက်မှန်နဲ့ နေကာခရင်မ်ကို အသုံးပြုပါ။</v>
      </c>
      <c r="N100" s="3" t="str">
        <f>IFERROR(__xludf.DUMMYFUNCTION("GoogleTranslate(C100, ""en"", ""ca"")"),"Els raigs UV són molt intensos. Heu de limitar les sortides durant la meitat del dia, utilitzar roba protectora, ulleres de sol i protector solar.")</f>
        <v>Els raigs UV són molt intensos. Heu de limitar les sortides durant la meitat del dia, utilitzar roba protectora, ulleres de sol i protector solar.</v>
      </c>
      <c r="O100" s="3" t="str">
        <f>IFERROR(__xludf.DUMMYFUNCTION("GoogleTranslate(C100, ""en"", ""zh-cn"")"),"紫外线非常强烈。您应该限制中午外出，使用防护服、太阳镜和防晒霜。")</f>
        <v>紫外线非常强烈。您应该限制中午外出，使用防护服、太阳镜和防晒霜。</v>
      </c>
      <c r="P100" s="3" t="str">
        <f>IFERROR(__xludf.DUMMYFUNCTION("GoogleTranslate(C100, ""en"", ""zh-TW"")"),"紫外線非常強烈。您應該限制中午外出，使用防護服、太陽眼鏡和防曬霜。")</f>
        <v>紫外線非常強烈。您應該限制中午外出，使用防護服、太陽眼鏡和防曬霜。</v>
      </c>
      <c r="Q100" s="3" t="str">
        <f>IFERROR(__xludf.DUMMYFUNCTION("GoogleTranslate(C100, ""en"", ""hr"")"),"UV zrake su vrlo intenzivne. Ograničite izlaske sredinom dana, koristite zaštitnu odjeću, sunčane naočale i kremu za sunčanje.")</f>
        <v>UV zrake su vrlo intenzivne. Ograničite izlaske sredinom dana, koristite zaštitnu odjeću, sunčane naočale i kremu za sunčanje.</v>
      </c>
      <c r="R100" s="3" t="str">
        <f>IFERROR(__xludf.DUMMYFUNCTION("GoogleTranslate(C100, ""en"", ""cs"")"),"UV záření je velmi intenzivní. Měli byste omezit venčení uprostřed dne, používat ochranný oděv, sluneční brýle a opalovací krém.")</f>
        <v>UV záření je velmi intenzivní. Měli byste omezit venčení uprostřed dne, používat ochranný oděv, sluneční brýle a opalovací krém.</v>
      </c>
      <c r="S100" s="3" t="str">
        <f>IFERROR(__xludf.DUMMYFUNCTION("GoogleTranslate(C100, ""en"", ""da"")"),"UV-stråler er meget intense. Du bør begrænse at gå ud midt på dagen, bruge beskyttelsestøj, solbriller og solcreme.")</f>
        <v>UV-stråler er meget intense. Du bør begrænse at gå ud midt på dagen, bruge beskyttelsestøj, solbriller og solcreme.</v>
      </c>
      <c r="T100" s="3" t="str">
        <f>IFERROR(__xludf.DUMMYFUNCTION("GoogleTranslate(C100, ""en"", ""nl"")"),"UV-stralen zijn zeer intens. Beperk het uitgaan overdag, gebruik beschermende kleding, een zonnebril en zonnebrandcrème.")</f>
        <v>UV-stralen zijn zeer intens. Beperk het uitgaan overdag, gebruik beschermende kleding, een zonnebril en zonnebrandcrème.</v>
      </c>
      <c r="U100" s="3" t="str">
        <f>IFERROR(__xludf.DUMMYFUNCTION("GoogleTranslate(C100, ""en"", ""et"")"),"UV-kiired on väga intensiivsed. Peaksite piirama päevasel ajal väljas käimist, kasutama kaitseriietust, päikeseprille ja päikesekaitsekreemi.")</f>
        <v>UV-kiired on väga intensiivsed. Peaksite piirama päevasel ajal väljas käimist, kasutama kaitseriietust, päikeseprille ja päikesekaitsekreemi.</v>
      </c>
      <c r="V100" s="1" t="str">
        <f t="shared" si="3"/>
        <v>UV rays are highly intense. You should limit going out during the middle of the day, use protective clothing, sunglasses, and sunscreen.</v>
      </c>
      <c r="W100" s="3" t="str">
        <f>IFERROR(__xludf.DUMMYFUNCTION("GoogleTranslate(C100, ""en"", ""fi"")"),"UV-säteet ovat erittäin voimakkaita. Sinun tulisi rajoittaa ulkoilua keskellä päivää, käyttää suojavaatetusta, aurinkolaseja ja aurinkovoidetta.")</f>
        <v>UV-säteet ovat erittäin voimakkaita. Sinun tulisi rajoittaa ulkoilua keskellä päivää, käyttää suojavaatetusta, aurinkolaseja ja aurinkovoidetta.</v>
      </c>
      <c r="X100" s="3" t="str">
        <f>IFERROR(__xludf.DUMMYFUNCTION("GoogleTranslate(C100, ""en"", ""fr"")"),"Les rayons UV sont très intenses. Vous devez limiter vos sorties en milieu de journée, utiliser des vêtements de protection, des lunettes de soleil et de la crème solaire.")</f>
        <v>Les rayons UV sont très intenses. Vous devez limiter vos sorties en milieu de journée, utiliser des vêtements de protection, des lunettes de soleil et de la crème solaire.</v>
      </c>
      <c r="Y100" s="3" t="str">
        <f>IFERROR(__xludf.DUMMYFUNCTION("GoogleTranslate(C100, ""en"", ""de"")"),"UV-Strahlen sind sehr intensiv. Sie sollten das Ausgehen während der Mittagszeit einschränken und Schutzkleidung, Sonnenbrille und Sonnenschutzmittel tragen.")</f>
        <v>UV-Strahlen sind sehr intensiv. Sie sollten das Ausgehen während der Mittagszeit einschränken und Schutzkleidung, Sonnenbrille und Sonnenschutzmittel tragen.</v>
      </c>
      <c r="Z100" s="3" t="str">
        <f>IFERROR(__xludf.DUMMYFUNCTION("GoogleTranslate(C100, ""en"", ""el"")"),"Οι ακτίνες UV είναι πολύ έντονες. Θα πρέπει να περιορίσετε τις εξόδους στη μέση της ημέρας, να χρησιμοποιείτε προστατευτικά ρούχα, γυαλιά ηλίου και αντηλιακό.")</f>
        <v>Οι ακτίνες UV είναι πολύ έντονες. Θα πρέπει να περιορίσετε τις εξόδους στη μέση της ημέρας, να χρησιμοποιείτε προστατευτικά ρούχα, γυαλιά ηλίου και αντηλιακό.</v>
      </c>
      <c r="AA100" s="3" t="str">
        <f>IFERROR(__xludf.DUMMYFUNCTION("GoogleTranslate(C100, ""en"", ""iw"")"),"קרני UV הן אינטנסיביות ביותר. כדאי להגביל את היציאה לבילוי באמצע היום, להשתמש בביגוד מגן, משקפי שמש וקרם הגנה.")</f>
        <v>קרני UV הן אינטנסיביות ביותר. כדאי להגביל את היציאה לבילוי באמצע היום, להשתמש בביגוד מגן, משקפי שמש וקרם הגנה.</v>
      </c>
      <c r="AB100" s="3" t="str">
        <f>IFERROR(__xludf.DUMMYFUNCTION("GoogleTranslate(C100, ""en"", ""hi"")"),"यूवी किरणें अत्यधिक तीव्र होती हैं। आपको दिन के मध्य में बाहर जाना सीमित करना चाहिए, सुरक्षात्मक कपड़े, धूप का चश्मा और सनस्क्रीन का उपयोग करना चाहिए।")</f>
        <v>यूवी किरणें अत्यधिक तीव्र होती हैं। आपको दिन के मध्य में बाहर जाना सीमित करना चाहिए, सुरक्षात्मक कपड़े, धूप का चश्मा और सनस्क्रीन का उपयोग करना चाहिए।</v>
      </c>
      <c r="AC100" s="3" t="str">
        <f>IFERROR(__xludf.DUMMYFUNCTION("GoogleTranslate(C100, ""en"", ""hu"")"),"Az UV sugárzás rendkívül intenzív. Korlátozni kell a nap közepén való kijárást, használjon védőruházatot, napszemüveget és fényvédő krémet.")</f>
        <v>Az UV sugárzás rendkívül intenzív. Korlátozni kell a nap közepén való kijárást, használjon védőruházatot, napszemüveget és fényvédő krémet.</v>
      </c>
      <c r="AD100" s="3" t="str">
        <f>IFERROR(__xludf.DUMMYFUNCTION("GoogleTranslate(C100, ""en"", ""is"")"),"UV geislar eru mjög sterkir. Þú ættir að takmarka það að fara út um miðjan daginn, nota hlífðarfatnað, sólgleraugu og sólarvörn.")</f>
        <v>UV geislar eru mjög sterkir. Þú ættir að takmarka það að fara út um miðjan daginn, nota hlífðarfatnað, sólgleraugu og sólarvörn.</v>
      </c>
      <c r="AE100" s="3" t="str">
        <f>IFERROR(__xludf.DUMMYFUNCTION("GoogleTranslate(C100, ""en"", ""id"")"),"Sinar UV sangat intens. Sebaiknya batasi keluar rumah pada siang hari, gunakan pakaian pelindung, kacamata hitam, dan tabir surya.")</f>
        <v>Sinar UV sangat intens. Sebaiknya batasi keluar rumah pada siang hari, gunakan pakaian pelindung, kacamata hitam, dan tabir surya.</v>
      </c>
      <c r="AF100" s="3" t="str">
        <f>IFERROR(__xludf.DUMMYFUNCTION("GoogleTranslate(C100, ""en"", ""in"")"),"Sinar UV sangat intens. Sebaiknya batasi keluar rumah pada siang hari, gunakan pakaian pelindung, kacamata hitam, dan tabir surya.")</f>
        <v>Sinar UV sangat intens. Sebaiknya batasi keluar rumah pada siang hari, gunakan pakaian pelindung, kacamata hitam, dan tabir surya.</v>
      </c>
      <c r="AG100" s="3" t="str">
        <f>IFERROR(__xludf.DUMMYFUNCTION("GoogleTranslate(C100, ""en"", ""it"")"),"I raggi UV sono molto intensi. Dovresti limitare le uscite durante le ore centrali della giornata, usare indumenti protettivi, occhiali da sole e crema solare.")</f>
        <v>I raggi UV sono molto intensi. Dovresti limitare le uscite durante le ore centrali della giornata, usare indumenti protettivi, occhiali da sole e crema solare.</v>
      </c>
      <c r="AH100" s="3" t="str">
        <f>IFERROR(__xludf.DUMMYFUNCTION("GoogleTranslate(C100, ""en"", ""ja"")"),"紫外線は非常に強力です。日中の外出を制限し、防護服、サングラス、日焼け止めを使用する必要があります。")</f>
        <v>紫外線は非常に強力です。日中の外出を制限し、防護服、サングラス、日焼け止めを使用する必要があります。</v>
      </c>
      <c r="AI100" s="3" t="str">
        <f>IFERROR(__xludf.DUMMYFUNCTION("GoogleTranslate(C100, ""en"", ""kn"")"),"ಯುವಿ ಕಿರಣಗಳು ಹೆಚ್ಚು ತೀವ್ರವಾಗಿರುತ್ತವೆ. ನೀವು ದಿನದ ಮಧ್ಯದಲ್ಲಿ ಹೊರಗೆ ಹೋಗುವುದನ್ನು ಮಿತಿಗೊಳಿಸಬೇಕು, ರಕ್ಷಣಾತ್ಮಕ ಬಟ್ಟೆ, ಸನ್ಗ್ಲಾಸ್ ಮತ್ತು ಸನ್‌ಸ್ಕ್ರೀನ್ ಬಳಸಿ.")</f>
        <v>ಯುವಿ ಕಿರಣಗಳು ಹೆಚ್ಚು ತೀವ್ರವಾಗಿರುತ್ತವೆ. ನೀವು ದಿನದ ಮಧ್ಯದಲ್ಲಿ ಹೊರಗೆ ಹೋಗುವುದನ್ನು ಮಿತಿಗೊಳಿಸಬೇಕು, ರಕ್ಷಣಾತ್ಮಕ ಬಟ್ಟೆ, ಸನ್ಗ್ಲಾಸ್ ಮತ್ತು ಸನ್‌ಸ್ಕ್ರೀನ್ ಬಳಸಿ.</v>
      </c>
      <c r="AJ100" s="3" t="str">
        <f>IFERROR(__xludf.DUMMYFUNCTION("GoogleTranslate(C100, ""en"", ""km"")"),"កាំរស្មីយូវីមានកម្រិតខ្លាំង។ អ្នកគួរតែកំណត់ការចេញទៅក្រៅអំឡុងពេលពាក់កណ្តាលថ្ងៃ ប្រើសម្លៀកបំពាក់ការពារ វ៉ែនតា និងឡេការពារកម្តៅថ្ងៃ។")</f>
        <v>កាំរស្មីយូវីមានកម្រិតខ្លាំង។ អ្នកគួរតែកំណត់ការចេញទៅក្រៅអំឡុងពេលពាក់កណ្តាលថ្ងៃ ប្រើសម្លៀកបំពាក់ការពារ វ៉ែនតា និងឡេការពារកម្តៅថ្ងៃ។</v>
      </c>
      <c r="AK100" s="3" t="str">
        <f>IFERROR(__xludf.DUMMYFUNCTION("GoogleTranslate(C100, ""en"", ""ko"")"),"자외선은 매우 강렬합니다. 낮에는 외출을 자제하고 보호복, 선글라스, 자외선 차단제를 사용해야 합니다.")</f>
        <v>자외선은 매우 강렬합니다. 낮에는 외출을 자제하고 보호복, 선글라스, 자외선 차단제를 사용해야 합니다.</v>
      </c>
      <c r="AL100" s="3" t="str">
        <f>IFERROR(__xludf.DUMMYFUNCTION("GoogleTranslate(C100, ""en"", ""lo"")"),"ຮັງສີ UV ມີຄວາມເຂັ້ມຂຸ້ນສູງ. ທ່ານຄວນຈໍາກັດການອອກໄປກາງເວັນ, ໃຊ້ເຄື່ອງນຸ່ງປ້ອງກັນ, ແວ່ນຕາກັນແດດ, ແລະຄີມກັນແດດ.")</f>
        <v>ຮັງສີ UV ມີຄວາມເຂັ້ມຂຸ້ນສູງ. ທ່ານຄວນຈໍາກັດການອອກໄປກາງເວັນ, ໃຊ້ເຄື່ອງນຸ່ງປ້ອງກັນ, ແວ່ນຕາກັນແດດ, ແລະຄີມກັນແດດ.</v>
      </c>
      <c r="AM100" s="3" t="str">
        <f>IFERROR(__xludf.DUMMYFUNCTION("GoogleTranslate(C100, ""en"", ""lv"")"),"UV stari ir ļoti intensīvi. Dienas vidū jāierobežo iziešana ārā, jālieto aizsargtērps, saulesbrilles un sauļošanās līdzeklis.")</f>
        <v>UV stari ir ļoti intensīvi. Dienas vidū jāierobežo iziešana ārā, jālieto aizsargtērps, saulesbrilles un sauļošanās līdzeklis.</v>
      </c>
      <c r="AN100" s="3" t="str">
        <f>IFERROR(__xludf.DUMMYFUNCTION("GoogleTranslate(C100, ""en"", ""lt"")"),"UV spinduliai yra labai intensyvūs. Turėtumėte apriboti išėjimą vidury dienos, dėvėti apsauginius drabužius, akinius nuo saulės ir apsaugos nuo saulės priemones.")</f>
        <v>UV spinduliai yra labai intensyvūs. Turėtumėte apriboti išėjimą vidury dienos, dėvėti apsauginius drabužius, akinius nuo saulės ir apsaugos nuo saulės priemones.</v>
      </c>
      <c r="AO100" s="3" t="str">
        <f>IFERROR(__xludf.DUMMYFUNCTION("GoogleTranslate(C100, ""en"", ""mk"")"),"УВ зраците се многу интензивни. Треба да го ограничите излегувањето во текот на денот, да користите заштитна облека, очила за сонце и крема за сончање.")</f>
        <v>УВ зраците се многу интензивни. Треба да го ограничите излегувањето во текот на денот, да користите заштитна облека, очила за сонце и крема за сончање.</v>
      </c>
      <c r="AP100" s="3" t="str">
        <f>IFERROR(__xludf.DUMMYFUNCTION("GoogleTranslate(C100, ""en"", ""ms"")"),"Sinaran UV sangat sengit. Anda harus mengehadkan keluar pada tengah hari, gunakan pakaian pelindung, cermin mata hitam dan pelindung matahari.")</f>
        <v>Sinaran UV sangat sengit. Anda harus mengehadkan keluar pada tengah hari, gunakan pakaian pelindung, cermin mata hitam dan pelindung matahari.</v>
      </c>
      <c r="AQ100" s="3" t="str">
        <f>IFERROR(__xludf.DUMMYFUNCTION("GoogleTranslate(C100, ""en"", ""ml"")"),"അൾട്രാവയലറ്റ് രശ്മികൾ വളരെ തീവ്രമാണ്. പകലിൻ്റെ മധ്യത്തിൽ പുറത്തിറങ്ങുന്നത് പരിമിതപ്പെടുത്തണം, സംരക്ഷണ വസ്ത്രങ്ങൾ, സൺഗ്ലാസുകൾ, സൺസ്‌ക്രീൻ എന്നിവ ഉപയോഗിക്കുക.")</f>
        <v>അൾട്രാവയലറ്റ് രശ്മികൾ വളരെ തീവ്രമാണ്. പകലിൻ്റെ മധ്യത്തിൽ പുറത്തിറങ്ങുന്നത് പരിമിതപ്പെടുത്തണം, സംരക്ഷണ വസ്ത്രങ്ങൾ, സൺഗ്ലാസുകൾ, സൺസ്‌ക്രീൻ എന്നിവ ഉപയോഗിക്കുക.</v>
      </c>
      <c r="AR100" s="3" t="str">
        <f>IFERROR(__xludf.DUMMYFUNCTION("GoogleTranslate(C100, ""en"", ""mr"")"),"अतिनील किरणे अत्यंत तीव्र असतात. तुम्ही दिवसाच्या मध्यभागी बाहेर जाणे मर्यादित केले पाहिजे, संरक्षणात्मक कपडे, सनग्लासेस आणि सनस्क्रीन वापरा.")</f>
        <v>अतिनील किरणे अत्यंत तीव्र असतात. तुम्ही दिवसाच्या मध्यभागी बाहेर जाणे मर्यादित केले पाहिजे, संरक्षणात्मक कपडे, सनग्लासेस आणि सनस्क्रीन वापरा.</v>
      </c>
      <c r="AS100" s="3" t="str">
        <f>IFERROR(__xludf.DUMMYFUNCTION("GoogleTranslate(C100, ""en"", ""mn"")"),"Хэт ягаан туяа нь маш хүчтэй байдаг. Өдрийн дундуур гадагш гарахыг хязгаарлаж, хамгаалалтын хувцас, нарны шил, нарнаас хамгаалах тос хэрэглэх хэрэгтэй.")</f>
        <v>Хэт ягаан туяа нь маш хүчтэй байдаг. Өдрийн дундуур гадагш гарахыг хязгаарлаж, хамгаалалтын хувцас, нарны шил, нарнаас хамгаалах тос хэрэглэх хэрэгтэй.</v>
      </c>
      <c r="AT100" s="3" t="str">
        <f>IFERROR(__xludf.DUMMYFUNCTION("GoogleTranslate(C100, ""en"", ""ne"")"),"पराबैंगनी किरणहरू अत्यधिक तीव्र हुन्छन्। तपाईंले दिनको बीचमा बाहिर निस्कन सीमित गर्नुपर्छ, सुरक्षात्मक कपडा, सनग्लास र सनस्क्रिन प्रयोग गर्नुहोस्।")</f>
        <v>पराबैंगनी किरणहरू अत्यधिक तीव्र हुन्छन्। तपाईंले दिनको बीचमा बाहिर निस्कन सीमित गर्नुपर्छ, सुरक्षात्मक कपडा, सनग्लास र सनस्क्रिन प्रयोग गर्नुहोस्।</v>
      </c>
      <c r="AU100" s="3" t="str">
        <f>IFERROR(__xludf.DUMMYFUNCTION("GoogleTranslate(C100, ""en"", ""nb"")"),"UV-stråler er svært intense. Du bør begrense å gå ut midt på dagen, bruke verneklær, solbriller og solkrem.")</f>
        <v>UV-stråler er svært intense. Du bør begrense å gå ut midt på dagen, bruke verneklær, solbriller og solkrem.</v>
      </c>
      <c r="AV100" s="3" t="str">
        <f>IFERROR(__xludf.DUMMYFUNCTION("GoogleTranslate(C100, ""en"", ""fa"")"),"اشعه ماوراء بنفش بسیار شدید است. شما باید بیرون رفتن را در وسط روز محدود کنید، از لباس های محافظ، عینک آفتابی و ضد آفتاب استفاده کنید.")</f>
        <v>اشعه ماوراء بنفش بسیار شدید است. شما باید بیرون رفتن را در وسط روز محدود کنید، از لباس های محافظ، عینک آفتابی و ضد آفتاب استفاده کنید.</v>
      </c>
      <c r="AW100" s="3" t="str">
        <f>IFERROR(__xludf.DUMMYFUNCTION("GoogleTranslate(C100, ""en"", ""pl"")"),"Promienie UV są bardzo intensywne. Należy ograniczyć wychodzenie w środku dnia, używać odzieży ochronnej, okularów przeciwsłonecznych i kremów z filtrem przeciwsłonecznym.")</f>
        <v>Promienie UV są bardzo intensywne. Należy ograniczyć wychodzenie w środku dnia, używać odzieży ochronnej, okularów przeciwsłonecznych i kremów z filtrem przeciwsłonecznym.</v>
      </c>
      <c r="AX100" s="3" t="str">
        <f>IFERROR(__xludf.DUMMYFUNCTION("GoogleTranslate(C100, ""en"", ""pt"")"),"Os raios UV são altamente intensos. Você deve limitar as saídas no meio do dia, usar roupas de proteção, óculos escuros e protetor solar.")</f>
        <v>Os raios UV são altamente intensos. Você deve limitar as saídas no meio do dia, usar roupas de proteção, óculos escuros e protetor solar.</v>
      </c>
      <c r="AY100" s="3" t="str">
        <f>IFERROR(__xludf.DUMMYFUNCTION("GoogleTranslate(C100, ""en"", ""ro"")"),"Razele UV sunt foarte intense. Ar trebui să limitați ieșirile în mijlocul zilei, să folosiți îmbrăcăminte de protecție, ochelari de soare și protecție solară.")</f>
        <v>Razele UV sunt foarte intense. Ar trebui să limitați ieșirile în mijlocul zilei, să folosiți îmbrăcăminte de protecție, ochelari de soare și protecție solară.</v>
      </c>
      <c r="AZ100" s="3" t="str">
        <f>IFERROR(__xludf.DUMMYFUNCTION("GoogleTranslate(C100, ""en"", ""ru"")"),"УФ-лучи очень интенсивны. Следует ограничить выход на улицу в середине дня, использовать защитную одежду, солнцезащитные очки и солнцезащитный крем.")</f>
        <v>УФ-лучи очень интенсивны. Следует ограничить выход на улицу в середине дня, использовать защитную одежду, солнцезащитные очки и солнцезащитный крем.</v>
      </c>
      <c r="BA100" s="3" t="str">
        <f>IFERROR(__xludf.DUMMYFUNCTION("GoogleTranslate(C100, ""en"", ""sr"")"),"УВ зраци су веома интензивни. Требало би да ограничите изласке усред дана, користите заштитну одећу, наочаре за сунце и крему за сунчање.")</f>
        <v>УВ зраци су веома интензивни. Требало би да ограничите изласке усред дана, користите заштитну одећу, наочаре за сунце и крему за сунчање.</v>
      </c>
      <c r="BB100" s="3" t="str">
        <f>IFERROR(__xludf.DUMMYFUNCTION("GoogleTranslate(C100, ""en"", ""si"")"),"පාරජම්බුල කිරණ ඉතා තීව්‍ර වේ. ඔබ දහවල් කාලයේදී පිටතට යාම සීමා කළ යුතුය, ආරක්ෂිත ඇඳුම්, අව් කණ්ණාඩි සහ හිරු ආවරණ භාවිතා කරන්න.")</f>
        <v>පාරජම්බුල කිරණ ඉතා තීව්‍ර වේ. ඔබ දහවල් කාලයේදී පිටතට යාම සීමා කළ යුතුය, ආරක්ෂිත ඇඳුම්, අව් කණ්ණාඩි සහ හිරු ආවරණ භාවිතා කරන්න.</v>
      </c>
      <c r="BC100" s="3" t="str">
        <f>IFERROR(__xludf.DUMMYFUNCTION("GoogleTranslate(C100, ""en"", ""sk"")"),"UV lúče sú veľmi intenzívne. Mali by ste obmedziť vychádzky uprostred dňa, používať ochranný odev, slnečné okuliare a opaľovací krém.")</f>
        <v>UV lúče sú veľmi intenzívne. Mali by ste obmedziť vychádzky uprostred dňa, používať ochranný odev, slnečné okuliare a opaľovací krém.</v>
      </c>
      <c r="BD100" s="3" t="str">
        <f>IFERROR(__xludf.DUMMYFUNCTION("GoogleTranslate(C100, ""en"", ""sl"")"),"UV žarki so zelo intenzivni. Omejite izhode sredi dneva, uporabljajte zaščitna oblačila, sončna očala in kremo za sončenje.")</f>
        <v>UV žarki so zelo intenzivni. Omejite izhode sredi dneva, uporabljajte zaščitna oblačila, sončna očala in kremo za sončenje.</v>
      </c>
      <c r="BE100" s="3" t="str">
        <f>IFERROR(__xludf.DUMMYFUNCTION("GoogleTranslate(C100, ""en"", ""es"")"),"Los rayos ultravioleta son muy intensos. Debes limitar las salidas a mitad del día, utilizar ropa protectora, gafas de sol y bloqueador solar.")</f>
        <v>Los rayos ultravioleta son muy intensos. Debes limitar las salidas a mitad del día, utilizar ropa protectora, gafas de sol y bloqueador solar.</v>
      </c>
      <c r="BF100" s="3" t="str">
        <f>IFERROR(__xludf.DUMMYFUNCTION("GoogleTranslate(C100, ""en"", ""sw"")"),"Mionzi ya UV ni kali sana. Unapaswa kupunguza kutoka nje katikati ya siku, tumia mavazi ya kujikinga, miwani ya jua na mafuta ya kuzuia jua.")</f>
        <v>Mionzi ya UV ni kali sana. Unapaswa kupunguza kutoka nje katikati ya siku, tumia mavazi ya kujikinga, miwani ya jua na mafuta ya kuzuia jua.</v>
      </c>
      <c r="BG100" s="3" t="str">
        <f>IFERROR(__xludf.DUMMYFUNCTION("GoogleTranslate(C100, ""en"", ""sv"")"),"UV-strålar är mycket intensiva. Du bör begränsa att gå ut mitt på dagen, använda skyddskläder, solglasögon och solskyddsmedel.")</f>
        <v>UV-strålar är mycket intensiva. Du bör begränsa att gå ut mitt på dagen, använda skyddskläder, solglasögon och solskyddsmedel.</v>
      </c>
      <c r="BH100" s="3" t="str">
        <f>IFERROR(__xludf.DUMMYFUNCTION("GoogleTranslate(C100, ""en"", ""te"")"),"UV కిరణాలు అత్యంత తీవ్రమైనవి. మీరు రోజు మధ్యలో బయటకు వెళ్లడాన్ని పరిమితం చేయాలి, రక్షణ దుస్తులు, సన్ గ్లాసెస్ మరియు సన్‌స్క్రీన్‌ని ఉపయోగించండి.")</f>
        <v>UV కిరణాలు అత్యంత తీవ్రమైనవి. మీరు రోజు మధ్యలో బయటకు వెళ్లడాన్ని పరిమితం చేయాలి, రక్షణ దుస్తులు, సన్ గ్లాసెస్ మరియు సన్‌స్క్రీన్‌ని ఉపయోగించండి.</v>
      </c>
      <c r="BI100" s="3" t="str">
        <f>IFERROR(__xludf.DUMMYFUNCTION("GoogleTranslate(C100, ""en"", ""th"")"),"รังสียูวีมีความเข้มข้นสูง คุณควรจำกัดการออกไปข้างนอกในตอนกลางวัน สวมชุดป้องกัน แว่นกันแดด และครีมกันแดด")</f>
        <v>รังสียูวีมีความเข้มข้นสูง คุณควรจำกัดการออกไปข้างนอกในตอนกลางวัน สวมชุดป้องกัน แว่นกันแดด และครีมกันแดด</v>
      </c>
      <c r="BJ100" s="3" t="str">
        <f>IFERROR(__xludf.DUMMYFUNCTION("GoogleTranslate(C100, ""en"", ""tr"")"),"UV ışınları oldukça yoğundur. Gün ortasında dışarı çıkmayı sınırlamalı, koruyucu kıyafet, güneş gözlüğü ve güneş kremi kullanmalısınız.")</f>
        <v>UV ışınları oldukça yoğundur. Gün ortasında dışarı çıkmayı sınırlamalı, koruyucu kıyafet, güneş gözlüğü ve güneş kremi kullanmalısınız.</v>
      </c>
      <c r="BK100" s="3" t="str">
        <f>IFERROR(__xludf.DUMMYFUNCTION("GoogleTranslate(C100, ""en"", ""uk"")"),"УФ-промені мають високу інтенсивність. Слід обмежити вихід на вулицю в середині дня, використовувати захисний одяг, сонцезахисні окуляри та сонцезахисний крем.")</f>
        <v>УФ-промені мають високу інтенсивність. Слід обмежити вихід на вулицю в середині дня, використовувати захисний одяг, сонцезахисні окуляри та сонцезахисний крем.</v>
      </c>
      <c r="BL100" s="3" t="str">
        <f>IFERROR(__xludf.DUMMYFUNCTION("GoogleTranslate(C100, ""en"", ""zu"")"),"Imisebe ye-UV inamandla kakhulu. Kufanele ukhawulele ukuphuma phakathi nosuku, sebenzisa izingubo zokuzivikela, izibuko zelanga, nokuvikela ilanga.")</f>
        <v>Imisebe ye-UV inamandla kakhulu. Kufanele ukhawulele ukuphuma phakathi nosuku, sebenzisa izingubo zokuzivikela, izibuko zelanga, nokuvikela ilanga.</v>
      </c>
    </row>
    <row r="101">
      <c r="A101" s="1" t="str">
        <f t="shared" si="1"/>
        <v>Very_high</v>
      </c>
      <c r="B101" s="4" t="s">
        <v>158</v>
      </c>
      <c r="C101" s="1" t="str">
        <f t="shared" si="2"/>
        <v>Very high</v>
      </c>
      <c r="D101" s="3" t="str">
        <f>IFERROR(__xludf.DUMMYFUNCTION("GoogleTranslate(C101, ""en"", ""es"")"),"muy alto")</f>
        <v>muy alto</v>
      </c>
      <c r="E101" s="3" t="str">
        <f>IFERROR(__xludf.DUMMYFUNCTION("GoogleTranslate(C101, ""en"", ""ar"")"),"عالية جدا")</f>
        <v>عالية جدا</v>
      </c>
      <c r="F101" s="3" t="str">
        <f>IFERROR(__xludf.DUMMYFUNCTION("GoogleTranslate(C101, ""en"", ""hy"")"),"Շատ բարձր")</f>
        <v>Շատ բարձր</v>
      </c>
      <c r="G101" s="3" t="str">
        <f>IFERROR(__xludf.DUMMYFUNCTION("GoogleTranslate(C101, ""en"", ""vi"")"),"Rất cao")</f>
        <v>Rất cao</v>
      </c>
      <c r="H101" s="3" t="str">
        <f>IFERROR(__xludf.DUMMYFUNCTION("GoogleTranslate(C101, ""en"", ""az"")"),"Çox yüksək")</f>
        <v>Çox yüksək</v>
      </c>
      <c r="I101" s="3" t="str">
        <f>IFERROR(__xludf.DUMMYFUNCTION("GoogleTranslate(C101, ""en"", ""eu"")"),"Oso altua")</f>
        <v>Oso altua</v>
      </c>
      <c r="J101" s="3" t="str">
        <f>IFERROR(__xludf.DUMMYFUNCTION("GoogleTranslate(C101, ""en"", ""be"")"),"Вельмі высокая")</f>
        <v>Вельмі высокая</v>
      </c>
      <c r="K101" s="3" t="str">
        <f>IFERROR(__xludf.DUMMYFUNCTION("GoogleTranslate(C101, ""en"", ""bn"")"),"অনেক উঁচুতে")</f>
        <v>অনেক উঁচুতে</v>
      </c>
      <c r="L101" s="3" t="str">
        <f>IFERROR(__xludf.DUMMYFUNCTION("GoogleTranslate(C101, ""en"", ""bg"")"),"Много високо")</f>
        <v>Много високо</v>
      </c>
      <c r="M101" s="3" t="str">
        <f>IFERROR(__xludf.DUMMYFUNCTION("GoogleTranslate(C101, ""en"", ""my"")"),"အရမ်းမြင့်တယ်။")</f>
        <v>အရမ်းမြင့်တယ်။</v>
      </c>
      <c r="N101" s="3" t="str">
        <f>IFERROR(__xludf.DUMMYFUNCTION("GoogleTranslate(C101, ""en"", ""ca"")"),"Molt alt")</f>
        <v>Molt alt</v>
      </c>
      <c r="O101" s="3" t="str">
        <f>IFERROR(__xludf.DUMMYFUNCTION("GoogleTranslate(C101, ""en"", ""zh-cn"")"),"非常高")</f>
        <v>非常高</v>
      </c>
      <c r="P101" s="3" t="str">
        <f>IFERROR(__xludf.DUMMYFUNCTION("GoogleTranslate(C101, ""en"", ""zh-TW"")"),"非常高")</f>
        <v>非常高</v>
      </c>
      <c r="Q101" s="3" t="str">
        <f>IFERROR(__xludf.DUMMYFUNCTION("GoogleTranslate(C101, ""en"", ""hr"")"),"Vrlo visoko")</f>
        <v>Vrlo visoko</v>
      </c>
      <c r="R101" s="3" t="str">
        <f>IFERROR(__xludf.DUMMYFUNCTION("GoogleTranslate(C101, ""en"", ""cs"")"),"Velmi vysoká")</f>
        <v>Velmi vysoká</v>
      </c>
      <c r="S101" s="3" t="str">
        <f>IFERROR(__xludf.DUMMYFUNCTION("GoogleTranslate(C101, ""en"", ""da"")"),"Meget høj")</f>
        <v>Meget høj</v>
      </c>
      <c r="T101" s="3" t="str">
        <f>IFERROR(__xludf.DUMMYFUNCTION("GoogleTranslate(C101, ""en"", ""nl"")"),"Zeer hoog")</f>
        <v>Zeer hoog</v>
      </c>
      <c r="U101" s="3" t="str">
        <f>IFERROR(__xludf.DUMMYFUNCTION("GoogleTranslate(C101, ""en"", ""et"")"),"Väga kõrge")</f>
        <v>Väga kõrge</v>
      </c>
      <c r="V101" s="1" t="str">
        <f t="shared" si="3"/>
        <v>Very high</v>
      </c>
      <c r="W101" s="3" t="str">
        <f>IFERROR(__xludf.DUMMYFUNCTION("GoogleTranslate(C101, ""en"", ""fi"")"),"Erittäin korkea")</f>
        <v>Erittäin korkea</v>
      </c>
      <c r="X101" s="3" t="str">
        <f>IFERROR(__xludf.DUMMYFUNCTION("GoogleTranslate(C101, ""en"", ""fr"")"),"Très élevé")</f>
        <v>Très élevé</v>
      </c>
      <c r="Y101" s="3" t="str">
        <f>IFERROR(__xludf.DUMMYFUNCTION("GoogleTranslate(C101, ""en"", ""de"")"),"Sehr hoch")</f>
        <v>Sehr hoch</v>
      </c>
      <c r="Z101" s="3" t="str">
        <f>IFERROR(__xludf.DUMMYFUNCTION("GoogleTranslate(C101, ""en"", ""el"")"),"Πολύ ψηλά")</f>
        <v>Πολύ ψηλά</v>
      </c>
      <c r="AA101" s="3" t="str">
        <f>IFERROR(__xludf.DUMMYFUNCTION("GoogleTranslate(C101, ""en"", ""iw"")"),"גבוה מאוד")</f>
        <v>גבוה מאוד</v>
      </c>
      <c r="AB101" s="3" t="str">
        <f>IFERROR(__xludf.DUMMYFUNCTION("GoogleTranslate(C101, ""en"", ""hi"")"),"बहुत ऊँचा")</f>
        <v>बहुत ऊँचा</v>
      </c>
      <c r="AC101" s="3" t="str">
        <f>IFERROR(__xludf.DUMMYFUNCTION("GoogleTranslate(C101, ""en"", ""hu"")"),"Nagyon magas")</f>
        <v>Nagyon magas</v>
      </c>
      <c r="AD101" s="3" t="str">
        <f>IFERROR(__xludf.DUMMYFUNCTION("GoogleTranslate(C101, ""en"", ""is"")"),"Mjög hátt")</f>
        <v>Mjög hátt</v>
      </c>
      <c r="AE101" s="3" t="str">
        <f>IFERROR(__xludf.DUMMYFUNCTION("GoogleTranslate(C101, ""en"", ""id"")"),"Sangat tinggi")</f>
        <v>Sangat tinggi</v>
      </c>
      <c r="AF101" s="3" t="str">
        <f>IFERROR(__xludf.DUMMYFUNCTION("GoogleTranslate(C101, ""en"", ""in"")"),"Sangat tinggi")</f>
        <v>Sangat tinggi</v>
      </c>
      <c r="AG101" s="3" t="str">
        <f>IFERROR(__xludf.DUMMYFUNCTION("GoogleTranslate(C101, ""en"", ""it"")"),"Molto alto")</f>
        <v>Molto alto</v>
      </c>
      <c r="AH101" s="3" t="str">
        <f>IFERROR(__xludf.DUMMYFUNCTION("GoogleTranslate(C101, ""en"", ""ja"")"),"非常に高い")</f>
        <v>非常に高い</v>
      </c>
      <c r="AI101" s="3" t="str">
        <f>IFERROR(__xludf.DUMMYFUNCTION("GoogleTranslate(C101, ""en"", ""kn"")"),"ತುಂಬಾ ಹೆಚ್ಚು")</f>
        <v>ತುಂಬಾ ಹೆಚ್ಚು</v>
      </c>
      <c r="AJ101" s="3" t="str">
        <f>IFERROR(__xludf.DUMMYFUNCTION("GoogleTranslate(C101, ""en"", ""km"")"),"ខ្ពស់ណាស់។")</f>
        <v>ខ្ពស់ណាស់។</v>
      </c>
      <c r="AK101" s="3" t="str">
        <f>IFERROR(__xludf.DUMMYFUNCTION("GoogleTranslate(C101, ""en"", ""ko"")"),"매우 높음")</f>
        <v>매우 높음</v>
      </c>
      <c r="AL101" s="3" t="str">
        <f>IFERROR(__xludf.DUMMYFUNCTION("GoogleTranslate(C101, ""en"", ""lo"")"),"ສູງຫຼາຍ")</f>
        <v>ສູງຫຼາຍ</v>
      </c>
      <c r="AM101" s="3" t="str">
        <f>IFERROR(__xludf.DUMMYFUNCTION("GoogleTranslate(C101, ""en"", ""lv"")"),"Ļoti augsts")</f>
        <v>Ļoti augsts</v>
      </c>
      <c r="AN101" s="3" t="str">
        <f>IFERROR(__xludf.DUMMYFUNCTION("GoogleTranslate(C101, ""en"", ""lt"")"),"Labai aukštas")</f>
        <v>Labai aukštas</v>
      </c>
      <c r="AO101" s="3" t="str">
        <f>IFERROR(__xludf.DUMMYFUNCTION("GoogleTranslate(C101, ""en"", ""mk"")"),"Многу високо")</f>
        <v>Многу високо</v>
      </c>
      <c r="AP101" s="3" t="str">
        <f>IFERROR(__xludf.DUMMYFUNCTION("GoogleTranslate(C101, ""en"", ""ms"")"),"Sangat tinggi")</f>
        <v>Sangat tinggi</v>
      </c>
      <c r="AQ101" s="3" t="str">
        <f>IFERROR(__xludf.DUMMYFUNCTION("GoogleTranslate(C101, ""en"", ""ml"")"),"വളരെ ഉയർന്നത്")</f>
        <v>വളരെ ഉയർന്നത്</v>
      </c>
      <c r="AR101" s="3" t="str">
        <f>IFERROR(__xludf.DUMMYFUNCTION("GoogleTranslate(C101, ""en"", ""mr"")"),"खूप उच्च")</f>
        <v>खूप उच्च</v>
      </c>
      <c r="AS101" s="3" t="str">
        <f>IFERROR(__xludf.DUMMYFUNCTION("GoogleTranslate(C101, ""en"", ""mn"")"),"Маш өндөр")</f>
        <v>Маш өндөр</v>
      </c>
      <c r="AT101" s="3" t="str">
        <f>IFERROR(__xludf.DUMMYFUNCTION("GoogleTranslate(C101, ""en"", ""ne"")"),"धेरै उच्च")</f>
        <v>धेरै उच्च</v>
      </c>
      <c r="AU101" s="3" t="str">
        <f>IFERROR(__xludf.DUMMYFUNCTION("GoogleTranslate(C101, ""en"", ""nb"")"),"Veldig høy")</f>
        <v>Veldig høy</v>
      </c>
      <c r="AV101" s="3" t="str">
        <f>IFERROR(__xludf.DUMMYFUNCTION("GoogleTranslate(C101, ""en"", ""fa"")"),"خیلی بالا")</f>
        <v>خیلی بالا</v>
      </c>
      <c r="AW101" s="3" t="str">
        <f>IFERROR(__xludf.DUMMYFUNCTION("GoogleTranslate(C101, ""en"", ""pl"")"),"Bardzo wysoki")</f>
        <v>Bardzo wysoki</v>
      </c>
      <c r="AX101" s="3" t="str">
        <f>IFERROR(__xludf.DUMMYFUNCTION("GoogleTranslate(C101, ""en"", ""pt"")"),"Muito alto")</f>
        <v>Muito alto</v>
      </c>
      <c r="AY101" s="3" t="str">
        <f>IFERROR(__xludf.DUMMYFUNCTION("GoogleTranslate(C101, ""en"", ""ro"")"),"Foarte sus")</f>
        <v>Foarte sus</v>
      </c>
      <c r="AZ101" s="3" t="str">
        <f>IFERROR(__xludf.DUMMYFUNCTION("GoogleTranslate(C101, ""en"", ""ru"")"),"Очень высокий")</f>
        <v>Очень высокий</v>
      </c>
      <c r="BA101" s="3" t="str">
        <f>IFERROR(__xludf.DUMMYFUNCTION("GoogleTranslate(C101, ""en"", ""sr"")"),"Врло високо")</f>
        <v>Врло високо</v>
      </c>
      <c r="BB101" s="3" t="str">
        <f>IFERROR(__xludf.DUMMYFUNCTION("GoogleTranslate(C101, ""en"", ""si"")"),"ඉතා ඉහළයි")</f>
        <v>ඉතා ඉහළයි</v>
      </c>
      <c r="BC101" s="3" t="str">
        <f>IFERROR(__xludf.DUMMYFUNCTION("GoogleTranslate(C101, ""en"", ""sk"")"),"Veľmi vysoká")</f>
        <v>Veľmi vysoká</v>
      </c>
      <c r="BD101" s="3" t="str">
        <f>IFERROR(__xludf.DUMMYFUNCTION("GoogleTranslate(C101, ""en"", ""sl"")"),"Zelo visoko")</f>
        <v>Zelo visoko</v>
      </c>
      <c r="BE101" s="3" t="str">
        <f>IFERROR(__xludf.DUMMYFUNCTION("GoogleTranslate(C101, ""en"", ""es"")"),"muy alto")</f>
        <v>muy alto</v>
      </c>
      <c r="BF101" s="3" t="str">
        <f>IFERROR(__xludf.DUMMYFUNCTION("GoogleTranslate(C101, ""en"", ""sw"")"),"Juu sana")</f>
        <v>Juu sana</v>
      </c>
      <c r="BG101" s="3" t="str">
        <f>IFERROR(__xludf.DUMMYFUNCTION("GoogleTranslate(C101, ""en"", ""sv"")"),"Mycket hög")</f>
        <v>Mycket hög</v>
      </c>
      <c r="BH101" s="3" t="str">
        <f>IFERROR(__xludf.DUMMYFUNCTION("GoogleTranslate(C101, ""en"", ""te"")"),"చాలా ఎక్కువ")</f>
        <v>చాలా ఎక్కువ</v>
      </c>
      <c r="BI101" s="3" t="str">
        <f>IFERROR(__xludf.DUMMYFUNCTION("GoogleTranslate(C101, ""en"", ""th"")"),"สูงมาก")</f>
        <v>สูงมาก</v>
      </c>
      <c r="BJ101" s="3" t="str">
        <f>IFERROR(__xludf.DUMMYFUNCTION("GoogleTranslate(C101, ""en"", ""tr"")"),"Çok yüksek")</f>
        <v>Çok yüksek</v>
      </c>
      <c r="BK101" s="3" t="str">
        <f>IFERROR(__xludf.DUMMYFUNCTION("GoogleTranslate(C101, ""en"", ""uk"")"),"Дуже високий")</f>
        <v>Дуже високий</v>
      </c>
      <c r="BL101" s="3" t="str">
        <f>IFERROR(__xludf.DUMMYFUNCTION("GoogleTranslate(C101, ""en"", ""zu"")"),"Phezulu kakhulu")</f>
        <v>Phezulu kakhulu</v>
      </c>
    </row>
    <row r="102">
      <c r="A102" s="1" t="str">
        <f t="shared" si="1"/>
        <v>The_risk_from_UV_rays_is_very_high._Increase_protective_measures_such_as_wearing_a_wide-brimmed_hat,_using_high_SPF_sunscreen,_and_seeking_shade_when_outdoors.</v>
      </c>
      <c r="B102" s="4" t="s">
        <v>159</v>
      </c>
      <c r="C102" s="1" t="str">
        <f t="shared" si="2"/>
        <v>The risk from UV rays is very high. Increase protective measures such as wearing a wide-brimmed hat, using high SPF sunscreen, and seeking shade when outdoors.</v>
      </c>
      <c r="D102" s="3" t="str">
        <f>IFERROR(__xludf.DUMMYFUNCTION("GoogleTranslate(C102, ""en"", ""es"")"),"El riesgo de los rayos UV es muy alto. Aumente las medidas de protección, como usar un sombrero de ala ancha, usar protector solar con SPF alto y buscar sombra cuando esté al aire libre.")</f>
        <v>El riesgo de los rayos UV es muy alto. Aumente las medidas de protección, como usar un sombrero de ala ancha, usar protector solar con SPF alto y buscar sombra cuando esté al aire libre.</v>
      </c>
      <c r="E102" s="3" t="str">
        <f>IFERROR(__xludf.DUMMYFUNCTION("GoogleTranslate(C102, ""en"", ""ar"")"),"الخطر الناتج عن الأشعة فوق البنفسجية مرتفع جدًا. قم بزيادة تدابير الحماية مثل ارتداء قبعة واسعة الحواف، واستخدام واقي الشمس ذو عامل حماية عالي (SPF)، والبحث عن الظل عندما تكون في الخارج.")</f>
        <v>الخطر الناتج عن الأشعة فوق البنفسجية مرتفع جدًا. قم بزيادة تدابير الحماية مثل ارتداء قبعة واسعة الحواف، واستخدام واقي الشمس ذو عامل حماية عالي (SPF)، والبحث عن الظل عندما تكون في الخارج.</v>
      </c>
      <c r="F102" s="3" t="str">
        <f>IFERROR(__xludf.DUMMYFUNCTION("GoogleTranslate(C102, ""en"", ""hy"")"),"Ուլտրամանուշակագույն ճառագայթների վտանգը շատ մեծ է։ Բարձրացրեք պաշտպանիչ միջոցները, ինչպիսիք են լայնեզր գլխարկ կրելը, բարձր SPF արևապաշտպան քսուք օգտագործելը և դրսում ստվեր փնտրելը:")</f>
        <v>Ուլտրամանուշակագույն ճառագայթների վտանգը շատ մեծ է։ Բարձրացրեք պաշտպանիչ միջոցները, ինչպիսիք են լայնեզր գլխարկ կրելը, բարձր SPF արևապաշտպան քսուք օգտագործելը և դրսում ստվեր փնտրելը:</v>
      </c>
      <c r="G102" s="3" t="str">
        <f>IFERROR(__xludf.DUMMYFUNCTION("GoogleTranslate(C102, ""en"", ""vi"")"),"Nguy cơ từ tia UV là rất cao. Tăng cường các biện pháp bảo vệ như đội mũ rộng vành, sử dụng kem chống nắng có chỉ số SPF cao và tìm bóng râm khi ra ngoài trời.")</f>
        <v>Nguy cơ từ tia UV là rất cao. Tăng cường các biện pháp bảo vệ như đội mũ rộng vành, sử dụng kem chống nắng có chỉ số SPF cao và tìm bóng râm khi ra ngoài trời.</v>
      </c>
      <c r="H102" s="3" t="str">
        <f>IFERROR(__xludf.DUMMYFUNCTION("GoogleTranslate(C102, ""en"", ""az"")"),"UV şüalarının riski çox yüksəkdir. Geniş kənarlı papaq taxmaq, yüksək SPF günəş kremindən istifadə etmək və açıq havada kölgə axtarmaq kimi qoruyucu tədbirləri artırın.")</f>
        <v>UV şüalarının riski çox yüksəkdir. Geniş kənarlı papaq taxmaq, yüksək SPF günəş kremindən istifadə etmək və açıq havada kölgə axtarmaq kimi qoruyucu tədbirləri artırın.</v>
      </c>
      <c r="I102" s="3" t="str">
        <f>IFERROR(__xludf.DUMMYFUNCTION("GoogleTranslate(C102, ""en"", ""eu"")"),"UV izpien arriskua oso handia da. Handitu babes-neurriak, hala nola ertz zabaleko txano bat janztea, eguzkitako SPF handiko krema erabiltzea eta itzala bilatzea kanpoan dagoenean.")</f>
        <v>UV izpien arriskua oso handia da. Handitu babes-neurriak, hala nola ertz zabaleko txano bat janztea, eguzkitako SPF handiko krema erabiltzea eta itzala bilatzea kanpoan dagoenean.</v>
      </c>
      <c r="J102" s="3" t="str">
        <f>IFERROR(__xludf.DUMMYFUNCTION("GoogleTranslate(C102, ""en"", ""be"")"),"Рызыка ад УФ-прамянёў вельмі высокая. Узмацніце меры абароны, такія як нашэнне капелюша з шырокімі палямі, выкарыстанне сонцаахоўнага крэму з высокім SPF і знаходжанне ў цені на вуліцы.")</f>
        <v>Рызыка ад УФ-прамянёў вельмі высокая. Узмацніце меры абароны, такія як нашэнне капелюша з шырокімі палямі, выкарыстанне сонцаахоўнага крэму з высокім SPF і знаходжанне ў цені на вуліцы.</v>
      </c>
      <c r="K102" s="3" t="str">
        <f>IFERROR(__xludf.DUMMYFUNCTION("GoogleTranslate(C102, ""en"", ""bn"")"),"অতিবেগুনী রশ্মির ঝুঁকি অনেক বেশি। প্রতিরক্ষামূলক ব্যবস্থা বাড়ান যেমন চওড়া কাঁটাযুক্ত টুপি পরা, উচ্চ এসপিএফ সানস্ক্রিন ব্যবহার করা এবং বাইরে যখন ছায়া খোঁজা।")</f>
        <v>অতিবেগুনী রশ্মির ঝুঁকি অনেক বেশি। প্রতিরক্ষামূলক ব্যবস্থা বাড়ান যেমন চওড়া কাঁটাযুক্ত টুপি পরা, উচ্চ এসপিএফ সানস্ক্রিন ব্যবহার করা এবং বাইরে যখন ছায়া খোঁজা।</v>
      </c>
      <c r="L102" s="3" t="str">
        <f>IFERROR(__xludf.DUMMYFUNCTION("GoogleTranslate(C102, ""en"", ""bg"")"),"Рискът от ултравиолетовите лъчи е много висок. Увеличете предпазните мерки като носене на шапка с широка периферия, използване на слънцезащитни продукти с висок SPF и търсене на сянка, когато сте на открито.")</f>
        <v>Рискът от ултравиолетовите лъчи е много висок. Увеличете предпазните мерки като носене на шапка с широка периферия, използване на слънцезащитни продукти с висок SPF и търсене на сянка, когато сте на открито.</v>
      </c>
      <c r="M102" s="3" t="str">
        <f>IFERROR(__xludf.DUMMYFUNCTION("GoogleTranslate(C102, ""en"", ""my"")"),"UV rays တွေရဲ့ အန္တရာယ်က အရမ်းများတယ်။ ကျယ်ပြန့်သောဦးထုပ်ဆောင်းခြင်း၊ SPF မြင့်မားသော နေရောင်ကာခရင်မ်ကို အသုံးပြုခြင်းနှင့် အပြင်ထွက်သည့်အခါ အရိပ်ရှာခြင်းကဲ့သို့သော အကာအကွယ်အစီအမံများကို တိုးမြှင့်ပါ။")</f>
        <v>UV rays တွေရဲ့ အန္တရာယ်က အရမ်းများတယ်။ ကျယ်ပြန့်သောဦးထုပ်ဆောင်းခြင်း၊ SPF မြင့်မားသော နေရောင်ကာခရင်မ်ကို အသုံးပြုခြင်းနှင့် အပြင်ထွက်သည့်အခါ အရိပ်ရှာခြင်းကဲ့သို့သော အကာအကွယ်အစီအမံများကို တိုးမြှင့်ပါ။</v>
      </c>
      <c r="N102" s="3" t="str">
        <f>IFERROR(__xludf.DUMMYFUNCTION("GoogleTranslate(C102, ""en"", ""ca"")"),"El risc dels raigs UV és molt alt. Augmenta les mesures de protecció, com ara portar un barret d'ala ampla, utilitzar protector solar SPF alt i buscar ombra a l'aire lliure.")</f>
        <v>El risc dels raigs UV és molt alt. Augmenta les mesures de protecció, com ara portar un barret d'ala ampla, utilitzar protector solar SPF alt i buscar ombra a l'aire lliure.</v>
      </c>
      <c r="O102" s="3" t="str">
        <f>IFERROR(__xludf.DUMMYFUNCTION("GoogleTranslate(C102, ""en"", ""zh-cn"")"),"紫外线的风险非常高。加强防护措施，如戴宽边帽、使用高SPF防晒霜、户外时寻找阴凉处等。")</f>
        <v>紫外线的风险非常高。加强防护措施，如戴宽边帽、使用高SPF防晒霜、户外时寻找阴凉处等。</v>
      </c>
      <c r="P102" s="3" t="str">
        <f>IFERROR(__xludf.DUMMYFUNCTION("GoogleTranslate(C102, ""en"", ""zh-TW"")"),"紫外線的風險非常高。加強防護措施，如戴寬邊帽、使用高SPF防曬乳、戶外時尋找陰涼處等。")</f>
        <v>紫外線的風險非常高。加強防護措施，如戴寬邊帽、使用高SPF防曬乳、戶外時尋找陰涼處等。</v>
      </c>
      <c r="Q102" s="3" t="str">
        <f>IFERROR(__xludf.DUMMYFUNCTION("GoogleTranslate(C102, ""en"", ""hr"")"),"Rizik od UV zraka je vrlo visok. Pojačajte zaštitne mjere kao što je nošenje šešira širokog oboda, korištenje kreme za sunčanje s visokim zaštitnim faktorom i traženje hlada kada ste vani.")</f>
        <v>Rizik od UV zraka je vrlo visok. Pojačajte zaštitne mjere kao što je nošenje šešira širokog oboda, korištenje kreme za sunčanje s visokim zaštitnim faktorom i traženje hlada kada ste vani.</v>
      </c>
      <c r="R102" s="3" t="str">
        <f>IFERROR(__xludf.DUMMYFUNCTION("GoogleTranslate(C102, ""en"", ""cs"")"),"Riziko UV záření je velmi vysoké. Zvyšte ochranná opatření, jako je nošení klobouku se širokou krempou, používání opalovacích krémů s vysokým SPF a hledání stínu venku.")</f>
        <v>Riziko UV záření je velmi vysoké. Zvyšte ochranná opatření, jako je nošení klobouku se širokou krempou, používání opalovacích krémů s vysokým SPF a hledání stínu venku.</v>
      </c>
      <c r="S102" s="3" t="str">
        <f>IFERROR(__xludf.DUMMYFUNCTION("GoogleTranslate(C102, ""en"", ""da"")"),"Risikoen fra UV-stråler er meget høj. Forøg beskyttelsesforanstaltninger såsom at bære en bredskygget hat, bruge solcreme med høj SPF og søge skygge, når du er udendørs.")</f>
        <v>Risikoen fra UV-stråler er meget høj. Forøg beskyttelsesforanstaltninger såsom at bære en bredskygget hat, bruge solcreme med høj SPF og søge skygge, når du er udendørs.</v>
      </c>
      <c r="T102" s="3" t="str">
        <f>IFERROR(__xludf.DUMMYFUNCTION("GoogleTranslate(C102, ""en"", ""nl"")"),"Het risico van UV-straling is zeer hoog. Verhoog de beschermende maatregelen, zoals het dragen van een hoed met een brede rand, het gebruik van zonnebrandcrème met een hoge SPF en het zoeken naar schaduw buitenshuis.")</f>
        <v>Het risico van UV-straling is zeer hoog. Verhoog de beschermende maatregelen, zoals het dragen van een hoed met een brede rand, het gebruik van zonnebrandcrème met een hoge SPF en het zoeken naar schaduw buitenshuis.</v>
      </c>
      <c r="U102" s="3" t="str">
        <f>IFERROR(__xludf.DUMMYFUNCTION("GoogleTranslate(C102, ""en"", ""et"")"),"UV-kiirguse oht on väga suur. Suurendage kaitsemeetmeid, nagu laia äärega mütsi kandmine, kõrge SPF-i päikesekaitsekreemi kasutamine ja õues olles varju otsimine.")</f>
        <v>UV-kiirguse oht on väga suur. Suurendage kaitsemeetmeid, nagu laia äärega mütsi kandmine, kõrge SPF-i päikesekaitsekreemi kasutamine ja õues olles varju otsimine.</v>
      </c>
      <c r="V102" s="1" t="str">
        <f t="shared" si="3"/>
        <v>The risk from UV rays is very high. Increase protective measures such as wearing a wide-brimmed hat, using high SPF sunscreen, and seeking shade when outdoors.</v>
      </c>
      <c r="W102" s="3" t="str">
        <f>IFERROR(__xludf.DUMMYFUNCTION("GoogleTranslate(C102, ""en"", ""fi"")"),"UV-säteiden riski on erittäin korkea. Lisää suojatoimenpiteitä, kuten leveälierisen hatun käyttöä, korkean SPF:n aurinkovoidetta ja varjon etsimistä ulkona.")</f>
        <v>UV-säteiden riski on erittäin korkea. Lisää suojatoimenpiteitä, kuten leveälierisen hatun käyttöä, korkean SPF:n aurinkovoidetta ja varjon etsimistä ulkona.</v>
      </c>
      <c r="X102" s="3" t="str">
        <f>IFERROR(__xludf.DUMMYFUNCTION("GoogleTranslate(C102, ""en"", ""fr"")"),"Le risque lié aux rayons UV est très élevé. Augmentez les mesures de protection telles que le port d'un chapeau à larges bords, l'utilisation d'un écran solaire à FPS élevé et la recherche d'ombre lorsque vous êtes à l'extérieur.")</f>
        <v>Le risque lié aux rayons UV est très élevé. Augmentez les mesures de protection telles que le port d'un chapeau à larges bords, l'utilisation d'un écran solaire à FPS élevé et la recherche d'ombre lorsque vous êtes à l'extérieur.</v>
      </c>
      <c r="Y102" s="3" t="str">
        <f>IFERROR(__xludf.DUMMYFUNCTION("GoogleTranslate(C102, ""en"", ""de"")"),"Das Risiko durch UV-Strahlen ist sehr hoch. Erhöhen Sie die Schutzmaßnahmen, z. B. das Tragen eines Hutes mit breiter Krempe, die Verwendung von Sonnenschutzmitteln mit hohem Lichtschutzfaktor und die Suche nach Schatten im Freien.")</f>
        <v>Das Risiko durch UV-Strahlen ist sehr hoch. Erhöhen Sie die Schutzmaßnahmen, z. B. das Tragen eines Hutes mit breiter Krempe, die Verwendung von Sonnenschutzmitteln mit hohem Lichtschutzfaktor und die Suche nach Schatten im Freien.</v>
      </c>
      <c r="Z102" s="3" t="str">
        <f>IFERROR(__xludf.DUMMYFUNCTION("GoogleTranslate(C102, ""en"", ""el"")"),"Ο κίνδυνος από τις ακτίνες UV είναι πολύ υψηλός. Αυξήστε τα προστατευτικά μέτρα, όπως η χρήση καπέλου με φαρδύ γείσο, η χρήση αντηλιακού με υψηλό δείκτη προστασίας και η αναζήτηση σκιάς όταν βρίσκεστε σε εξωτερικούς χώρους.")</f>
        <v>Ο κίνδυνος από τις ακτίνες UV είναι πολύ υψηλός. Αυξήστε τα προστατευτικά μέτρα, όπως η χρήση καπέλου με φαρδύ γείσο, η χρήση αντηλιακού με υψηλό δείκτη προστασίας και η αναζήτηση σκιάς όταν βρίσκεστε σε εξωτερικούς χώρους.</v>
      </c>
      <c r="AA102" s="3" t="str">
        <f>IFERROR(__xludf.DUMMYFUNCTION("GoogleTranslate(C102, ""en"", ""iw"")"),"הסיכון מקרני UV גבוה מאוד. הגבר אמצעי הגנה כגון חבישת כובע רחב שוליים, שימוש בקרם הגנה SPF גבוה וחיפוש צל בחוץ.")</f>
        <v>הסיכון מקרני UV גבוה מאוד. הגבר אמצעי הגנה כגון חבישת כובע רחב שוליים, שימוש בקרם הגנה SPF גבוה וחיפוש צל בחוץ.</v>
      </c>
      <c r="AB102" s="3" t="str">
        <f>IFERROR(__xludf.DUMMYFUNCTION("GoogleTranslate(C102, ""en"", ""hi"")"),"यूवी किरणों से खतरा बहुत अधिक है। सुरक्षात्मक उपाय बढ़ाएँ जैसे चौड़ी किनारी वाली टोपी पहनना, उच्च एसपीएफ़ सनस्क्रीन का उपयोग करना और बाहर जाने पर छाया की तलाश करना।")</f>
        <v>यूवी किरणों से खतरा बहुत अधिक है। सुरक्षात्मक उपाय बढ़ाएँ जैसे चौड़ी किनारी वाली टोपी पहनना, उच्च एसपीएफ़ सनस्क्रीन का उपयोग करना और बाहर जाने पर छाया की तलाश करना।</v>
      </c>
      <c r="AC102" s="3" t="str">
        <f>IFERROR(__xludf.DUMMYFUNCTION("GoogleTranslate(C102, ""en"", ""hu"")"),"Az UV-sugárzás kockázata nagyon magas. Növelje a védőintézkedéseket, például viseljen széles karimájú kalapot, használjon magas SPF-faktort tartalmazó fényvédő krémet, és keressen árnyékot a szabadban.")</f>
        <v>Az UV-sugárzás kockázata nagyon magas. Növelje a védőintézkedéseket, például viseljen széles karimájú kalapot, használjon magas SPF-faktort tartalmazó fényvédő krémet, és keressen árnyékot a szabadban.</v>
      </c>
      <c r="AD102" s="3" t="str">
        <f>IFERROR(__xludf.DUMMYFUNCTION("GoogleTranslate(C102, ""en"", ""is"")"),"Hættan af UV geislum er mjög mikil. Auka verndarráðstafanir eins og að vera með breiðan hatt, nota sólarvörn með háum SPF og leita í skugga þegar þú ert utandyra.")</f>
        <v>Hættan af UV geislum er mjög mikil. Auka verndarráðstafanir eins og að vera með breiðan hatt, nota sólarvörn með háum SPF og leita í skugga þegar þú ert utandyra.</v>
      </c>
      <c r="AE102" s="3" t="str">
        <f>IFERROR(__xludf.DUMMYFUNCTION("GoogleTranslate(C102, ""en"", ""id"")"),"Risiko terkena sinar UV sangat tinggi. Tingkatkan tindakan perlindungan seperti memakai topi bertepi lebar, menggunakan tabir surya SPF tinggi, dan mencari tempat berteduh saat berada di luar ruangan.")</f>
        <v>Risiko terkena sinar UV sangat tinggi. Tingkatkan tindakan perlindungan seperti memakai topi bertepi lebar, menggunakan tabir surya SPF tinggi, dan mencari tempat berteduh saat berada di luar ruangan.</v>
      </c>
      <c r="AF102" s="3" t="str">
        <f>IFERROR(__xludf.DUMMYFUNCTION("GoogleTranslate(C102, ""en"", ""in"")"),"Risiko terkena sinar UV sangat tinggi. Tingkatkan tindakan perlindungan seperti memakai topi bertepi lebar, menggunakan tabir surya SPF tinggi, dan mencari tempat berteduh saat berada di luar ruangan.")</f>
        <v>Risiko terkena sinar UV sangat tinggi. Tingkatkan tindakan perlindungan seperti memakai topi bertepi lebar, menggunakan tabir surya SPF tinggi, dan mencari tempat berteduh saat berada di luar ruangan.</v>
      </c>
      <c r="AG102" s="3" t="str">
        <f>IFERROR(__xludf.DUMMYFUNCTION("GoogleTranslate(C102, ""en"", ""it"")"),"Il rischio derivante dai raggi UV è molto alto. Aumentare le misure protettive come indossare un cappello a tesa larga, usare una protezione solare con SPF elevato e cercare l’ombra quando si è all’aperto.")</f>
        <v>Il rischio derivante dai raggi UV è molto alto. Aumentare le misure protettive come indossare un cappello a tesa larga, usare una protezione solare con SPF elevato e cercare l’ombra quando si è all’aperto.</v>
      </c>
      <c r="AH102" s="3" t="str">
        <f>IFERROR(__xludf.DUMMYFUNCTION("GoogleTranslate(C102, ""en"", ""ja"")"),"紫外線によるリスクは非常に高いです。つばの広い帽子をかぶったり、SPFの高い日焼け止めを使用したり、屋外では日陰を探すなどの保護対策を強化してください。")</f>
        <v>紫外線によるリスクは非常に高いです。つばの広い帽子をかぶったり、SPFの高い日焼け止めを使用したり、屋外では日陰を探すなどの保護対策を強化してください。</v>
      </c>
      <c r="AI102" s="3" t="str">
        <f>IFERROR(__xludf.DUMMYFUNCTION("GoogleTranslate(C102, ""en"", ""kn"")"),"ಯುವಿ ಕಿರಣಗಳ ಅಪಾಯವು ತುಂಬಾ ಹೆಚ್ಚು. ವಿಶಾಲ-ಅಂಚುಕಟ್ಟಿನ ಟೋಪಿ ಧರಿಸುವುದು, ಹೆಚ್ಚಿನ SPF ಸನ್‌ಸ್ಕ್ರೀನ್ ಬಳಸುವುದು ಮತ್ತು ಹೊರಾಂಗಣದಲ್ಲಿ ನೆರಳನ್ನು ಹುಡುಕುವುದು ಮುಂತಾದ ರಕ್ಷಣಾತ್ಮಕ ಕ್ರಮಗಳನ್ನು ಹೆಚ್ಚಿಸಿ.")</f>
        <v>ಯುವಿ ಕಿರಣಗಳ ಅಪಾಯವು ತುಂಬಾ ಹೆಚ್ಚು. ವಿಶಾಲ-ಅಂಚುಕಟ್ಟಿನ ಟೋಪಿ ಧರಿಸುವುದು, ಹೆಚ್ಚಿನ SPF ಸನ್‌ಸ್ಕ್ರೀನ್ ಬಳಸುವುದು ಮತ್ತು ಹೊರಾಂಗಣದಲ್ಲಿ ನೆರಳನ್ನು ಹುಡುಕುವುದು ಮುಂತಾದ ರಕ್ಷಣಾತ್ಮಕ ಕ್ರಮಗಳನ್ನು ಹೆಚ್ಚಿಸಿ.</v>
      </c>
      <c r="AJ102" s="3" t="str">
        <f>IFERROR(__xludf.DUMMYFUNCTION("GoogleTranslate(C102, ""en"", ""km"")"),"ហានិភ័យពីកាំរស្មីយូវីគឺខ្ពស់ណាស់។ បង្កើនវិធានការការពារ ដូចជាការពាក់មួកដែលមានគែមធំទូលាយ ការប្រើឡេការពារកម្តៅថ្ងៃដែលមាន SPF ខ្ពស់ និងស្វែងរកម្លប់នៅពេលនៅខាងក្រៅ។")</f>
        <v>ហានិភ័យពីកាំរស្មីយូវីគឺខ្ពស់ណាស់។ បង្កើនវិធានការការពារ ដូចជាការពាក់មួកដែលមានគែមធំទូលាយ ការប្រើឡេការពារកម្តៅថ្ងៃដែលមាន SPF ខ្ពស់ និងស្វែងរកម្លប់នៅពេលនៅខាងក្រៅ។</v>
      </c>
      <c r="AK102" s="3" t="str">
        <f>IFERROR(__xludf.DUMMYFUNCTION("GoogleTranslate(C102, ""en"", ""ko"")"),"자외선으로 인한 위험은 매우 높습니다. 챙이 넓은 모자를 쓰고, SPF가 높은 자외선 차단제를 바르고, 야외에서는 그늘을 찾는 등 보호 조치를 강화하세요.")</f>
        <v>자외선으로 인한 위험은 매우 높습니다. 챙이 넓은 모자를 쓰고, SPF가 높은 자외선 차단제를 바르고, 야외에서는 그늘을 찾는 등 보호 조치를 강화하세요.</v>
      </c>
      <c r="AL102" s="3" t="str">
        <f>IFERROR(__xludf.DUMMYFUNCTION("GoogleTranslate(C102, ""en"", ""lo"")"),"ຄວາມສ່ຽງຈາກຮັງສີ UV ແມ່ນສູງຫຼາຍ. ເພີ່ມມາດຕະການປ້ອງກັນເຊັ່ນ: ໃສ່ໝວກທີ່ມີຂອບກວ້າງ, ໃຊ້ຄີມກັນແດດທີ່ມີ SPF ສູງ, ແລະຊອກຫາບ່ອນຮົ່ມໃນເວລາອອກນອກ.")</f>
        <v>ຄວາມສ່ຽງຈາກຮັງສີ UV ແມ່ນສູງຫຼາຍ. ເພີ່ມມາດຕະການປ້ອງກັນເຊັ່ນ: ໃສ່ໝວກທີ່ມີຂອບກວ້າງ, ໃຊ້ຄີມກັນແດດທີ່ມີ SPF ສູງ, ແລະຊອກຫາບ່ອນຮົ່ມໃນເວລາອອກນອກ.</v>
      </c>
      <c r="AM102" s="3" t="str">
        <f>IFERROR(__xludf.DUMMYFUNCTION("GoogleTranslate(C102, ""en"", ""lv"")"),"UV staru radītais risks ir ļoti augsts. Palieliniet aizsardzības pasākumus, piemēram, valkājiet cepuri ar platām malām, izmantojiet sauļošanās līdzekli ar augstu SPF un meklējiet ēnu, atrodoties ārpus telpām.")</f>
        <v>UV staru radītais risks ir ļoti augsts. Palieliniet aizsardzības pasākumus, piemēram, valkājiet cepuri ar platām malām, izmantojiet sauļošanās līdzekli ar augstu SPF un meklējiet ēnu, atrodoties ārpus telpām.</v>
      </c>
      <c r="AN102" s="3" t="str">
        <f>IFERROR(__xludf.DUMMYFUNCTION("GoogleTranslate(C102, ""en"", ""lt"")"),"UV spindulių rizika yra labai didelė. Padidinkite apsaugos priemones, pvz., dėvėkite plačiabrylę skrybėlę, naudokite kremą nuo saulės su dideliu SPF ir ieškokite šešėlio lauke.")</f>
        <v>UV spindulių rizika yra labai didelė. Padidinkite apsaugos priemones, pvz., dėvėkite plačiabrylę skrybėlę, naudokite kremą nuo saulės su dideliu SPF ir ieškokite šešėlio lauke.</v>
      </c>
      <c r="AO102" s="3" t="str">
        <f>IFERROR(__xludf.DUMMYFUNCTION("GoogleTranslate(C102, ""en"", ""mk"")"),"Ризикот од УВ зраците е многу висок. Зголемете ги заштитните мерки како што се носење шапка со широк обод, користење крема за сончање со висок заштитен фактор и барање сенка кога сте на отворено.")</f>
        <v>Ризикот од УВ зраците е многу висок. Зголемете ги заштитните мерки како што се носење шапка со широк обод, користење крема за сончање со висок заштитен фактор и барање сенка кога сте на отворено.</v>
      </c>
      <c r="AP102" s="3" t="str">
        <f>IFERROR(__xludf.DUMMYFUNCTION("GoogleTranslate(C102, ""en"", ""ms"")"),"Risiko dari sinaran UV sangat tinggi. Tingkatkan langkah perlindungan seperti memakai topi bertepi lebar, menggunakan pelindung matahari SPF tinggi dan mencari naungan apabila berada di luar rumah.")</f>
        <v>Risiko dari sinaran UV sangat tinggi. Tingkatkan langkah perlindungan seperti memakai topi bertepi lebar, menggunakan pelindung matahari SPF tinggi dan mencari naungan apabila berada di luar rumah.</v>
      </c>
      <c r="AQ102" s="3" t="str">
        <f>IFERROR(__xludf.DUMMYFUNCTION("GoogleTranslate(C102, ""en"", ""ml"")"),"അൾട്രാവയലറ്റ് രശ്മികളിൽ നിന്നുള്ള അപകടസാധ്യത വളരെ കൂടുതലാണ്. വീതിയേറിയ തൊപ്പി ധരിക്കുക, ഉയർന്ന SPF സൺസ്‌ക്രീൻ ഉപയോഗിക്കുക, വെളിയിൽ പോകുമ്പോൾ തണൽ തേടുക തുടങ്ങിയ സംരക്ഷണ നടപടികൾ വർദ്ധിപ്പിക്കുക.")</f>
        <v>അൾട്രാവയലറ്റ് രശ്മികളിൽ നിന്നുള്ള അപകടസാധ്യത വളരെ കൂടുതലാണ്. വീതിയേറിയ തൊപ്പി ധരിക്കുക, ഉയർന്ന SPF സൺസ്‌ക്രീൻ ഉപയോഗിക്കുക, വെളിയിൽ പോകുമ്പോൾ തണൽ തേടുക തുടങ്ങിയ സംരക്ഷണ നടപടികൾ വർദ്ധിപ്പിക്കുക.</v>
      </c>
      <c r="AR102" s="3" t="str">
        <f>IFERROR(__xludf.DUMMYFUNCTION("GoogleTranslate(C102, ""en"", ""mr"")"),"अतिनील किरणांचा धोका खूप जास्त असतो. रुंद कांद्याची टोपी घालणे, उच्च SPF सनस्क्रीन वापरणे आणि घराबाहेर पडताना सावली शोधणे यासारखे संरक्षणात्मक उपाय वाढवा.")</f>
        <v>अतिनील किरणांचा धोका खूप जास्त असतो. रुंद कांद्याची टोपी घालणे, उच्च SPF सनस्क्रीन वापरणे आणि घराबाहेर पडताना सावली शोधणे यासारखे संरक्षणात्मक उपाय वाढवा.</v>
      </c>
      <c r="AS102" s="3" t="str">
        <f>IFERROR(__xludf.DUMMYFUNCTION("GoogleTranslate(C102, ""en"", ""mn"")"),"Хэт ягаан туяанаас үүсэх эрсдэл маш өндөр байдаг. Өргөн хүрээтэй малгай өмсөх, SPF өндөртэй нарнаас хамгаалах тос хэрэглэх, гадаа явахдаа сүүдэр хайх зэрэг хамгаалалтын арга хэмжээг нэмэгдүүлээрэй.")</f>
        <v>Хэт ягаан туяанаас үүсэх эрсдэл маш өндөр байдаг. Өргөн хүрээтэй малгай өмсөх, SPF өндөртэй нарнаас хамгаалах тос хэрэглэх, гадаа явахдаа сүүдэр хайх зэрэг хамгаалалтын арга хэмжээг нэмэгдүүлээрэй.</v>
      </c>
      <c r="AT102" s="3" t="str">
        <f>IFERROR(__xludf.DUMMYFUNCTION("GoogleTranslate(C102, ""en"", ""ne"")"),"पराबैंगनी किरणहरूको जोखिम धेरै उच्च छ। फराकिलो टोपी लगाउने, उच्च एसपीएफ सनस्क्रिन प्रयोग गर्ने र बाहिर निस्कँदा छाया खोज्ने जस्ता सुरक्षात्मक उपायहरू बढाउनुहोस्।")</f>
        <v>पराबैंगनी किरणहरूको जोखिम धेरै उच्च छ। फराकिलो टोपी लगाउने, उच्च एसपीएफ सनस्क्रिन प्रयोग गर्ने र बाहिर निस्कँदा छाया खोज्ने जस्ता सुरक्षात्मक उपायहरू बढाउनुहोस्।</v>
      </c>
      <c r="AU102" s="3" t="str">
        <f>IFERROR(__xludf.DUMMYFUNCTION("GoogleTranslate(C102, ""en"", ""nb"")"),"Risikoen fra UV-stråler er svært høy. Øk beskyttelsestiltak som å bruke en bredbremmet hatt, bruke solkrem med høy SPF og søke skygge når du er utendørs.")</f>
        <v>Risikoen fra UV-stråler er svært høy. Øk beskyttelsestiltak som å bruke en bredbremmet hatt, bruke solkrem med høy SPF og søke skygge når du er utendørs.</v>
      </c>
      <c r="AV102" s="3" t="str">
        <f>IFERROR(__xludf.DUMMYFUNCTION("GoogleTranslate(C102, ""en"", ""fa"")"),"خطر اشعه ماوراء بنفش بسیار زیاد است. اقدامات حفاظتی مانند پوشیدن کلاه لبه پهن، استفاده از کرم ضد آفتاب با SPF بالا و جستجوی سایه در بیرون از منزل را افزایش دهید.")</f>
        <v>خطر اشعه ماوراء بنفش بسیار زیاد است. اقدامات حفاظتی مانند پوشیدن کلاه لبه پهن، استفاده از کرم ضد آفتاب با SPF بالا و جستجوی سایه در بیرون از منزل را افزایش دهید.</v>
      </c>
      <c r="AW102" s="3" t="str">
        <f>IFERROR(__xludf.DUMMYFUNCTION("GoogleTranslate(C102, ""en"", ""pl"")"),"Ryzyko związane z promieniami UV jest bardzo wysokie. Zwiększ środki ochronne, takie jak noszenie kapelusza z szerokim rondem, stosowanie filtrów przeciwsłonecznych o wysokim SPF i szukanie cienia na świeżym powietrzu.")</f>
        <v>Ryzyko związane z promieniami UV jest bardzo wysokie. Zwiększ środki ochronne, takie jak noszenie kapelusza z szerokim rondem, stosowanie filtrów przeciwsłonecznych o wysokim SPF i szukanie cienia na świeżym powietrzu.</v>
      </c>
      <c r="AX102" s="3" t="str">
        <f>IFERROR(__xludf.DUMMYFUNCTION("GoogleTranslate(C102, ""en"", ""pt"")"),"O risco dos raios UV é muito alto. Aumente as medidas de proteção, como usar chapéu de abas largas, usar protetor solar com FPS alto e procurar sombra ao ar livre.")</f>
        <v>O risco dos raios UV é muito alto. Aumente as medidas de proteção, como usar chapéu de abas largas, usar protetor solar com FPS alto e procurar sombra ao ar livre.</v>
      </c>
      <c r="AY102" s="3" t="str">
        <f>IFERROR(__xludf.DUMMYFUNCTION("GoogleTranslate(C102, ""en"", ""ro"")"),"Riscul de la razele UV este foarte mare. Creșteți măsurile de protecție, cum ar fi purtarea unei pălării cu boruri largi, utilizarea de protecție solară cu SPF ridicat și căutarea umbră atunci când sunteți în aer liber.")</f>
        <v>Riscul de la razele UV este foarte mare. Creșteți măsurile de protecție, cum ar fi purtarea unei pălării cu boruri largi, utilizarea de protecție solară cu SPF ridicat și căutarea umbră atunci când sunteți în aer liber.</v>
      </c>
      <c r="AZ102" s="3" t="str">
        <f>IFERROR(__xludf.DUMMYFUNCTION("GoogleTranslate(C102, ""en"", ""ru"")"),"Риск воздействия УФ-лучей очень высок. Увеличьте защитные меры, такие как ношение широкополой шляпы, использование солнцезащитного крема с высоким SPF и поиск тени на открытом воздухе.")</f>
        <v>Риск воздействия УФ-лучей очень высок. Увеличьте защитные меры, такие как ношение широкополой шляпы, использование солнцезащитного крема с высоким SPF и поиск тени на открытом воздухе.</v>
      </c>
      <c r="BA102" s="3" t="str">
        <f>IFERROR(__xludf.DUMMYFUNCTION("GoogleTranslate(C102, ""en"", ""sr"")"),"Ризик од УВ зрака је веома висок. Повећајте заштитне мере као што је ношење шешира са широким ободом, коришћење креме за сунчање са високим СПФ-ом и тражење сенке када сте напољу.")</f>
        <v>Ризик од УВ зрака је веома висок. Повећајте заштитне мере као што је ношење шешира са широким ободом, коришћење креме за сунчање са високим СПФ-ом и тражење сенке када сте напољу.</v>
      </c>
      <c r="BB102" s="3" t="str">
        <f>IFERROR(__xludf.DUMMYFUNCTION("GoogleTranslate(C102, ""en"", ""si"")"),"පාරජම්බුල කිරණවල අවදානම ඉතා ඉහළ ය. පුළුල් තොප්පියක් පැළඳීම, ඉහළ SPF හිරු ආවරණ භාවිතා කිරීම සහ එළිමහනේ සිටින විට සෙවන සෙවීම වැනි ආරක්ෂිත පියවර වැඩි කරන්න.")</f>
        <v>පාරජම්බුල කිරණවල අවදානම ඉතා ඉහළ ය. පුළුල් තොප්පියක් පැළඳීම, ඉහළ SPF හිරු ආවරණ භාවිතා කිරීම සහ එළිමහනේ සිටින විට සෙවන සෙවීම වැනි ආරක්ෂිත පියවර වැඩි කරන්න.</v>
      </c>
      <c r="BC102" s="3" t="str">
        <f>IFERROR(__xludf.DUMMYFUNCTION("GoogleTranslate(C102, ""en"", ""sk"")"),"Riziko UV žiarenia je veľmi vysoké. Zvýšte ochranné opatrenia, ako je nosenie klobúka so širokým okrajom, používanie opaľovacích krémov s vysokým SPF a vyhľadávanie tieňa vonku.")</f>
        <v>Riziko UV žiarenia je veľmi vysoké. Zvýšte ochranné opatrenia, ako je nosenie klobúka so širokým okrajom, používanie opaľovacích krémov s vysokým SPF a vyhľadávanie tieňa vonku.</v>
      </c>
      <c r="BD102" s="3" t="str">
        <f>IFERROR(__xludf.DUMMYFUNCTION("GoogleTranslate(C102, ""en"", ""sl"")"),"Tveganje zaradi UV žarkov je zelo veliko. Povečajte zaščitne ukrepe, kot je nošenje klobuka s širokimi krajci, uporaba kreme za sončenje z visokim zaščitnim faktorjem in iskanje sence, ko ste zunaj.")</f>
        <v>Tveganje zaradi UV žarkov je zelo veliko. Povečajte zaščitne ukrepe, kot je nošenje klobuka s širokimi krajci, uporaba kreme za sončenje z visokim zaščitnim faktorjem in iskanje sence, ko ste zunaj.</v>
      </c>
      <c r="BE102" s="3" t="str">
        <f>IFERROR(__xludf.DUMMYFUNCTION("GoogleTranslate(C102, ""en"", ""es"")"),"El riesgo de los rayos UV es muy alto. Aumente las medidas de protección, como usar un sombrero de ala ancha, usar protector solar con SPF alto y buscar sombra cuando esté al aire libre.")</f>
        <v>El riesgo de los rayos UV es muy alto. Aumente las medidas de protección, como usar un sombrero de ala ancha, usar protector solar con SPF alto y buscar sombra cuando esté al aire libre.</v>
      </c>
      <c r="BF102" s="3" t="str">
        <f>IFERROR(__xludf.DUMMYFUNCTION("GoogleTranslate(C102, ""en"", ""sw"")"),"Hatari kutoka kwa mionzi ya UV ni kubwa sana. Ongeza hatua za ulinzi kama vile kuvaa kofia yenye ukingo mpana, kutumia mafuta ya kujikinga na jua yenye kiwango cha juu cha SPF, na kutafuta kivuli ukiwa nje.")</f>
        <v>Hatari kutoka kwa mionzi ya UV ni kubwa sana. Ongeza hatua za ulinzi kama vile kuvaa kofia yenye ukingo mpana, kutumia mafuta ya kujikinga na jua yenye kiwango cha juu cha SPF, na kutafuta kivuli ukiwa nje.</v>
      </c>
      <c r="BG102" s="3" t="str">
        <f>IFERROR(__xludf.DUMMYFUNCTION("GoogleTranslate(C102, ""en"", ""sv"")"),"Risken från UV-strålar är mycket hög. Öka skyddsåtgärderna som att bära en bredbrättad hatt, använda solskyddsmedel med hög SPF och söka skugga när du är utomhus.")</f>
        <v>Risken från UV-strålar är mycket hög. Öka skyddsåtgärderna som att bära en bredbrättad hatt, använda solskyddsmedel med hög SPF och söka skugga när du är utomhus.</v>
      </c>
      <c r="BH102" s="3" t="str">
        <f>IFERROR(__xludf.DUMMYFUNCTION("GoogleTranslate(C102, ""en"", ""te"")"),"UV కిరణాల నుండి వచ్చే ప్రమాదం చాలా ఎక్కువ. వెడల్పు అంచులు ఉన్న టోపీని ధరించడం, అధిక SPF సన్‌స్క్రీన్‌ని ఉపయోగించడం మరియు ఆరుబయట ఉన్నప్పుడు నీడను వెతకడం వంటి రక్షణ చర్యలను పెంచండి.")</f>
        <v>UV కిరణాల నుండి వచ్చే ప్రమాదం చాలా ఎక్కువ. వెడల్పు అంచులు ఉన్న టోపీని ధరించడం, అధిక SPF సన్‌స్క్రీన్‌ని ఉపయోగించడం మరియు ఆరుబయట ఉన్నప్పుడు నీడను వెతకడం వంటి రక్షణ చర్యలను పెంచండి.</v>
      </c>
      <c r="BI102" s="3" t="str">
        <f>IFERROR(__xludf.DUMMYFUNCTION("GoogleTranslate(C102, ""en"", ""th"")"),"ความเสี่ยงจากรังสียูวีมีสูงมาก เพิ่มมาตรการป้องกัน เช่น การสวมหมวกปีกกว้าง การใช้ครีมกันแดดที่มีค่า SPF สูง และหาที่ร่มเมื่ออยู่กลางแจ้ง")</f>
        <v>ความเสี่ยงจากรังสียูวีมีสูงมาก เพิ่มมาตรการป้องกัน เช่น การสวมหมวกปีกกว้าง การใช้ครีมกันแดดที่มีค่า SPF สูง และหาที่ร่มเมื่ออยู่กลางแจ้ง</v>
      </c>
      <c r="BJ102" s="3" t="str">
        <f>IFERROR(__xludf.DUMMYFUNCTION("GoogleTranslate(C102, ""en"", ""tr"")"),"UV ışınlarından kaynaklanan risk çok yüksektir. Geniş kenarlı şapka takmak, yüksek SPF'li güneş kremi kullanmak ve açık havada gölge aramak gibi koruyucu önlemleri artırın.")</f>
        <v>UV ışınlarından kaynaklanan risk çok yüksektir. Geniş kenarlı şapka takmak, yüksek SPF'li güneş kremi kullanmak ve açık havada gölge aramak gibi koruyucu önlemleri artırın.</v>
      </c>
      <c r="BK102" s="3" t="str">
        <f>IFERROR(__xludf.DUMMYFUNCTION("GoogleTranslate(C102, ""en"", ""uk"")"),"Ризик від УФ-променів дуже високий. Збільште захисні заходи, такі як носіння капелюха з широкими полями, використання сонцезахисного крему з високим SPF і перебування на вулиці в тіні.")</f>
        <v>Ризик від УФ-променів дуже високий. Збільште захисні заходи, такі як носіння капелюха з широкими полями, використання сонцезахисного крему з високим SPF і перебування на вулиці в тіні.</v>
      </c>
      <c r="BL102" s="3" t="str">
        <f>IFERROR(__xludf.DUMMYFUNCTION("GoogleTranslate(C102, ""en"", ""zu"")"),"Ingozi evela emisebeni ye-UV iphezulu kakhulu. Khulisa izindlela zokuzivikela ezinjengokugqoka isigqoko esinomphetho obanzi, ukusebenzisa isikrini selanga se-SPF esiphezulu, nokufuna umthunzi lapho ungaphandle.")</f>
        <v>Ingozi evela emisebeni ye-UV iphezulu kakhulu. Khulisa izindlela zokuzivikela ezinjengokugqoka isigqoko esinomphetho obanzi, ukusebenzisa isikrini selanga se-SPF esiphezulu, nokufuna umthunzi lapho ungaphandle.</v>
      </c>
    </row>
    <row r="103">
      <c r="A103" s="1" t="str">
        <f t="shared" si="1"/>
        <v>Extremely_high</v>
      </c>
      <c r="B103" s="4" t="s">
        <v>160</v>
      </c>
      <c r="C103" s="1" t="str">
        <f t="shared" si="2"/>
        <v>Extremely high</v>
      </c>
      <c r="D103" s="3" t="str">
        <f>IFERROR(__xludf.DUMMYFUNCTION("GoogleTranslate(C103, ""en"", ""es"")"),"Extremadamente alto")</f>
        <v>Extremadamente alto</v>
      </c>
      <c r="E103" s="3" t="str">
        <f>IFERROR(__xludf.DUMMYFUNCTION("GoogleTranslate(C103, ""en"", ""ar"")"),"عالية للغاية")</f>
        <v>عالية للغاية</v>
      </c>
      <c r="F103" s="3" t="str">
        <f>IFERROR(__xludf.DUMMYFUNCTION("GoogleTranslate(C103, ""en"", ""hy"")"),"Չափազանց բարձր")</f>
        <v>Չափազանց բարձր</v>
      </c>
      <c r="G103" s="3" t="str">
        <f>IFERROR(__xludf.DUMMYFUNCTION("GoogleTranslate(C103, ""en"", ""vi"")"),"Cực kỳ cao")</f>
        <v>Cực kỳ cao</v>
      </c>
      <c r="H103" s="3" t="str">
        <f>IFERROR(__xludf.DUMMYFUNCTION("GoogleTranslate(C103, ""en"", ""az"")"),"Son dərəcə yüksək")</f>
        <v>Son dərəcə yüksək</v>
      </c>
      <c r="I103" s="3" t="str">
        <f>IFERROR(__xludf.DUMMYFUNCTION("GoogleTranslate(C103, ""en"", ""eu"")"),"Oso altua")</f>
        <v>Oso altua</v>
      </c>
      <c r="J103" s="3" t="str">
        <f>IFERROR(__xludf.DUMMYFUNCTION("GoogleTranslate(C103, ""en"", ""be"")"),"Надзвычай высока")</f>
        <v>Надзвычай высока</v>
      </c>
      <c r="K103" s="3" t="str">
        <f>IFERROR(__xludf.DUMMYFUNCTION("GoogleTranslate(C103, ""en"", ""bn"")"),"অত্যন্ত উচ্চ")</f>
        <v>অত্যন্ত উচ্চ</v>
      </c>
      <c r="L103" s="3" t="str">
        <f>IFERROR(__xludf.DUMMYFUNCTION("GoogleTranslate(C103, ""en"", ""bg"")"),"Изключително високо")</f>
        <v>Изключително високо</v>
      </c>
      <c r="M103" s="3" t="str">
        <f>IFERROR(__xludf.DUMMYFUNCTION("GoogleTranslate(C103, ""en"", ""my"")"),"အလွန့်အလွန်မြင့်သည်။")</f>
        <v>အလွန့်အလွန်မြင့်သည်။</v>
      </c>
      <c r="N103" s="3" t="str">
        <f>IFERROR(__xludf.DUMMYFUNCTION("GoogleTranslate(C103, ""en"", ""ca"")"),"Extremadament alt")</f>
        <v>Extremadament alt</v>
      </c>
      <c r="O103" s="3" t="str">
        <f>IFERROR(__xludf.DUMMYFUNCTION("GoogleTranslate(C103, ""en"", ""zh-cn"")"),"极高")</f>
        <v>极高</v>
      </c>
      <c r="P103" s="3" t="str">
        <f>IFERROR(__xludf.DUMMYFUNCTION("GoogleTranslate(C103, ""en"", ""zh-TW"")"),"極高")</f>
        <v>極高</v>
      </c>
      <c r="Q103" s="3" t="str">
        <f>IFERROR(__xludf.DUMMYFUNCTION("GoogleTranslate(C103, ""en"", ""hr"")"),"Izuzetno visoko")</f>
        <v>Izuzetno visoko</v>
      </c>
      <c r="R103" s="3" t="str">
        <f>IFERROR(__xludf.DUMMYFUNCTION("GoogleTranslate(C103, ""en"", ""cs"")"),"Extrémně vysoká")</f>
        <v>Extrémně vysoká</v>
      </c>
      <c r="S103" s="3" t="str">
        <f>IFERROR(__xludf.DUMMYFUNCTION("GoogleTranslate(C103, ""en"", ""da"")"),"Ekstremt høj")</f>
        <v>Ekstremt høj</v>
      </c>
      <c r="T103" s="3" t="str">
        <f>IFERROR(__xludf.DUMMYFUNCTION("GoogleTranslate(C103, ""en"", ""nl"")"),"Extreem hoog")</f>
        <v>Extreem hoog</v>
      </c>
      <c r="U103" s="3" t="str">
        <f>IFERROR(__xludf.DUMMYFUNCTION("GoogleTranslate(C103, ""en"", ""et"")"),"Äärmiselt kõrge")</f>
        <v>Äärmiselt kõrge</v>
      </c>
      <c r="V103" s="1" t="str">
        <f t="shared" si="3"/>
        <v>Extremely high</v>
      </c>
      <c r="W103" s="3" t="str">
        <f>IFERROR(__xludf.DUMMYFUNCTION("GoogleTranslate(C103, ""en"", ""fi"")"),"Erittäin korkea")</f>
        <v>Erittäin korkea</v>
      </c>
      <c r="X103" s="3" t="str">
        <f>IFERROR(__xludf.DUMMYFUNCTION("GoogleTranslate(C103, ""en"", ""fr"")"),"Extrêmement élevé")</f>
        <v>Extrêmement élevé</v>
      </c>
      <c r="Y103" s="3" t="str">
        <f>IFERROR(__xludf.DUMMYFUNCTION("GoogleTranslate(C103, ""en"", ""de"")"),"Extrem hoch")</f>
        <v>Extrem hoch</v>
      </c>
      <c r="Z103" s="3" t="str">
        <f>IFERROR(__xludf.DUMMYFUNCTION("GoogleTranslate(C103, ""en"", ""el"")"),"Εξαιρετικά ψηλά")</f>
        <v>Εξαιρετικά ψηλά</v>
      </c>
      <c r="AA103" s="3" t="str">
        <f>IFERROR(__xludf.DUMMYFUNCTION("GoogleTranslate(C103, ""en"", ""iw"")"),"גבוה במיוחד")</f>
        <v>גבוה במיוחד</v>
      </c>
      <c r="AB103" s="3" t="str">
        <f>IFERROR(__xludf.DUMMYFUNCTION("GoogleTranslate(C103, ""en"", ""hi"")"),"अत्यंत ऊंचा")</f>
        <v>अत्यंत ऊंचा</v>
      </c>
      <c r="AC103" s="3" t="str">
        <f>IFERROR(__xludf.DUMMYFUNCTION("GoogleTranslate(C103, ""en"", ""hu"")"),"Rendkívül magas")</f>
        <v>Rendkívül magas</v>
      </c>
      <c r="AD103" s="3" t="str">
        <f>IFERROR(__xludf.DUMMYFUNCTION("GoogleTranslate(C103, ""en"", ""is"")"),"Ofsalega hátt")</f>
        <v>Ofsalega hátt</v>
      </c>
      <c r="AE103" s="3" t="str">
        <f>IFERROR(__xludf.DUMMYFUNCTION("GoogleTranslate(C103, ""en"", ""id"")"),"Sangat tinggi")</f>
        <v>Sangat tinggi</v>
      </c>
      <c r="AF103" s="3" t="str">
        <f>IFERROR(__xludf.DUMMYFUNCTION("GoogleTranslate(C103, ""en"", ""in"")"),"Sangat tinggi")</f>
        <v>Sangat tinggi</v>
      </c>
      <c r="AG103" s="3" t="str">
        <f>IFERROR(__xludf.DUMMYFUNCTION("GoogleTranslate(C103, ""en"", ""it"")"),"Estremamente alto")</f>
        <v>Estremamente alto</v>
      </c>
      <c r="AH103" s="3" t="str">
        <f>IFERROR(__xludf.DUMMYFUNCTION("GoogleTranslate(C103, ""en"", ""ja"")"),"非常に高い")</f>
        <v>非常に高い</v>
      </c>
      <c r="AI103" s="3" t="str">
        <f>IFERROR(__xludf.DUMMYFUNCTION("GoogleTranslate(C103, ""en"", ""kn"")"),"ಅತ್ಯಂತ ಹೆಚ್ಚು")</f>
        <v>ಅತ್ಯಂತ ಹೆಚ್ಚು</v>
      </c>
      <c r="AJ103" s="3" t="str">
        <f>IFERROR(__xludf.DUMMYFUNCTION("GoogleTranslate(C103, ""en"", ""km"")"),"ខ្ពស់ណាស់។")</f>
        <v>ខ្ពស់ណាស់។</v>
      </c>
      <c r="AK103" s="3" t="str">
        <f>IFERROR(__xludf.DUMMYFUNCTION("GoogleTranslate(C103, ""en"", ""ko"")"),"매우 높음")</f>
        <v>매우 높음</v>
      </c>
      <c r="AL103" s="3" t="str">
        <f>IFERROR(__xludf.DUMMYFUNCTION("GoogleTranslate(C103, ""en"", ""lo"")"),"ສູງທີ່ສຸດ")</f>
        <v>ສູງທີ່ສຸດ</v>
      </c>
      <c r="AM103" s="3" t="str">
        <f>IFERROR(__xludf.DUMMYFUNCTION("GoogleTranslate(C103, ""en"", ""lv"")"),"Ārkārtīgi augsts")</f>
        <v>Ārkārtīgi augsts</v>
      </c>
      <c r="AN103" s="3" t="str">
        <f>IFERROR(__xludf.DUMMYFUNCTION("GoogleTranslate(C103, ""en"", ""lt"")"),"Itin aukštai")</f>
        <v>Itin aukštai</v>
      </c>
      <c r="AO103" s="3" t="str">
        <f>IFERROR(__xludf.DUMMYFUNCTION("GoogleTranslate(C103, ""en"", ""mk"")"),"Исклучително висока")</f>
        <v>Исклучително висока</v>
      </c>
      <c r="AP103" s="3" t="str">
        <f>IFERROR(__xludf.DUMMYFUNCTION("GoogleTranslate(C103, ""en"", ""ms"")"),"Sangat tinggi")</f>
        <v>Sangat tinggi</v>
      </c>
      <c r="AQ103" s="3" t="str">
        <f>IFERROR(__xludf.DUMMYFUNCTION("GoogleTranslate(C103, ""en"", ""ml"")"),"വളരെ ഉയർന്നത്")</f>
        <v>വളരെ ഉയർന്നത്</v>
      </c>
      <c r="AR103" s="3" t="str">
        <f>IFERROR(__xludf.DUMMYFUNCTION("GoogleTranslate(C103, ""en"", ""mr"")"),"अत्यंत उच्च")</f>
        <v>अत्यंत उच्च</v>
      </c>
      <c r="AS103" s="3" t="str">
        <f>IFERROR(__xludf.DUMMYFUNCTION("GoogleTranslate(C103, ""en"", ""mn"")"),"Маш өндөр")</f>
        <v>Маш өндөр</v>
      </c>
      <c r="AT103" s="3" t="str">
        <f>IFERROR(__xludf.DUMMYFUNCTION("GoogleTranslate(C103, ""en"", ""ne"")"),"अति उच्च")</f>
        <v>अति उच्च</v>
      </c>
      <c r="AU103" s="3" t="str">
        <f>IFERROR(__xludf.DUMMYFUNCTION("GoogleTranslate(C103, ""en"", ""nb"")"),"Ekstremt høy")</f>
        <v>Ekstremt høy</v>
      </c>
      <c r="AV103" s="3" t="str">
        <f>IFERROR(__xludf.DUMMYFUNCTION("GoogleTranslate(C103, ""en"", ""fa"")"),"فوق العاده بالا")</f>
        <v>فوق العاده بالا</v>
      </c>
      <c r="AW103" s="3" t="str">
        <f>IFERROR(__xludf.DUMMYFUNCTION("GoogleTranslate(C103, ""en"", ""pl"")"),"Niezwykle wysoki")</f>
        <v>Niezwykle wysoki</v>
      </c>
      <c r="AX103" s="3" t="str">
        <f>IFERROR(__xludf.DUMMYFUNCTION("GoogleTranslate(C103, ""en"", ""pt"")"),"Extremamente alto")</f>
        <v>Extremamente alto</v>
      </c>
      <c r="AY103" s="3" t="str">
        <f>IFERROR(__xludf.DUMMYFUNCTION("GoogleTranslate(C103, ""en"", ""ro"")"),"Extrem de sus")</f>
        <v>Extrem de sus</v>
      </c>
      <c r="AZ103" s="3" t="str">
        <f>IFERROR(__xludf.DUMMYFUNCTION("GoogleTranslate(C103, ""en"", ""ru"")"),"Чрезвычайно высокий")</f>
        <v>Чрезвычайно высокий</v>
      </c>
      <c r="BA103" s="3" t="str">
        <f>IFERROR(__xludf.DUMMYFUNCTION("GoogleTranslate(C103, ""en"", ""sr"")"),"Екстремно висока")</f>
        <v>Екстремно висока</v>
      </c>
      <c r="BB103" s="3" t="str">
        <f>IFERROR(__xludf.DUMMYFUNCTION("GoogleTranslate(C103, ""en"", ""si"")"),"අතිශයින් ඉහළයි")</f>
        <v>අතිශයින් ඉහළයි</v>
      </c>
      <c r="BC103" s="3" t="str">
        <f>IFERROR(__xludf.DUMMYFUNCTION("GoogleTranslate(C103, ""en"", ""sk"")"),"Mimoriadne vysoká")</f>
        <v>Mimoriadne vysoká</v>
      </c>
      <c r="BD103" s="3" t="str">
        <f>IFERROR(__xludf.DUMMYFUNCTION("GoogleTranslate(C103, ""en"", ""sl"")"),"Izredno visoko")</f>
        <v>Izredno visoko</v>
      </c>
      <c r="BE103" s="3" t="str">
        <f>IFERROR(__xludf.DUMMYFUNCTION("GoogleTranslate(C103, ""en"", ""es"")"),"Extremadamente alto")</f>
        <v>Extremadamente alto</v>
      </c>
      <c r="BF103" s="3" t="str">
        <f>IFERROR(__xludf.DUMMYFUNCTION("GoogleTranslate(C103, ""en"", ""sw"")"),"Juu sana")</f>
        <v>Juu sana</v>
      </c>
      <c r="BG103" s="3" t="str">
        <f>IFERROR(__xludf.DUMMYFUNCTION("GoogleTranslate(C103, ""en"", ""sv"")"),"Extremt högt")</f>
        <v>Extremt högt</v>
      </c>
      <c r="BH103" s="3" t="str">
        <f>IFERROR(__xludf.DUMMYFUNCTION("GoogleTranslate(C103, ""en"", ""te"")"),"చాలా ఎక్కువ")</f>
        <v>చాలా ఎక్కువ</v>
      </c>
      <c r="BI103" s="3" t="str">
        <f>IFERROR(__xludf.DUMMYFUNCTION("GoogleTranslate(C103, ""en"", ""th"")"),"สูงมาก")</f>
        <v>สูงมาก</v>
      </c>
      <c r="BJ103" s="3" t="str">
        <f>IFERROR(__xludf.DUMMYFUNCTION("GoogleTranslate(C103, ""en"", ""tr"")"),"Son derece yüksek")</f>
        <v>Son derece yüksek</v>
      </c>
      <c r="BK103" s="3" t="str">
        <f>IFERROR(__xludf.DUMMYFUNCTION("GoogleTranslate(C103, ""en"", ""uk"")"),"Надзвичайно високий")</f>
        <v>Надзвичайно високий</v>
      </c>
      <c r="BL103" s="3" t="str">
        <f>IFERROR(__xludf.DUMMYFUNCTION("GoogleTranslate(C103, ""en"", ""zu"")"),"Iphakeme kakhulu")</f>
        <v>Iphakeme kakhulu</v>
      </c>
    </row>
    <row r="104">
      <c r="A104" s="1" t="str">
        <f t="shared" si="1"/>
        <v>UV_rays_are_extremely_dangerous._Avoid_going_outdoors_during_this_time_if_possible,_and_if_you_must_go_out,_take_all_possible_protective_measures.</v>
      </c>
      <c r="B104" s="4" t="s">
        <v>161</v>
      </c>
      <c r="C104" s="1" t="str">
        <f t="shared" si="2"/>
        <v>UV rays are extremely dangerous. Avoid going outdoors during this time if possible, and if you must go out, take all possible protective measures.</v>
      </c>
      <c r="D104" s="3" t="str">
        <f>IFERROR(__xludf.DUMMYFUNCTION("GoogleTranslate(C104, ""en"", ""es"")"),"Los rayos ultravioleta son extremadamente peligrosos. Evite salir al aire libre durante este tiempo si es posible, y si debe salir, tome todas las medidas de protección posibles.")</f>
        <v>Los rayos ultravioleta son extremadamente peligrosos. Evite salir al aire libre durante este tiempo si es posible, y si debe salir, tome todas las medidas de protección posibles.</v>
      </c>
      <c r="E104" s="3" t="str">
        <f>IFERROR(__xludf.DUMMYFUNCTION("GoogleTranslate(C104, ""en"", ""ar"")"),"الأشعة فوق البنفسجية خطيرة للغاية. تجنب الخروج في الهواء الطلق خلال هذا الوقت إن أمكن، وإذا كان لا بد من الخروج، فاتخذ جميع تدابير الحماية الممكنة.")</f>
        <v>الأشعة فوق البنفسجية خطيرة للغاية. تجنب الخروج في الهواء الطلق خلال هذا الوقت إن أمكن، وإذا كان لا بد من الخروج، فاتخذ جميع تدابير الحماية الممكنة.</v>
      </c>
      <c r="F104" s="3" t="str">
        <f>IFERROR(__xludf.DUMMYFUNCTION("GoogleTranslate(C104, ""en"", ""hy"")"),"Ուլտրամանուշակագույն ճառագայթները չափազանց վտանգավոր են։ Հնարավորության դեպքում խուսափեք դրսում դուրս գալ այս ժամանակահատվածում, և եթե դուք պետք է դուրս գաք, ձեռնարկեք բոլոր հնարավոր պաշտպանիչ միջոցները:")</f>
        <v>Ուլտրամանուշակագույն ճառագայթները չափազանց վտանգավոր են։ Հնարավորության դեպքում խուսափեք դրսում դուրս գալ այս ժամանակահատվածում, և եթե դուք պետք է դուրս գաք, ձեռնարկեք բոլոր հնարավոր պաշտպանիչ միջոցները:</v>
      </c>
      <c r="G104" s="3" t="str">
        <f>IFERROR(__xludf.DUMMYFUNCTION("GoogleTranslate(C104, ""en"", ""vi"")"),"Tia UV cực kỳ nguy hiểm. Tránh ra ngoài trời trong thời gian này nếu có thể và nếu buộc phải ra ngoài, hãy thực hiện mọi biện pháp bảo vệ có thể.")</f>
        <v>Tia UV cực kỳ nguy hiểm. Tránh ra ngoài trời trong thời gian này nếu có thể và nếu buộc phải ra ngoài, hãy thực hiện mọi biện pháp bảo vệ có thể.</v>
      </c>
      <c r="H104" s="3" t="str">
        <f>IFERROR(__xludf.DUMMYFUNCTION("GoogleTranslate(C104, ""en"", ""az"")"),"UV şüaları son dərəcə təhlükəlidir. Mümkünsə, bu müddət ərzində açıq havaya çıxmaqdan çəkinin və çölə çıxmaq məcburiyyətindəsinizsə, bütün mümkün qoruyucu tədbirləri alın.")</f>
        <v>UV şüaları son dərəcə təhlükəlidir. Mümkünsə, bu müddət ərzində açıq havaya çıxmaqdan çəkinin və çölə çıxmaq məcburiyyətindəsinizsə, bütün mümkün qoruyucu tədbirləri alın.</v>
      </c>
      <c r="I104" s="3" t="str">
        <f>IFERROR(__xludf.DUMMYFUNCTION("GoogleTranslate(C104, ""en"", ""eu"")"),"UV izpiak oso arriskutsuak dira. Saihestu denbora horretan kalera ateratzea ahal bada, eta kalera atera behar baduzu, hartu ahal diren babes neurri guztiak.")</f>
        <v>UV izpiak oso arriskutsuak dira. Saihestu denbora horretan kalera ateratzea ahal bada, eta kalera atera behar baduzu, hartu ahal diren babes neurri guztiak.</v>
      </c>
      <c r="J104" s="3" t="str">
        <f>IFERROR(__xludf.DUMMYFUNCTION("GoogleTranslate(C104, ""en"", ""be"")"),"УФ-прамяні надзвычай небяспечныя. Па магчымасці пазбягайце выхаду на вуліцу ў гэты час, а калі вам трэба выйсці, прыміце ўсе магчымыя меры абароны.")</f>
        <v>УФ-прамяні надзвычай небяспечныя. Па магчымасці пазбягайце выхаду на вуліцу ў гэты час, а калі вам трэба выйсці, прыміце ўсе магчымыя меры абароны.</v>
      </c>
      <c r="K104" s="3" t="str">
        <f>IFERROR(__xludf.DUMMYFUNCTION("GoogleTranslate(C104, ""en"", ""bn"")"),"UV রশ্মি অত্যন্ত বিপজ্জনক। সম্ভব হলে এই সময়ের মধ্যে বাইরে যাওয়া এড়িয়ে চলুন, এবং যদি আপনাকে বাইরে যেতেই হয় তবে সম্ভাব্য সমস্ত প্রতিরক্ষামূলক ব্যবস্থা নিন।")</f>
        <v>UV রশ্মি অত্যন্ত বিপজ্জনক। সম্ভব হলে এই সময়ের মধ্যে বাইরে যাওয়া এড়িয়ে চলুন, এবং যদি আপনাকে বাইরে যেতেই হয় তবে সম্ভাব্য সমস্ত প্রতিরক্ষামূলক ব্যবস্থা নিন।</v>
      </c>
      <c r="L104" s="3" t="str">
        <f>IFERROR(__xludf.DUMMYFUNCTION("GoogleTranslate(C104, ""en"", ""bg"")"),"UV лъчите са изключително опасни. Избягвайте да излизате на открито през това време, ако е възможно, а ако трябва да излезете, вземете всички възможни предпазни мерки.")</f>
        <v>UV лъчите са изключително опасни. Избягвайте да излизате на открито през това време, ако е възможно, а ако трябва да излезете, вземете всички възможни предпазни мерки.</v>
      </c>
      <c r="M104" s="3" t="str">
        <f>IFERROR(__xludf.DUMMYFUNCTION("GoogleTranslate(C104, ""en"", ""my"")"),"ခရမ်းလွန်ရောင်ခြည်သည် အလွန်အန္တရာယ်များသည်။ ဖြစ်နိုင်လျှင် ဤအချိန်အတွင်း အပြင်ထွက်ခြင်းကို ရှောင်ကြဉ်ပြီး အပြင်ထွက်ရမည်ဆိုပါက တတ်နိုင်သမျှ အကာအကွယ်အစီအမံများ ပြုလုပ်ပါ။")</f>
        <v>ခရမ်းလွန်ရောင်ခြည်သည် အလွန်အန္တရာယ်များသည်။ ဖြစ်နိုင်လျှင် ဤအချိန်အတွင်း အပြင်ထွက်ခြင်းကို ရှောင်ကြဉ်ပြီး အပြင်ထွက်ရမည်ဆိုပါက တတ်နိုင်သမျှ အကာအကွယ်အစီအမံများ ပြုလုပ်ပါ။</v>
      </c>
      <c r="N104" s="3" t="str">
        <f>IFERROR(__xludf.DUMMYFUNCTION("GoogleTranslate(C104, ""en"", ""ca"")"),"Els raigs UV són extremadament perillosos. Eviteu sortir a l'aire lliure durant aquest temps si és possible, i si heu de sortir, preneu totes les mesures de protecció possibles.")</f>
        <v>Els raigs UV són extremadament perillosos. Eviteu sortir a l'aire lliure durant aquest temps si és possible, i si heu de sortir, preneu totes les mesures de protecció possibles.</v>
      </c>
      <c r="O104" s="3" t="str">
        <f>IFERROR(__xludf.DUMMYFUNCTION("GoogleTranslate(C104, ""en"", ""zh-cn"")"),"紫外线极其危险。尽量避免这段时间外出，如果必须外出，要采取一切可能的防护措施。")</f>
        <v>紫外线极其危险。尽量避免这段时间外出，如果必须外出，要采取一切可能的防护措施。</v>
      </c>
      <c r="P104" s="3" t="str">
        <f>IFERROR(__xludf.DUMMYFUNCTION("GoogleTranslate(C104, ""en"", ""zh-TW"")"),"紫外線極度危險。盡量避免這段時間外出，如果必須外出，要採取一切可能的防護措施。")</f>
        <v>紫外線極度危險。盡量避免這段時間外出，如果必須外出，要採取一切可能的防護措施。</v>
      </c>
      <c r="Q104" s="3" t="str">
        <f>IFERROR(__xludf.DUMMYFUNCTION("GoogleTranslate(C104, ""en"", ""hr"")"),"UV zrake su izuzetno opasne. Izbjegavajte izlaske u to vrijeme ako je moguće, a ako morate izaći, poduzmite sve moguće mjere zaštite.")</f>
        <v>UV zrake su izuzetno opasne. Izbjegavajte izlaske u to vrijeme ako je moguće, a ako morate izaći, poduzmite sve moguće mjere zaštite.</v>
      </c>
      <c r="R104" s="3" t="str">
        <f>IFERROR(__xludf.DUMMYFUNCTION("GoogleTranslate(C104, ""en"", ""cs"")"),"UV záření je extrémně nebezpečné. Během této doby pokud možno nevycházejte ven, a pokud musíte ven, udělejte veškerá možná ochranná opatření.")</f>
        <v>UV záření je extrémně nebezpečné. Během této doby pokud možno nevycházejte ven, a pokud musíte ven, udělejte veškerá možná ochranná opatření.</v>
      </c>
      <c r="S104" s="3" t="str">
        <f>IFERROR(__xludf.DUMMYFUNCTION("GoogleTranslate(C104, ""en"", ""da"")"),"UV-stråler er ekstremt farlige. Undgå at gå udendørs i denne tid, hvis det er muligt, og hvis du skal ud, skal du tage alle mulige beskyttelsesforanstaltninger.")</f>
        <v>UV-stråler er ekstremt farlige. Undgå at gå udendørs i denne tid, hvis det er muligt, og hvis du skal ud, skal du tage alle mulige beskyttelsesforanstaltninger.</v>
      </c>
      <c r="T104" s="3" t="str">
        <f>IFERROR(__xludf.DUMMYFUNCTION("GoogleTranslate(C104, ""en"", ""nl"")"),"UV-stralen zijn uiterst gevaarlijk. Ga gedurende deze periode indien mogelijk niet naar buiten en als u toch naar buiten moet, neem dan alle mogelijke beschermende maatregelen.")</f>
        <v>UV-stralen zijn uiterst gevaarlijk. Ga gedurende deze periode indien mogelijk niet naar buiten en als u toch naar buiten moet, neem dan alle mogelijke beschermende maatregelen.</v>
      </c>
      <c r="U104" s="3" t="str">
        <f>IFERROR(__xludf.DUMMYFUNCTION("GoogleTranslate(C104, ""en"", ""et"")"),"UV-kiirgus on äärmiselt ohtlik. Võimalusel vältige sel ajal õues minekut ja kui peate välja minema, võtke kasutusele kõikvõimalikud kaitsemeetmed.")</f>
        <v>UV-kiirgus on äärmiselt ohtlik. Võimalusel vältige sel ajal õues minekut ja kui peate välja minema, võtke kasutusele kõikvõimalikud kaitsemeetmed.</v>
      </c>
      <c r="V104" s="1" t="str">
        <f t="shared" si="3"/>
        <v>UV rays are extremely dangerous. Avoid going outdoors during this time if possible, and if you must go out, take all possible protective measures.</v>
      </c>
      <c r="W104" s="3" t="str">
        <f>IFERROR(__xludf.DUMMYFUNCTION("GoogleTranslate(C104, ""en"", ""fi"")"),"UV-säteet ovat erittäin vaarallisia. Vältä ulkoilua tänä aikana, jos mahdollista, ja jos sinun täytyy mennä ulos, ryhdy kaikkiin mahdollisiin suojatoimenpiteisiin.")</f>
        <v>UV-säteet ovat erittäin vaarallisia. Vältä ulkoilua tänä aikana, jos mahdollista, ja jos sinun täytyy mennä ulos, ryhdy kaikkiin mahdollisiin suojatoimenpiteisiin.</v>
      </c>
      <c r="X104" s="3" t="str">
        <f>IFERROR(__xludf.DUMMYFUNCTION("GoogleTranslate(C104, ""en"", ""fr"")"),"Les rayons UV sont extrêmement dangereux. Évitez si possible de sortir à l’extérieur pendant cette période, et si vous devez sortir, prenez toutes les mesures de protection possibles.")</f>
        <v>Les rayons UV sont extrêmement dangereux. Évitez si possible de sortir à l’extérieur pendant cette période, et si vous devez sortir, prenez toutes les mesures de protection possibles.</v>
      </c>
      <c r="Y104" s="3" t="str">
        <f>IFERROR(__xludf.DUMMYFUNCTION("GoogleTranslate(C104, ""en"", ""de"")"),"UV-Strahlen sind äußerst gefährlich. Vermeiden Sie es, während dieser Zeit ins Freie zu gehen, und treffen Sie alle möglichen Schutzmaßnahmen, wenn Sie rausgehen müssen.")</f>
        <v>UV-Strahlen sind äußerst gefährlich. Vermeiden Sie es, während dieser Zeit ins Freie zu gehen, und treffen Sie alle möglichen Schutzmaßnahmen, wenn Sie rausgehen müssen.</v>
      </c>
      <c r="Z104" s="3" t="str">
        <f>IFERROR(__xludf.DUMMYFUNCTION("GoogleTranslate(C104, ""en"", ""el"")"),"Οι ακτίνες UV είναι εξαιρετικά επικίνδυνες. Αποφύγετε να βγείτε σε εξωτερικούς χώρους κατά τη διάρκεια αυτής της περιόδου, αν είναι δυνατόν, και εάν πρέπει να βγείτε έξω, λάβετε όλα τα πιθανά προστατευτικά μέτρα.")</f>
        <v>Οι ακτίνες UV είναι εξαιρετικά επικίνδυνες. Αποφύγετε να βγείτε σε εξωτερικούς χώρους κατά τη διάρκεια αυτής της περιόδου, αν είναι δυνατόν, και εάν πρέπει να βγείτε έξω, λάβετε όλα τα πιθανά προστατευτικά μέτρα.</v>
      </c>
      <c r="AA104" s="3" t="str">
        <f>IFERROR(__xludf.DUMMYFUNCTION("GoogleTranslate(C104, ""en"", ""iw"")"),"קרני UV מסוכנות ביותר. הימנע מיציאה לחוץ במהלך הזמן הזה אם אפשר, ואם אתה חייב לצאת החוצה, נקוט בכל אמצעי ההגנה האפשריים.")</f>
        <v>קרני UV מסוכנות ביותר. הימנע מיציאה לחוץ במהלך הזמן הזה אם אפשר, ואם אתה חייב לצאת החוצה, נקוט בכל אמצעי ההגנה האפשריים.</v>
      </c>
      <c r="AB104" s="3" t="str">
        <f>IFERROR(__xludf.DUMMYFUNCTION("GoogleTranslate(C104, ""en"", ""hi"")"),"यूवी किरणें बेहद खतरनाक होती हैं। यदि संभव हो तो इस दौरान बाहर जाने से बचें और यदि आपको बाहर जाना ही पड़े तो सभी संभव सुरक्षात्मक उपाय करें।")</f>
        <v>यूवी किरणें बेहद खतरनाक होती हैं। यदि संभव हो तो इस दौरान बाहर जाने से बचें और यदि आपको बाहर जाना ही पड़े तो सभी संभव सुरक्षात्मक उपाय करें।</v>
      </c>
      <c r="AC104" s="3" t="str">
        <f>IFERROR(__xludf.DUMMYFUNCTION("GoogleTranslate(C104, ""en"", ""hu"")"),"Az UV-sugárzás rendkívül veszélyes. Ez idő alatt lehetőleg ne menjen ki a szabadba, és ha ki kell mennie, tegyen meg minden lehetséges óvintézkedést.")</f>
        <v>Az UV-sugárzás rendkívül veszélyes. Ez idő alatt lehetőleg ne menjen ki a szabadba, és ha ki kell mennie, tegyen meg minden lehetséges óvintézkedést.</v>
      </c>
      <c r="AD104" s="3" t="str">
        <f>IFERROR(__xludf.DUMMYFUNCTION("GoogleTranslate(C104, ""en"", ""is"")"),"UV geislar eru mjög hættulegir. Forðastu að fara utandyra á þessum tíma ef mögulegt er og ef þú verður að fara út skaltu gera allar mögulegar verndarráðstafanir.")</f>
        <v>UV geislar eru mjög hættulegir. Forðastu að fara utandyra á þessum tíma ef mögulegt er og ef þú verður að fara út skaltu gera allar mögulegar verndarráðstafanir.</v>
      </c>
      <c r="AE104" s="3" t="str">
        <f>IFERROR(__xludf.DUMMYFUNCTION("GoogleTranslate(C104, ""en"", ""id"")"),"Sinar UV sangat berbahaya. Hindari keluar rumah selama waktu ini jika memungkinkan, dan jika Anda harus keluar, lakukan semua tindakan perlindungan yang mungkin dilakukan.")</f>
        <v>Sinar UV sangat berbahaya. Hindari keluar rumah selama waktu ini jika memungkinkan, dan jika Anda harus keluar, lakukan semua tindakan perlindungan yang mungkin dilakukan.</v>
      </c>
      <c r="AF104" s="3" t="str">
        <f>IFERROR(__xludf.DUMMYFUNCTION("GoogleTranslate(C104, ""en"", ""in"")"),"Sinar UV sangat berbahaya. Hindari keluar rumah selama waktu ini jika memungkinkan, dan jika Anda harus keluar, lakukan semua tindakan perlindungan yang mungkin dilakukan.")</f>
        <v>Sinar UV sangat berbahaya. Hindari keluar rumah selama waktu ini jika memungkinkan, dan jika Anda harus keluar, lakukan semua tindakan perlindungan yang mungkin dilakukan.</v>
      </c>
      <c r="AG104" s="3" t="str">
        <f>IFERROR(__xludf.DUMMYFUNCTION("GoogleTranslate(C104, ""en"", ""it"")"),"I raggi UV sono estremamente pericolosi. Se possibile, evita di uscire all'aperto durante questo periodo e, se devi uscire, adotta tutte le misure protettive possibili.")</f>
        <v>I raggi UV sono estremamente pericolosi. Se possibile, evita di uscire all'aperto durante questo periodo e, se devi uscire, adotta tutte le misure protettive possibili.</v>
      </c>
      <c r="AH104" s="3" t="str">
        <f>IFERROR(__xludf.DUMMYFUNCTION("GoogleTranslate(C104, ""en"", ""ja"")"),"紫外線は非常に危険です。この時期はできる限り外出を避け、やむを得ず外出する場合は万全の対策を講じてください。")</f>
        <v>紫外線は非常に危険です。この時期はできる限り外出を避け、やむを得ず外出する場合は万全の対策を講じてください。</v>
      </c>
      <c r="AI104" s="3" t="str">
        <f>IFERROR(__xludf.DUMMYFUNCTION("GoogleTranslate(C104, ""en"", ""kn"")"),"ಯುವಿ ಕಿರಣಗಳು ಅತ್ಯಂತ ಅಪಾಯಕಾರಿ. ಸಾಧ್ಯವಾದರೆ ಈ ಸಮಯದಲ್ಲಿ ಹೊರಾಂಗಣಕ್ಕೆ ಹೋಗುವುದನ್ನು ತಪ್ಪಿಸಿ ಮತ್ತು ನೀವು ಹೊರಗೆ ಹೋಗಬೇಕಾದರೆ, ಸಾಧ್ಯವಿರುವ ಎಲ್ಲಾ ರಕ್ಷಣಾತ್ಮಕ ಕ್ರಮಗಳನ್ನು ತೆಗೆದುಕೊಳ್ಳಿ.")</f>
        <v>ಯುವಿ ಕಿರಣಗಳು ಅತ್ಯಂತ ಅಪಾಯಕಾರಿ. ಸಾಧ್ಯವಾದರೆ ಈ ಸಮಯದಲ್ಲಿ ಹೊರಾಂಗಣಕ್ಕೆ ಹೋಗುವುದನ್ನು ತಪ್ಪಿಸಿ ಮತ್ತು ನೀವು ಹೊರಗೆ ಹೋಗಬೇಕಾದರೆ, ಸಾಧ್ಯವಿರುವ ಎಲ್ಲಾ ರಕ್ಷಣಾತ್ಮಕ ಕ್ರಮಗಳನ್ನು ತೆಗೆದುಕೊಳ್ಳಿ.</v>
      </c>
      <c r="AJ104" s="3" t="str">
        <f>IFERROR(__xludf.DUMMYFUNCTION("GoogleTranslate(C104, ""en"", ""km"")"),"កាំរស្មីយូវីមានគ្រោះថ្នាក់ខ្លាំងណាស់។ ជៀសវាងការចេញទៅខាងក្រៅក្នុងអំឡុងពេលនេះប្រសិនបើអាចធ្វើទៅបាន ហើយប្រសិនបើអ្នកត្រូវតែចេញទៅក្រៅ សូមចាត់វិធានការការពារដែលអាចធ្វើទៅបាន។")</f>
        <v>កាំរស្មីយូវីមានគ្រោះថ្នាក់ខ្លាំងណាស់។ ជៀសវាងការចេញទៅខាងក្រៅក្នុងអំឡុងពេលនេះប្រសិនបើអាចធ្វើទៅបាន ហើយប្រសិនបើអ្នកត្រូវតែចេញទៅក្រៅ សូមចាត់វិធានការការពារដែលអាចធ្វើទៅបាន។</v>
      </c>
      <c r="AK104" s="3" t="str">
        <f>IFERROR(__xludf.DUMMYFUNCTION("GoogleTranslate(C104, ""en"", ""ko"")"),"자외선은 매우 위험합니다. 이 기간에는 가능하면 야외 활동을 피하고, 부득이하게 외출해야 하는 경우 가능한 모든 보호 조치를 취하세요.")</f>
        <v>자외선은 매우 위험합니다. 이 기간에는 가능하면 야외 활동을 피하고, 부득이하게 외출해야 하는 경우 가능한 모든 보호 조치를 취하세요.</v>
      </c>
      <c r="AL104" s="3" t="str">
        <f>IFERROR(__xludf.DUMMYFUNCTION("GoogleTranslate(C104, ""en"", ""lo"")"),"ຮັງສີ UV ແມ່ນອັນຕະລາຍທີ່ສຸດ. ຫຼີກເວັ້ນການອອກໄປຂ້າງນອກໃນຊ່ວງເວລານີ້ຖ້າເປັນໄປໄດ້, ແລະຖ້າທ່ານຕ້ອງອອກໄປ, ໃຊ້ມາດຕະການປ້ອງກັນທີ່ເປັນໄປໄດ້.")</f>
        <v>ຮັງສີ UV ແມ່ນອັນຕະລາຍທີ່ສຸດ. ຫຼີກເວັ້ນການອອກໄປຂ້າງນອກໃນຊ່ວງເວລານີ້ຖ້າເປັນໄປໄດ້, ແລະຖ້າທ່ານຕ້ອງອອກໄປ, ໃຊ້ມາດຕະການປ້ອງກັນທີ່ເປັນໄປໄດ້.</v>
      </c>
      <c r="AM104" s="3" t="str">
        <f>IFERROR(__xludf.DUMMYFUNCTION("GoogleTranslate(C104, ""en"", ""lv"")"),"UV stari ir ārkārtīgi bīstami. Ja iespējams, izvairieties no došanās ārā šajā laikā, un, ja jums ir jāiziet ārā, veiciet visus iespējamos aizsardzības pasākumus.")</f>
        <v>UV stari ir ārkārtīgi bīstami. Ja iespējams, izvairieties no došanās ārā šajā laikā, un, ja jums ir jāiziet ārā, veiciet visus iespējamos aizsardzības pasākumus.</v>
      </c>
      <c r="AN104" s="3" t="str">
        <f>IFERROR(__xludf.DUMMYFUNCTION("GoogleTranslate(C104, ""en"", ""lt"")"),"UV spinduliai yra labai pavojingi. Jei įmanoma, venkite eiti į lauką, o jei turite išeiti, imkitės visų įmanomų apsaugos priemonių.")</f>
        <v>UV spinduliai yra labai pavojingi. Jei įmanoma, venkite eiti į lauką, o jei turite išeiti, imkitės visų įmanomų apsaugos priemonių.</v>
      </c>
      <c r="AO104" s="3" t="str">
        <f>IFERROR(__xludf.DUMMYFUNCTION("GoogleTranslate(C104, ""en"", ""mk"")"),"УВ зраците се исклучително опасни. Доколку е можно, избегнувајте да излегувате на отворено во ова време, а доколку морате да излезете, преземете ги сите можни заштитни мерки.")</f>
        <v>УВ зраците се исклучително опасни. Доколку е можно, избегнувајте да излегувате на отворено во ова време, а доколку морате да излезете, преземете ги сите можни заштитни мерки.</v>
      </c>
      <c r="AP104" s="3" t="str">
        <f>IFERROR(__xludf.DUMMYFUNCTION("GoogleTranslate(C104, ""en"", ""ms"")"),"Sinaran UV sangat berbahaya. Elakkan keluar rumah pada masa ini jika boleh, dan jika anda mesti keluar, ambil semua langkah perlindungan yang mungkin.")</f>
        <v>Sinaran UV sangat berbahaya. Elakkan keluar rumah pada masa ini jika boleh, dan jika anda mesti keluar, ambil semua langkah perlindungan yang mungkin.</v>
      </c>
      <c r="AQ104" s="3" t="str">
        <f>IFERROR(__xludf.DUMMYFUNCTION("GoogleTranslate(C104, ""en"", ""ml"")"),"അൾട്രാവയലറ്റ് രശ്മികൾ വളരെ അപകടകരമാണ്. സാധ്യമെങ്കിൽ ഈ സമയത്ത് വെളിയിൽ പോകുന്നത് ഒഴിവാക്കുക, പുറത്ത് പോകേണ്ടി വന്നാൽ സാധ്യമായ എല്ലാ സംരക്ഷണ നടപടികളും സ്വീകരിക്കുക.")</f>
        <v>അൾട്രാവയലറ്റ് രശ്മികൾ വളരെ അപകടകരമാണ്. സാധ്യമെങ്കിൽ ഈ സമയത്ത് വെളിയിൽ പോകുന്നത് ഒഴിവാക്കുക, പുറത്ത് പോകേണ്ടി വന്നാൽ സാധ്യമായ എല്ലാ സംരക്ഷണ നടപടികളും സ്വീകരിക്കുക.</v>
      </c>
      <c r="AR104" s="3" t="str">
        <f>IFERROR(__xludf.DUMMYFUNCTION("GoogleTranslate(C104, ""en"", ""mr"")"),"अतिनील किरण अत्यंत धोकादायक असतात. शक्य असल्यास या काळात घराबाहेर जाणे टाळा आणि जर तुम्हाला बाहेर जाणे आवश्यक असेल तर सर्व संभाव्य संरक्षणात्मक उपाय करा.")</f>
        <v>अतिनील किरण अत्यंत धोकादायक असतात. शक्य असल्यास या काळात घराबाहेर जाणे टाळा आणि जर तुम्हाला बाहेर जाणे आवश्यक असेल तर सर्व संभाव्य संरक्षणात्मक उपाय करा.</v>
      </c>
      <c r="AS104" s="3" t="str">
        <f>IFERROR(__xludf.DUMMYFUNCTION("GoogleTranslate(C104, ""en"", ""mn"")"),"Хэт ягаан туяа нь маш аюултай. Энэ хугацаанд боломжтой бол гадаа гарахаас зайлсхийж, гарах шаардлагатай бол хамгаалах бүх арга хэмжээг аваарай.")</f>
        <v>Хэт ягаан туяа нь маш аюултай. Энэ хугацаанд боломжтой бол гадаа гарахаас зайлсхийж, гарах шаардлагатай бол хамгаалах бүх арга хэмжээг аваарай.</v>
      </c>
      <c r="AT104" s="3" t="str">
        <f>IFERROR(__xludf.DUMMYFUNCTION("GoogleTranslate(C104, ""en"", ""ne"")"),"पराबैंगनी किरणहरू धेरै खतरनाक हुन्छन्। सम्भव भएसम्म यस समयमा बाहिर नजानुहोस्, र यदि तपाईं बाहिर जानु पर्छ भने, सबै सम्भावित सुरक्षा उपायहरू लिनुहोस्।")</f>
        <v>पराबैंगनी किरणहरू धेरै खतरनाक हुन्छन्। सम्भव भएसम्म यस समयमा बाहिर नजानुहोस्, र यदि तपाईं बाहिर जानु पर्छ भने, सबै सम्भावित सुरक्षा उपायहरू लिनुहोस्।</v>
      </c>
      <c r="AU104" s="3" t="str">
        <f>IFERROR(__xludf.DUMMYFUNCTION("GoogleTranslate(C104, ""en"", ""nb"")"),"UV-stråler er ekstremt farlige. Unngå å gå utendørs i løpet av denne tiden hvis mulig, og hvis du må gå ut, ta alle mulige beskyttelsestiltak.")</f>
        <v>UV-stråler er ekstremt farlige. Unngå å gå utendørs i løpet av denne tiden hvis mulig, og hvis du må gå ut, ta alle mulige beskyttelsestiltak.</v>
      </c>
      <c r="AV104" s="3" t="str">
        <f>IFERROR(__xludf.DUMMYFUNCTION("GoogleTranslate(C104, ""en"", ""fa"")"),"اشعه ماوراء بنفش بسیار خطرناک است. در صورت امکان از بیرون رفتن در این مدت خودداری کنید و اگر مجبورید بیرون بروید، تمام اقدامات حفاظتی ممکن را انجام دهید.")</f>
        <v>اشعه ماوراء بنفش بسیار خطرناک است. در صورت امکان از بیرون رفتن در این مدت خودداری کنید و اگر مجبورید بیرون بروید، تمام اقدامات حفاظتی ممکن را انجام دهید.</v>
      </c>
      <c r="AW104" s="3" t="str">
        <f>IFERROR(__xludf.DUMMYFUNCTION("GoogleTranslate(C104, ""en"", ""pl"")"),"Promienie UV są niezwykle niebezpieczne. Jeśli to możliwe, unikaj wychodzenia na zewnątrz w tym czasie, a jeśli musisz, zastosuj wszelkie możliwe środki ostrożności.")</f>
        <v>Promienie UV są niezwykle niebezpieczne. Jeśli to możliwe, unikaj wychodzenia na zewnątrz w tym czasie, a jeśli musisz, zastosuj wszelkie możliwe środki ostrożności.</v>
      </c>
      <c r="AX104" s="3" t="str">
        <f>IFERROR(__xludf.DUMMYFUNCTION("GoogleTranslate(C104, ""en"", ""pt"")"),"Os raios UV são extremamente perigosos. Evite sair de casa durante esse período, se possível, e se precisar sair, tome todas as medidas de proteção possíveis.")</f>
        <v>Os raios UV são extremamente perigosos. Evite sair de casa durante esse período, se possível, e se precisar sair, tome todas as medidas de proteção possíveis.</v>
      </c>
      <c r="AY104" s="3" t="str">
        <f>IFERROR(__xludf.DUMMYFUNCTION("GoogleTranslate(C104, ""en"", ""ro"")"),"Razele UV sunt extrem de periculoase. Evitați să ieșiți în aer liber în această perioadă dacă este posibil, iar dacă trebuie să ieșiți, luați toate măsurile de protecție posibile.")</f>
        <v>Razele UV sunt extrem de periculoase. Evitați să ieșiți în aer liber în această perioadă dacă este posibil, iar dacă trebuie să ieșiți, luați toate măsurile de protecție posibile.</v>
      </c>
      <c r="AZ104" s="3" t="str">
        <f>IFERROR(__xludf.DUMMYFUNCTION("GoogleTranslate(C104, ""en"", ""ru"")"),"УФ-лучи чрезвычайно опасны. По возможности избегайте выхода на улицу в это время, а если вам необходимо выйти на улицу, примите все возможные меры защиты.")</f>
        <v>УФ-лучи чрезвычайно опасны. По возможности избегайте выхода на улицу в это время, а если вам необходимо выйти на улицу, примите все возможные меры защиты.</v>
      </c>
      <c r="BA104" s="3" t="str">
        <f>IFERROR(__xludf.DUMMYFUNCTION("GoogleTranslate(C104, ""en"", ""sr"")"),"УВ зраци су изузетно опасни. Избегавајте да излазите напоље током овог времена ако је могуће, а ако морате да изађете, предузмите све могуће заштитне мере.")</f>
        <v>УВ зраци су изузетно опасни. Избегавајте да излазите напоље током овог времена ако је могуће, а ако морате да изађете, предузмите све могуће заштитне мере.</v>
      </c>
      <c r="BB104" s="3" t="str">
        <f>IFERROR(__xludf.DUMMYFUNCTION("GoogleTranslate(C104, ""en"", ""si"")"),"පාරජම්බුල කිරණ අතිශයින්ම භයානකයි. හැකි නම්, මෙම කාලය තුළ එළිමහනේ යාමෙන් වළකින්න, ඔබ පිටතට යා යුතු නම්, හැකි සෑම ආරක්ෂක පියවරක්ම ගන්න.")</f>
        <v>පාරජම්බුල කිරණ අතිශයින්ම භයානකයි. හැකි නම්, මෙම කාලය තුළ එළිමහනේ යාමෙන් වළකින්න, ඔබ පිටතට යා යුතු නම්, හැකි සෑම ආරක්ෂක පියවරක්ම ගන්න.</v>
      </c>
      <c r="BC104" s="3" t="str">
        <f>IFERROR(__xludf.DUMMYFUNCTION("GoogleTranslate(C104, ""en"", ""sk"")"),"UV žiarenie je mimoriadne nebezpečné. Ak je to možné, vyhnite sa v tomto čase vonku a ak musíte ísť von, urobte všetky možné ochranné opatrenia.")</f>
        <v>UV žiarenie je mimoriadne nebezpečné. Ak je to možné, vyhnite sa v tomto čase vonku a ak musíte ísť von, urobte všetky možné ochranné opatrenia.</v>
      </c>
      <c r="BD104" s="3" t="str">
        <f>IFERROR(__xludf.DUMMYFUNCTION("GoogleTranslate(C104, ""en"", ""sl"")"),"UV žarki so izjemno nevarni. Če je le mogoče, se v tem času izogibajte izhodu na prosto, če pa že morate ven, poskrbite za vse možne zaščitne ukrepe.")</f>
        <v>UV žarki so izjemno nevarni. Če je le mogoče, se v tem času izogibajte izhodu na prosto, če pa že morate ven, poskrbite za vse možne zaščitne ukrepe.</v>
      </c>
      <c r="BE104" s="3" t="str">
        <f>IFERROR(__xludf.DUMMYFUNCTION("GoogleTranslate(C104, ""en"", ""es"")"),"Los rayos ultravioleta son extremadamente peligrosos. Evite salir al aire libre durante este tiempo si es posible, y si debe salir, tome todas las medidas de protección posibles.")</f>
        <v>Los rayos ultravioleta son extremadamente peligrosos. Evite salir al aire libre durante este tiempo si es posible, y si debe salir, tome todas las medidas de protección posibles.</v>
      </c>
      <c r="BF104" s="3" t="str">
        <f>IFERROR(__xludf.DUMMYFUNCTION("GoogleTranslate(C104, ""en"", ""sw"")"),"Mionzi ya UV ni hatari sana. Epuka kwenda nje wakati huu ikiwezekana, na ikiwa ni lazima utoke nje, chukua hatua zote za ulinzi zinazowezekana.")</f>
        <v>Mionzi ya UV ni hatari sana. Epuka kwenda nje wakati huu ikiwezekana, na ikiwa ni lazima utoke nje, chukua hatua zote za ulinzi zinazowezekana.</v>
      </c>
      <c r="BG104" s="3" t="str">
        <f>IFERROR(__xludf.DUMMYFUNCTION("GoogleTranslate(C104, ""en"", ""sv"")"),"UV-strålar är extremt farliga. Undvik att gå utomhus under denna tid om möjligt, och om du måste gå ut, vidta alla möjliga skyddsåtgärder.")</f>
        <v>UV-strålar är extremt farliga. Undvik att gå utomhus under denna tid om möjligt, och om du måste gå ut, vidta alla möjliga skyddsåtgärder.</v>
      </c>
      <c r="BH104" s="3" t="str">
        <f>IFERROR(__xludf.DUMMYFUNCTION("GoogleTranslate(C104, ""en"", ""te"")"),"UV కిరణాలు చాలా ప్రమాదకరమైనవి. వీలైతే ఈ సమయంలో ఆరుబయట వెళ్లడం మానుకోండి మరియు మీరు తప్పనిసరిగా బయటకు వెళ్లినట్లయితే, సాధ్యమైన అన్ని రక్షణ చర్యలను తీసుకోండి.")</f>
        <v>UV కిరణాలు చాలా ప్రమాదకరమైనవి. వీలైతే ఈ సమయంలో ఆరుబయట వెళ్లడం మానుకోండి మరియు మీరు తప్పనిసరిగా బయటకు వెళ్లినట్లయితే, సాధ్యమైన అన్ని రక్షణ చర్యలను తీసుకోండి.</v>
      </c>
      <c r="BI104" s="3" t="str">
        <f>IFERROR(__xludf.DUMMYFUNCTION("GoogleTranslate(C104, ""en"", ""th"")"),"รังสียูวีเป็นอันตรายอย่างยิ่ง หลีกเลี่ยงการออกไปกลางแจ้งในช่วงเวลานี้หากเป็นไปได้ และหากคุณต้องออกไปข้างนอก ให้ใช้มาตรการป้องกันที่เป็นไปได้ทั้งหมด")</f>
        <v>รังสียูวีเป็นอันตรายอย่างยิ่ง หลีกเลี่ยงการออกไปกลางแจ้งในช่วงเวลานี้หากเป็นไปได้ และหากคุณต้องออกไปข้างนอก ให้ใช้มาตรการป้องกันที่เป็นไปได้ทั้งหมด</v>
      </c>
      <c r="BJ104" s="3" t="str">
        <f>IFERROR(__xludf.DUMMYFUNCTION("GoogleTranslate(C104, ""en"", ""tr"")"),"UV ışınları son derece tehlikelidir. Bu süre zarfında mümkünse dışarı çıkmaktan kaçının ve dışarı çıkmanız gerekiyorsa mümkün olan tüm koruyucu önlemleri alın.")</f>
        <v>UV ışınları son derece tehlikelidir. Bu süre zarfında mümkünse dışarı çıkmaktan kaçının ve dışarı çıkmanız gerekiyorsa mümkün olan tüm koruyucu önlemleri alın.</v>
      </c>
      <c r="BK104" s="3" t="str">
        <f>IFERROR(__xludf.DUMMYFUNCTION("GoogleTranslate(C104, ""en"", ""uk"")"),"УФ-промені надзвичайно небезпечні. Уникайте виходу на вулицю в цей час, якщо це можливо, і якщо вам потрібно вийти, вживайте всіх можливих заходів захисту.")</f>
        <v>УФ-промені надзвичайно небезпечні. Уникайте виходу на вулицю в цей час, якщо це можливо, і якщо вам потрібно вийти, вживайте всіх можливих заходів захисту.</v>
      </c>
      <c r="BL104" s="3" t="str">
        <f>IFERROR(__xludf.DUMMYFUNCTION("GoogleTranslate(C104, ""en"", ""zu"")"),"Imisebe ye-UV iyingozi kakhulu. Gwema ukuphuma ngaphandle ngalesi sikhathi uma kungenzeka, futhi uma kufanele uphume, thatha zonke izinyathelo zokuzivikela.")</f>
        <v>Imisebe ye-UV iyingozi kakhulu. Gwema ukuphuma ngaphandle ngalesi sikhathi uma kungenzeka, futhi uma kufanele uphume, thatha zonke izinyathelo zokuzivikela.</v>
      </c>
    </row>
    <row r="105">
      <c r="A105" s="1" t="str">
        <f t="shared" si="1"/>
        <v>Weather_forecast_{name}_for_the_next_7_days.</v>
      </c>
      <c r="B105" s="4" t="s">
        <v>162</v>
      </c>
      <c r="C105" s="1" t="str">
        <f t="shared" si="2"/>
        <v>Weather forecast {name} for the next 7 days.</v>
      </c>
      <c r="D105" s="3" t="str">
        <f>IFERROR(__xludf.DUMMYFUNCTION("GoogleTranslate(C105, ""en"", ""es"")"),"Previsión meteorológica {nombre} para los próximos 7 días.")</f>
        <v>Previsión meteorológica {nombre} para los próximos 7 días.</v>
      </c>
      <c r="E105" s="3" t="str">
        <f>IFERROR(__xludf.DUMMYFUNCTION("GoogleTranslate(C105, ""en"", ""ar"")"),"توقعات الطقس {name} للأيام السبعة القادمة.")</f>
        <v>توقعات الطقس {name} للأيام السبعة القادمة.</v>
      </c>
      <c r="F105" s="3" t="str">
        <f>IFERROR(__xludf.DUMMYFUNCTION("GoogleTranslate(C105, ""en"", ""hy"")"),"Եղանակի կանխատեսում {name} առաջիկա 7 օրվա համար։")</f>
        <v>Եղանակի կանխատեսում {name} առաջիկա 7 օրվա համար։</v>
      </c>
      <c r="G105" s="3" t="str">
        <f>IFERROR(__xludf.DUMMYFUNCTION("GoogleTranslate(C105, ""en"", ""vi"")"),"Dự báo thời tiết {name} trong 7 ngày tới.")</f>
        <v>Dự báo thời tiết {name} trong 7 ngày tới.</v>
      </c>
      <c r="H105" s="3" t="str">
        <f>IFERROR(__xludf.DUMMYFUNCTION("GoogleTranslate(C105, ""en"", ""az"")"),"Növbəti 7 gün üçün {name} hava proqnozu.")</f>
        <v>Növbəti 7 gün üçün {name} hava proqnozu.</v>
      </c>
      <c r="I105" s="3" t="str">
        <f>IFERROR(__xludf.DUMMYFUNCTION("GoogleTranslate(C105, ""en"", ""eu"")"),"{name} eguraldiaren iragarpena hurrengo 7 egunetarako.")</f>
        <v>{name} eguraldiaren iragarpena hurrengo 7 egunetarako.</v>
      </c>
      <c r="J105" s="3" t="str">
        <f>IFERROR(__xludf.DUMMYFUNCTION("GoogleTranslate(C105, ""en"", ""be"")"),"Прагноз надвор'я {name} на наступныя 7 дзён.")</f>
        <v>Прагноз надвор'я {name} на наступныя 7 дзён.</v>
      </c>
      <c r="K105" s="3" t="str">
        <f>IFERROR(__xludf.DUMMYFUNCTION("GoogleTranslate(C105, ""en"", ""bn"")"),"আগামী ৭ দিনের আবহাওয়ার পূর্বাভাস {name}।")</f>
        <v>আগামী ৭ দিনের আবহাওয়ার পূর্বাভাস {name}।</v>
      </c>
      <c r="L105" s="3" t="str">
        <f>IFERROR(__xludf.DUMMYFUNCTION("GoogleTranslate(C105, ""en"", ""bg"")"),"Прогноза за времето {name} за следващите 7 дни.")</f>
        <v>Прогноза за времето {name} за следващите 7 дни.</v>
      </c>
      <c r="M105" s="3" t="str">
        <f>IFERROR(__xludf.DUMMYFUNCTION("GoogleTranslate(C105, ""en"", ""my"")"),"နောက် ၇ ရက်အတွက် မိုးလေဝသခန့်မှန်းချက် {name}။")</f>
        <v>နောက် ၇ ရက်အတွက် မိုးလေဝသခန့်မှန်းချက် {name}။</v>
      </c>
      <c r="N105" s="3" t="str">
        <f>IFERROR(__xludf.DUMMYFUNCTION("GoogleTranslate(C105, ""en"", ""ca"")"),"Previsió meteorològica {name} per als propers 7 dies.")</f>
        <v>Previsió meteorològica {name} per als propers 7 dies.</v>
      </c>
      <c r="O105" s="3" t="str">
        <f>IFERROR(__xludf.DUMMYFUNCTION("GoogleTranslate(C105, ""en"", ""zh-cn"")"),"未来 7 天的天气预报 {name}。")</f>
        <v>未来 7 天的天气预报 {name}。</v>
      </c>
      <c r="P105" s="3" t="str">
        <f>IFERROR(__xludf.DUMMYFUNCTION("GoogleTranslate(C105, ""en"", ""zh-TW"")"),"未來 7 天的天氣預報 {name}。")</f>
        <v>未來 7 天的天氣預報 {name}。</v>
      </c>
      <c r="Q105" s="3" t="str">
        <f>IFERROR(__xludf.DUMMYFUNCTION("GoogleTranslate(C105, ""en"", ""hr"")"),"Vremenska prognoza {name} za sljedećih 7 dana.")</f>
        <v>Vremenska prognoza {name} za sljedećih 7 dana.</v>
      </c>
      <c r="R105" s="3" t="str">
        <f>IFERROR(__xludf.DUMMYFUNCTION("GoogleTranslate(C105, ""en"", ""cs"")"),"Předpověď počasí {name} na příštích 7 dní.")</f>
        <v>Předpověď počasí {name} na příštích 7 dní.</v>
      </c>
      <c r="S105" s="3" t="str">
        <f>IFERROR(__xludf.DUMMYFUNCTION("GoogleTranslate(C105, ""en"", ""da"")"),"Vejrudsigt {name} for de næste 7 dage.")</f>
        <v>Vejrudsigt {name} for de næste 7 dage.</v>
      </c>
      <c r="T105" s="3" t="str">
        <f>IFERROR(__xludf.DUMMYFUNCTION("GoogleTranslate(C105, ""en"", ""nl"")"),"Weersverwachting {naam} voor de komende 7 dagen.")</f>
        <v>Weersverwachting {naam} voor de komende 7 dagen.</v>
      </c>
      <c r="U105" s="3" t="str">
        <f>IFERROR(__xludf.DUMMYFUNCTION("GoogleTranslate(C105, ""en"", ""et"")"),"Ilmaprognoos {name} järgmiseks 7 päevaks.")</f>
        <v>Ilmaprognoos {name} järgmiseks 7 päevaks.</v>
      </c>
      <c r="V105" s="1" t="str">
        <f t="shared" si="3"/>
        <v>Weather forecast {name} for the next 7 days.</v>
      </c>
      <c r="W105" s="3" t="str">
        <f>IFERROR(__xludf.DUMMYFUNCTION("GoogleTranslate(C105, ""en"", ""fi"")"),"Sääennuste {name} seuraaville 7 päivälle.")</f>
        <v>Sääennuste {name} seuraaville 7 päivälle.</v>
      </c>
      <c r="X105" s="3" t="str">
        <f>IFERROR(__xludf.DUMMYFUNCTION("GoogleTranslate(C105, ""en"", ""fr"")"),"Prévisions météo {name} pour les 7 prochains jours.")</f>
        <v>Prévisions météo {name} pour les 7 prochains jours.</v>
      </c>
      <c r="Y105" s="3" t="str">
        <f>IFERROR(__xludf.DUMMYFUNCTION("GoogleTranslate(C105, ""en"", ""de"")"),"Wettervorhersage {name} für die nächsten 7 Tage.")</f>
        <v>Wettervorhersage {name} für die nächsten 7 Tage.</v>
      </c>
      <c r="Z105" s="3" t="str">
        <f>IFERROR(__xludf.DUMMYFUNCTION("GoogleTranslate(C105, ""en"", ""el"")"),"Πρόγνωση καιρού {name} για τις επόμενες 7 ημέρες.")</f>
        <v>Πρόγνωση καιρού {name} για τις επόμενες 7 ημέρες.</v>
      </c>
      <c r="AA105" s="3" t="str">
        <f>IFERROR(__xludf.DUMMYFUNCTION("GoogleTranslate(C105, ""en"", ""iw"")"),"תחזית מזג האוויר {name} ל-7 הימים הבאים.")</f>
        <v>תחזית מזג האוויר {name} ל-7 הימים הבאים.</v>
      </c>
      <c r="AB105" s="3" t="str">
        <f>IFERROR(__xludf.DUMMYFUNCTION("GoogleTranslate(C105, ""en"", ""hi"")"),"अगले 7 दिनों के लिए मौसम का पूर्वानुमान {नाम}।")</f>
        <v>अगले 7 दिनों के लिए मौसम का पूर्वानुमान {नाम}।</v>
      </c>
      <c r="AC105" s="3" t="str">
        <f>IFERROR(__xludf.DUMMYFUNCTION("GoogleTranslate(C105, ""en"", ""hu"")"),"Időjárás előrejelzés {name} a következő 7 napra.")</f>
        <v>Időjárás előrejelzés {name} a következő 7 napra.</v>
      </c>
      <c r="AD105" s="3" t="str">
        <f>IFERROR(__xludf.DUMMYFUNCTION("GoogleTranslate(C105, ""en"", ""is"")"),"Veðurspá {name} fyrir næstu 7 daga.")</f>
        <v>Veðurspá {name} fyrir næstu 7 daga.</v>
      </c>
      <c r="AE105" s="3" t="str">
        <f>IFERROR(__xludf.DUMMYFUNCTION("GoogleTranslate(C105, ""en"", ""id"")"),"Prakiraan cuaca {name} untuk 7 hari ke depan.")</f>
        <v>Prakiraan cuaca {name} untuk 7 hari ke depan.</v>
      </c>
      <c r="AF105" s="3" t="str">
        <f>IFERROR(__xludf.DUMMYFUNCTION("GoogleTranslate(C105, ""en"", ""in"")"),"Prakiraan cuaca {name} untuk 7 hari ke depan.")</f>
        <v>Prakiraan cuaca {name} untuk 7 hari ke depan.</v>
      </c>
      <c r="AG105" s="3" t="str">
        <f>IFERROR(__xludf.DUMMYFUNCTION("GoogleTranslate(C105, ""en"", ""it"")"),"Previsioni meteo {name} per i prossimi 7 giorni.")</f>
        <v>Previsioni meteo {name} per i prossimi 7 giorni.</v>
      </c>
      <c r="AH105" s="3" t="str">
        <f>IFERROR(__xludf.DUMMYFUNCTION("GoogleTranslate(C105, ""en"", ""ja"")"),"今後 7 日間の {name} の天気予報。")</f>
        <v>今後 7 日間の {name} の天気予報。</v>
      </c>
      <c r="AI105" s="3" t="str">
        <f>IFERROR(__xludf.DUMMYFUNCTION("GoogleTranslate(C105, ""en"", ""kn"")"),"ಮುಂದಿನ 7 ದಿನಗಳವರೆಗೆ {name} ಹವಾಮಾನ ಮುನ್ಸೂಚನೆ.")</f>
        <v>ಮುಂದಿನ 7 ದಿನಗಳವರೆಗೆ {name} ಹವಾಮಾನ ಮುನ್ಸೂಚನೆ.</v>
      </c>
      <c r="AJ105" s="3" t="str">
        <f>IFERROR(__xludf.DUMMYFUNCTION("GoogleTranslate(C105, ""en"", ""km"")"),"ការព្យាករណ៍អាកាសធាតុ {name} សម្រាប់ 7 ថ្ងៃបន្ទាប់។")</f>
        <v>ការព្យាករណ៍អាកាសធាតុ {name} សម្រាប់ 7 ថ្ងៃបន្ទាប់។</v>
      </c>
      <c r="AK105" s="3" t="str">
        <f>IFERROR(__xludf.DUMMYFUNCTION("GoogleTranslate(C105, ""en"", ""ko"")"),"앞으로 7일 동안의 일기 예보 {name}입니다.")</f>
        <v>앞으로 7일 동안의 일기 예보 {name}입니다.</v>
      </c>
      <c r="AL105" s="3" t="str">
        <f>IFERROR(__xludf.DUMMYFUNCTION("GoogleTranslate(C105, ""en"", ""lo"")"),"ພະຍາກອນອາກາດ {name} ສໍາລັບ 7 ມື້ຕໍ່ໄປ.")</f>
        <v>ພະຍາກອນອາກາດ {name} ສໍາລັບ 7 ມື້ຕໍ່ໄປ.</v>
      </c>
      <c r="AM105" s="3" t="str">
        <f>IFERROR(__xludf.DUMMYFUNCTION("GoogleTranslate(C105, ""en"", ""lv"")"),"Laika prognoze {name} nākamajām 7 dienām.")</f>
        <v>Laika prognoze {name} nākamajām 7 dienām.</v>
      </c>
      <c r="AN105" s="3" t="str">
        <f>IFERROR(__xludf.DUMMYFUNCTION("GoogleTranslate(C105, ""en"", ""lt"")"),"Orų prognozė {name} ateinančioms 7 dienoms.")</f>
        <v>Orų prognozė {name} ateinančioms 7 dienoms.</v>
      </c>
      <c r="AO105" s="3" t="str">
        <f>IFERROR(__xludf.DUMMYFUNCTION("GoogleTranslate(C105, ""en"", ""mk"")"),"Временска прогноза {name} за следните 7 дена.")</f>
        <v>Временска прогноза {name} за следните 7 дена.</v>
      </c>
      <c r="AP105" s="3" t="str">
        <f>IFERROR(__xludf.DUMMYFUNCTION("GoogleTranslate(C105, ""en"", ""ms"")"),"Ramalan cuaca {name} untuk 7 hari seterusnya.")</f>
        <v>Ramalan cuaca {name} untuk 7 hari seterusnya.</v>
      </c>
      <c r="AQ105" s="3" t="str">
        <f>IFERROR(__xludf.DUMMYFUNCTION("GoogleTranslate(C105, ""en"", ""ml"")"),"അടുത്ത 7 ദിവസത്തേക്കുള്ള കാലാവസ്ഥാ പ്രവചനം {name}.")</f>
        <v>അടുത്ത 7 ദിവസത്തേക്കുള്ള കാലാവസ്ഥാ പ്രവചനം {name}.</v>
      </c>
      <c r="AR105" s="3" t="str">
        <f>IFERROR(__xludf.DUMMYFUNCTION("GoogleTranslate(C105, ""en"", ""mr"")"),"पुढील ७ दिवसांसाठी हवामान अंदाज {name}.")</f>
        <v>पुढील ७ दिवसांसाठी हवामान अंदाज {name}.</v>
      </c>
      <c r="AS105" s="3" t="str">
        <f>IFERROR(__xludf.DUMMYFUNCTION("GoogleTranslate(C105, ""en"", ""mn"")"),"Дараагийн 7 хоногийн цаг агаарын урьдчилсан мэдээ {name}.")</f>
        <v>Дараагийн 7 хоногийн цаг агаарын урьдчилсан мэдээ {name}.</v>
      </c>
      <c r="AT105" s="3" t="str">
        <f>IFERROR(__xludf.DUMMYFUNCTION("GoogleTranslate(C105, ""en"", ""ne"")"),"आगामी ७ दिनको मौसम पूर्वानुमान {name}।")</f>
        <v>आगामी ७ दिनको मौसम पूर्वानुमान {name}।</v>
      </c>
      <c r="AU105" s="3" t="str">
        <f>IFERROR(__xludf.DUMMYFUNCTION("GoogleTranslate(C105, ""en"", ""nb"")"),"Værmelding {name} for de neste 7 dagene.")</f>
        <v>Værmelding {name} for de neste 7 dagene.</v>
      </c>
      <c r="AV105" s="3" t="str">
        <f>IFERROR(__xludf.DUMMYFUNCTION("GoogleTranslate(C105, ""en"", ""fa"")"),"پیش بینی آب و هوا {name} برای 7 روز آینده.")</f>
        <v>پیش بینی آب و هوا {name} برای 7 روز آینده.</v>
      </c>
      <c r="AW105" s="3" t="str">
        <f>IFERROR(__xludf.DUMMYFUNCTION("GoogleTranslate(C105, ""en"", ""pl"")"),"Prognoza pogody {name} na następne 7 dni.")</f>
        <v>Prognoza pogody {name} na następne 7 dni.</v>
      </c>
      <c r="AX105" s="3" t="str">
        <f>IFERROR(__xludf.DUMMYFUNCTION("GoogleTranslate(C105, ""en"", ""pt"")"),"Previsão do tempo {nome} para os próximos 7 dias.")</f>
        <v>Previsão do tempo {nome} para os próximos 7 dias.</v>
      </c>
      <c r="AY105" s="3" t="str">
        <f>IFERROR(__xludf.DUMMYFUNCTION("GoogleTranslate(C105, ""en"", ""ro"")"),"Prognoza meteo {name} pentru următoarele 7 zile.")</f>
        <v>Prognoza meteo {name} pentru următoarele 7 zile.</v>
      </c>
      <c r="AZ105" s="3" t="str">
        <f>IFERROR(__xludf.DUMMYFUNCTION("GoogleTranslate(C105, ""en"", ""ru"")"),"Прогноз погоды {имя} на ближайшие 7 дней.")</f>
        <v>Прогноз погоды {имя} на ближайшие 7 дней.</v>
      </c>
      <c r="BA105" s="3" t="str">
        <f>IFERROR(__xludf.DUMMYFUNCTION("GoogleTranslate(C105, ""en"", ""sr"")"),"Временска прогноза {наме} за наредних 7 дана.")</f>
        <v>Временска прогноза {наме} за наредних 7 дана.</v>
      </c>
      <c r="BB105" s="3" t="str">
        <f>IFERROR(__xludf.DUMMYFUNCTION("GoogleTranslate(C105, ""en"", ""si"")"),"ඉදිරි දින 7 සඳහා කාලගුණ අනාවැකිය {name}.")</f>
        <v>ඉදිරි දින 7 සඳහා කාලගුණ අනාවැකිය {name}.</v>
      </c>
      <c r="BC105" s="3" t="str">
        <f>IFERROR(__xludf.DUMMYFUNCTION("GoogleTranslate(C105, ""en"", ""sk"")"),"Predpoveď počasia {name} na nasledujúcich 7 dní.")</f>
        <v>Predpoveď počasia {name} na nasledujúcich 7 dní.</v>
      </c>
      <c r="BD105" s="3" t="str">
        <f>IFERROR(__xludf.DUMMYFUNCTION("GoogleTranslate(C105, ""en"", ""sl"")"),"Vremenska napoved {name} za naslednjih 7 dni.")</f>
        <v>Vremenska napoved {name} za naslednjih 7 dni.</v>
      </c>
      <c r="BE105" s="3" t="str">
        <f>IFERROR(__xludf.DUMMYFUNCTION("GoogleTranslate(C105, ""en"", ""es"")"),"Previsión meteorológica {nombre} para los próximos 7 días.")</f>
        <v>Previsión meteorológica {nombre} para los próximos 7 días.</v>
      </c>
      <c r="BF105" s="3" t="str">
        <f>IFERROR(__xludf.DUMMYFUNCTION("GoogleTranslate(C105, ""en"", ""sw"")"),"Utabiri wa hali ya hewa {name} kwa siku 7 zijazo.")</f>
        <v>Utabiri wa hali ya hewa {name} kwa siku 7 zijazo.</v>
      </c>
      <c r="BG105" s="3" t="str">
        <f>IFERROR(__xludf.DUMMYFUNCTION("GoogleTranslate(C105, ""en"", ""sv"")"),"Väderprognos {name} för de kommande 7 dagarna.")</f>
        <v>Väderprognos {name} för de kommande 7 dagarna.</v>
      </c>
      <c r="BH105" s="3" t="str">
        <f>IFERROR(__xludf.DUMMYFUNCTION("GoogleTranslate(C105, ""en"", ""te"")"),"రాబోయే 7 రోజులలో {name} వాతావరణ సూచన.")</f>
        <v>రాబోయే 7 రోజులలో {name} వాతావరణ సూచన.</v>
      </c>
      <c r="BI105" s="3" t="str">
        <f>IFERROR(__xludf.DUMMYFUNCTION("GoogleTranslate(C105, ""en"", ""th"")"),"พยากรณ์อากาศ {name} ในอีก 7 วันข้างหน้า")</f>
        <v>พยากรณ์อากาศ {name} ในอีก 7 วันข้างหน้า</v>
      </c>
      <c r="BJ105" s="3" t="str">
        <f>IFERROR(__xludf.DUMMYFUNCTION("GoogleTranslate(C105, ""en"", ""tr"")"),"Önümüzdeki 7 gün için {name} hava durumu tahmini.")</f>
        <v>Önümüzdeki 7 gün için {name} hava durumu tahmini.</v>
      </c>
      <c r="BK105" s="3" t="str">
        <f>IFERROR(__xludf.DUMMYFUNCTION("GoogleTranslate(C105, ""en"", ""uk"")"),"Прогноз погоди {name} на наступні 7 днів.")</f>
        <v>Прогноз погоди {name} на наступні 7 днів.</v>
      </c>
      <c r="BL105" s="3" t="str">
        <f>IFERROR(__xludf.DUMMYFUNCTION("GoogleTranslate(C105, ""en"", ""zu"")"),"Isibikezelo sezulu {name} sezinsuku ezingu-7 ezilandelayo.")</f>
        <v>Isibikezelo sezulu {name} sezinsuku ezingu-7 ezilandelayo.</v>
      </c>
    </row>
    <row r="106">
      <c r="A106" s="1" t="str">
        <f t="shared" si="1"/>
        <v>Temperature_and_chance_of_rain_in_{name}_in_the_next_7_days</v>
      </c>
      <c r="B106" s="4" t="s">
        <v>163</v>
      </c>
      <c r="C106" s="1" t="str">
        <f t="shared" si="2"/>
        <v>Temperature and chance of rain in {name} in the next 7 days</v>
      </c>
      <c r="D106" s="3" t="str">
        <f>IFERROR(__xludf.DUMMYFUNCTION("GoogleTranslate(C106, ""en"", ""es"")"),"Temperatura y probabilidad de lluvia en {nombre} en los próximos 7 días")</f>
        <v>Temperatura y probabilidad de lluvia en {nombre} en los próximos 7 días</v>
      </c>
      <c r="E106" s="3" t="str">
        <f>IFERROR(__xludf.DUMMYFUNCTION("GoogleTranslate(C106, ""en"", ""ar"")"),"درجة الحرارة واحتمال هطول الأمطار في {الاسم} خلال السبعة أيام القادمة")</f>
        <v>درجة الحرارة واحتمال هطول الأمطار في {الاسم} خلال السبعة أيام القادمة</v>
      </c>
      <c r="F106" s="3" t="str">
        <f>IFERROR(__xludf.DUMMYFUNCTION("GoogleTranslate(C106, ""en"", ""hy"")"),"Ջերմաստիճանը և անձրևի հավանականությունը {name}-ում առաջիկա 7 օրվա ընթացքում")</f>
        <v>Ջերմաստիճանը և անձրևի հավանականությունը {name}-ում առաջիկա 7 օրվա ընթացքում</v>
      </c>
      <c r="G106" s="3" t="str">
        <f>IFERROR(__xludf.DUMMYFUNCTION("GoogleTranslate(C106, ""en"", ""vi"")"),"Nhiệt độ và khả năng có mưa ở {name} trong 7 ngày tới")</f>
        <v>Nhiệt độ và khả năng có mưa ở {name} trong 7 ngày tới</v>
      </c>
      <c r="H106" s="3" t="str">
        <f>IFERROR(__xludf.DUMMYFUNCTION("GoogleTranslate(C106, ""en"", ""az"")"),"Növbəti 7 gündə {name} ərazisində temperatur və yağış ehtimalı")</f>
        <v>Növbəti 7 gündə {name} ərazisində temperatur və yağış ehtimalı</v>
      </c>
      <c r="I106" s="3" t="str">
        <f>IFERROR(__xludf.DUMMYFUNCTION("GoogleTranslate(C106, ""en"", ""eu"")"),"Tenperatura eta euria egiteko aukera {name}n hurrengo 7 egunetan")</f>
        <v>Tenperatura eta euria egiteko aukera {name}n hurrengo 7 egunetan</v>
      </c>
      <c r="J106" s="3" t="str">
        <f>IFERROR(__xludf.DUMMYFUNCTION("GoogleTranslate(C106, ""en"", ""be"")"),"Тэмпература і верагоднасць дажджу ў {name} у наступныя 7 дзён")</f>
        <v>Тэмпература і верагоднасць дажджу ў {name} у наступныя 7 дзён</v>
      </c>
      <c r="K106" s="3" t="str">
        <f>IFERROR(__xludf.DUMMYFUNCTION("GoogleTranslate(C106, ""en"", ""bn"")"),"আগামী ৭ দিনে {name}-এ তাপমাত্রা এবং বৃষ্টির সম্ভাবনা")</f>
        <v>আগামী ৭ দিনে {name}-এ তাপমাত্রা এবং বৃষ্টির সম্ভাবনা</v>
      </c>
      <c r="L106" s="3" t="str">
        <f>IFERROR(__xludf.DUMMYFUNCTION("GoogleTranslate(C106, ""en"", ""bg"")"),"Температура и вероятност за дъжд в {name} през следващите 7 дни")</f>
        <v>Температура и вероятност за дъжд в {name} през следващите 7 дни</v>
      </c>
      <c r="M106" s="3" t="str">
        <f>IFERROR(__xludf.DUMMYFUNCTION("GoogleTranslate(C106, ""en"", ""my"")"),"နောက် ၇ ရက်အတွင်း {name} တွင် အပူချိန်နှင့် မိုးရွာနိုင်ခြေ")</f>
        <v>နောက် ၇ ရက်အတွင်း {name} တွင် အပူချိန်နှင့် မိုးရွာနိုင်ခြေ</v>
      </c>
      <c r="N106" s="3" t="str">
        <f>IFERROR(__xludf.DUMMYFUNCTION("GoogleTranslate(C106, ""en"", ""ca"")"),"Temperatura i probabilitat de pluja a {name} durant els propers 7 dies")</f>
        <v>Temperatura i probabilitat de pluja a {name} durant els propers 7 dies</v>
      </c>
      <c r="O106" s="3" t="str">
        <f>IFERROR(__xludf.DUMMYFUNCTION("GoogleTranslate(C106, ""en"", ""zh-cn"")"),"未来 7 天内{name} 的气温和下雨概率")</f>
        <v>未来 7 天内{name} 的气温和下雨概率</v>
      </c>
      <c r="P106" s="3" t="str">
        <f>IFERROR(__xludf.DUMMYFUNCTION("GoogleTranslate(C106, ""en"", ""zh-TW"")"),"未來 7 天內{name} 的氣溫和下雨機率")</f>
        <v>未來 7 天內{name} 的氣溫和下雨機率</v>
      </c>
      <c r="Q106" s="3" t="str">
        <f>IFERROR(__xludf.DUMMYFUNCTION("GoogleTranslate(C106, ""en"", ""hr"")"),"Temperatura i mogućnost kiše u {name} u sljedećih 7 dana")</f>
        <v>Temperatura i mogućnost kiše u {name} u sljedećih 7 dana</v>
      </c>
      <c r="R106" s="3" t="str">
        <f>IFERROR(__xludf.DUMMYFUNCTION("GoogleTranslate(C106, ""en"", ""cs"")"),"Teplota a možnost deště v {name} v příštích 7 dnech")</f>
        <v>Teplota a možnost deště v {name} v příštích 7 dnech</v>
      </c>
      <c r="S106" s="3" t="str">
        <f>IFERROR(__xludf.DUMMYFUNCTION("GoogleTranslate(C106, ""en"", ""da"")"),"Temperatur og chance for regn i {name} i løbet af de næste 7 dage")</f>
        <v>Temperatur og chance for regn i {name} i løbet af de næste 7 dage</v>
      </c>
      <c r="T106" s="3" t="str">
        <f>IFERROR(__xludf.DUMMYFUNCTION("GoogleTranslate(C106, ""en"", ""nl"")"),"Temperatuur en kans op regen in {name} de komende 7 dagen")</f>
        <v>Temperatuur en kans op regen in {name} de komende 7 dagen</v>
      </c>
      <c r="U106" s="3" t="str">
        <f>IFERROR(__xludf.DUMMYFUNCTION("GoogleTranslate(C106, ""en"", ""et"")"),"Temperatuur ja vihma võimalus asukohas {name} järgmise 7 päeva jooksul")</f>
        <v>Temperatuur ja vihma võimalus asukohas {name} järgmise 7 päeva jooksul</v>
      </c>
      <c r="V106" s="1" t="str">
        <f t="shared" si="3"/>
        <v>Temperature and chance of rain in {name} in the next 7 days</v>
      </c>
      <c r="W106" s="3" t="str">
        <f>IFERROR(__xludf.DUMMYFUNCTION("GoogleTranslate(C106, ""en"", ""fi"")"),"Lämpötila ja sateen mahdollisuus paikassa {name} seuraavan 7 päivän aikana")</f>
        <v>Lämpötila ja sateen mahdollisuus paikassa {name} seuraavan 7 päivän aikana</v>
      </c>
      <c r="X106" s="3" t="str">
        <f>IFERROR(__xludf.DUMMYFUNCTION("GoogleTranslate(C106, ""en"", ""fr"")"),"Température et risque de pluie à {name} dans les 7 prochains jours")</f>
        <v>Température et risque de pluie à {name} dans les 7 prochains jours</v>
      </c>
      <c r="Y106" s="3" t="str">
        <f>IFERROR(__xludf.DUMMYFUNCTION("GoogleTranslate(C106, ""en"", ""de"")"),"Temperatur und Regenwahrscheinlichkeit in {name} in den nächsten 7 Tagen")</f>
        <v>Temperatur und Regenwahrscheinlichkeit in {name} in den nächsten 7 Tagen</v>
      </c>
      <c r="Z106" s="3" t="str">
        <f>IFERROR(__xludf.DUMMYFUNCTION("GoogleTranslate(C106, ""en"", ""el"")"),"Θερμοκρασία και πιθανότητα βροχής στο {name} τις επόμενες 7 ημέρες")</f>
        <v>Θερμοκρασία και πιθανότητα βροχής στο {name} τις επόμενες 7 ημέρες</v>
      </c>
      <c r="AA106" s="3" t="str">
        <f>IFERROR(__xludf.DUMMYFUNCTION("GoogleTranslate(C106, ""en"", ""iw"")"),"טמפרטורה וסיכוי לגשם ב-{name} ב-7 הימים הקרובים")</f>
        <v>טמפרטורה וסיכוי לגשם ב-{name} ב-7 הימים הקרובים</v>
      </c>
      <c r="AB106" s="3" t="str">
        <f>IFERROR(__xludf.DUMMYFUNCTION("GoogleTranslate(C106, ""en"", ""hi"")"),"अगले 7 दिनों में {नाम} में तापमान और बारिश की संभावना")</f>
        <v>अगले 7 दिनों में {नाम} में तापमान और बारिश की संभावना</v>
      </c>
      <c r="AC106" s="3" t="str">
        <f>IFERROR(__xludf.DUMMYFUNCTION("GoogleTranslate(C106, ""en"", ""hu"")"),"Hőmérséklet és eső valószínűsége itt: {name} a következő 7 napban")</f>
        <v>Hőmérséklet és eső valószínűsége itt: {name} a következő 7 napban</v>
      </c>
      <c r="AD106" s="3" t="str">
        <f>IFERROR(__xludf.DUMMYFUNCTION("GoogleTranslate(C106, ""en"", ""is"")"),"Hiti og líkur á rigningu í {name} næstu 7 daga")</f>
        <v>Hiti og líkur á rigningu í {name} næstu 7 daga</v>
      </c>
      <c r="AE106" s="3" t="str">
        <f>IFERROR(__xludf.DUMMYFUNCTION("GoogleTranslate(C106, ""en"", ""id"")"),"Suhu dan kemungkinan hujan di {name} dalam 7 hari ke depan")</f>
        <v>Suhu dan kemungkinan hujan di {name} dalam 7 hari ke depan</v>
      </c>
      <c r="AF106" s="3" t="str">
        <f>IFERROR(__xludf.DUMMYFUNCTION("GoogleTranslate(C106, ""en"", ""in"")"),"Suhu dan kemungkinan hujan di {name} dalam 7 hari ke depan")</f>
        <v>Suhu dan kemungkinan hujan di {name} dalam 7 hari ke depan</v>
      </c>
      <c r="AG106" s="3" t="str">
        <f>IFERROR(__xludf.DUMMYFUNCTION("GoogleTranslate(C106, ""en"", ""it"")"),"Temperatura e possibilità di pioggia a {name} nei prossimi 7 giorni")</f>
        <v>Temperatura e possibilità di pioggia a {name} nei prossimi 7 giorni</v>
      </c>
      <c r="AH106" s="3" t="str">
        <f>IFERROR(__xludf.DUMMYFUNCTION("GoogleTranslate(C106, ""en"", ""ja"")"),"今後 7 日間の {name} の気温と降水確率")</f>
        <v>今後 7 日間の {name} の気温と降水確率</v>
      </c>
      <c r="AI106" s="3" t="str">
        <f>IFERROR(__xludf.DUMMYFUNCTION("GoogleTranslate(C106, ""en"", ""kn"")"),"ಮುಂದಿನ 7 ದಿನಗಳಲ್ಲಿ {name} ನಲ್ಲಿ ತಾಪಮಾನ ಮತ್ತು ಮಳೆಯ ಸಾಧ್ಯತೆ")</f>
        <v>ಮುಂದಿನ 7 ದಿನಗಳಲ್ಲಿ {name} ನಲ್ಲಿ ತಾಪಮಾನ ಮತ್ತು ಮಳೆಯ ಸಾಧ್ಯತೆ</v>
      </c>
      <c r="AJ106" s="3" t="str">
        <f>IFERROR(__xludf.DUMMYFUNCTION("GoogleTranslate(C106, ""en"", ""km"")"),"សីតុណ្ហភាព និងឱកាសមានភ្លៀងធ្លាក់ក្នុង {name} ក្នុងរយៈពេល 7 ថ្ងៃបន្ទាប់")</f>
        <v>សីតុណ្ហភាព និងឱកាសមានភ្លៀងធ្លាក់ក្នុង {name} ក្នុងរយៈពេល 7 ថ្ងៃបន្ទាប់</v>
      </c>
      <c r="AK106" s="3" t="str">
        <f>IFERROR(__xludf.DUMMYFUNCTION("GoogleTranslate(C106, ""en"", ""ko"")"),"향후 7일 동안 {name}의 기온과 비가 올 확률")</f>
        <v>향후 7일 동안 {name}의 기온과 비가 올 확률</v>
      </c>
      <c r="AL106" s="3" t="str">
        <f>IFERROR(__xludf.DUMMYFUNCTION("GoogleTranslate(C106, ""en"", ""lo"")"),"ອຸນຫະພູມ ແລະ ໂອກາດທີ່ຈະມີຝົນຕົກໃນ {name} ໃນ 7 ມື້ຕໍ່ໄປ")</f>
        <v>ອຸນຫະພູມ ແລະ ໂອກາດທີ່ຈະມີຝົນຕົກໃນ {name} ໃນ 7 ມື້ຕໍ່ໄປ</v>
      </c>
      <c r="AM106" s="3" t="str">
        <f>IFERROR(__xludf.DUMMYFUNCTION("GoogleTranslate(C106, ""en"", ""lv"")"),"Temperatūra un lietus iespējamība šajā vietā: {name} nākamajās 7 dienās")</f>
        <v>Temperatūra un lietus iespējamība šajā vietā: {name} nākamajās 7 dienās</v>
      </c>
      <c r="AN106" s="3" t="str">
        <f>IFERROR(__xludf.DUMMYFUNCTION("GoogleTranslate(C106, ""en"", ""lt"")"),"Temperatūra ir lietaus tikimybė {name} per ateinančias 7 dienas")</f>
        <v>Temperatūra ir lietaus tikimybė {name} per ateinančias 7 dienas</v>
      </c>
      <c r="AO106" s="3" t="str">
        <f>IFERROR(__xludf.DUMMYFUNCTION("GoogleTranslate(C106, ""en"", ""mk"")"),"Температура и можност за дожд во {name} во следните 7 дена")</f>
        <v>Температура и можност за дожд во {name} во следните 7 дена</v>
      </c>
      <c r="AP106" s="3" t="str">
        <f>IFERROR(__xludf.DUMMYFUNCTION("GoogleTranslate(C106, ""en"", ""ms"")"),"Suhu dan kemungkinan hujan di {name} dalam masa 7 hari akan datang")</f>
        <v>Suhu dan kemungkinan hujan di {name} dalam masa 7 hari akan datang</v>
      </c>
      <c r="AQ106" s="3" t="str">
        <f>IFERROR(__xludf.DUMMYFUNCTION("GoogleTranslate(C106, ""en"", ""ml"")"),"അടുത്ത 7 ദിവസങ്ങളിൽ {name} എന്ന സ്ഥലത്ത് താപനിലയും മഴയ്ക്കുള്ള സാധ്യതയും")</f>
        <v>അടുത്ത 7 ദിവസങ്ങളിൽ {name} എന്ന സ്ഥലത്ത് താപനിലയും മഴയ്ക്കുള്ള സാധ്യതയും</v>
      </c>
      <c r="AR106" s="3" t="str">
        <f>IFERROR(__xludf.DUMMYFUNCTION("GoogleTranslate(C106, ""en"", ""mr"")"),"पुढील ७ दिवसांमध्ये तापमान आणि {name} मध्ये पावसाची शक्यता")</f>
        <v>पुढील ७ दिवसांमध्ये तापमान आणि {name} मध्ये पावसाची शक्यता</v>
      </c>
      <c r="AS106" s="3" t="str">
        <f>IFERROR(__xludf.DUMMYFUNCTION("GoogleTranslate(C106, ""en"", ""mn"")"),"Дараагийн 7 хоногт {name}-д температур ба бороо орох магадлал")</f>
        <v>Дараагийн 7 хоногт {name}-д температур ба бороо орох магадлал</v>
      </c>
      <c r="AT106" s="3" t="str">
        <f>IFERROR(__xludf.DUMMYFUNCTION("GoogleTranslate(C106, ""en"", ""ne"")"),"आगामी ७ दिनमा {name} मा तापक्रम र वर्षाको सम्भावना")</f>
        <v>आगामी ७ दिनमा {name} मा तापक्रम र वर्षाको सम्भावना</v>
      </c>
      <c r="AU106" s="3" t="str">
        <f>IFERROR(__xludf.DUMMYFUNCTION("GoogleTranslate(C106, ""en"", ""nb"")"),"Temperatur og sjanse for regn i {name} de neste 7 dagene")</f>
        <v>Temperatur og sjanse for regn i {name} de neste 7 dagene</v>
      </c>
      <c r="AV106" s="3" t="str">
        <f>IFERROR(__xludf.DUMMYFUNCTION("GoogleTranslate(C106, ""en"", ""fa"")"),"دما و احتمال بارندگی در {name} در ۷ روز آینده")</f>
        <v>دما و احتمال بارندگی در {name} در ۷ روز آینده</v>
      </c>
      <c r="AW106" s="3" t="str">
        <f>IFERROR(__xludf.DUMMYFUNCTION("GoogleTranslate(C106, ""en"", ""pl"")"),"Temperatura i prawdopodobieństwo opadów deszczu w {name} w ciągu najbliższych 7 dni")</f>
        <v>Temperatura i prawdopodobieństwo opadów deszczu w {name} w ciągu najbliższych 7 dni</v>
      </c>
      <c r="AX106" s="3" t="str">
        <f>IFERROR(__xludf.DUMMYFUNCTION("GoogleTranslate(C106, ""en"", ""pt"")"),"Temperatura e probabilidade de chuva em {name} nos próximos 7 dias")</f>
        <v>Temperatura e probabilidade de chuva em {name} nos próximos 7 dias</v>
      </c>
      <c r="AY106" s="3" t="str">
        <f>IFERROR(__xludf.DUMMYFUNCTION("GoogleTranslate(C106, ""en"", ""ro"")"),"Temperatura și șansa de ploaie în {name} în următoarele 7 zile")</f>
        <v>Temperatura și șansa de ploaie în {name} în următoarele 7 zile</v>
      </c>
      <c r="AZ106" s="3" t="str">
        <f>IFERROR(__xludf.DUMMYFUNCTION("GoogleTranslate(C106, ""en"", ""ru"")"),"Температура и вероятность дождя в {name} в ближайшие 7 дней")</f>
        <v>Температура и вероятность дождя в {name} в ближайшие 7 дней</v>
      </c>
      <c r="BA106" s="3" t="str">
        <f>IFERROR(__xludf.DUMMYFUNCTION("GoogleTranslate(C106, ""en"", ""sr"")"),"Температура и могућност кише у {наме} у наредних 7 дана")</f>
        <v>Температура и могућност кише у {наме} у наредних 7 дана</v>
      </c>
      <c r="BB106" s="3" t="str">
        <f>IFERROR(__xludf.DUMMYFUNCTION("GoogleTranslate(C106, ""en"", ""si"")"),"ඉදිරි දින 7 තුළ {name} හි උෂ්ණත්වය සහ වර්ෂාව ඇතිවීමේ හැකියාව")</f>
        <v>ඉදිරි දින 7 තුළ {name} හි උෂ්ණත්වය සහ වර්ෂාව ඇතිවීමේ හැකියාව</v>
      </c>
      <c r="BC106" s="3" t="str">
        <f>IFERROR(__xludf.DUMMYFUNCTION("GoogleTranslate(C106, ""en"", ""sk"")"),"Teplota a možnosť dažďa v mieste {name} v nasledujúcich 7 dňoch")</f>
        <v>Teplota a možnosť dažďa v mieste {name} v nasledujúcich 7 dňoch</v>
      </c>
      <c r="BD106" s="3" t="str">
        <f>IFERROR(__xludf.DUMMYFUNCTION("GoogleTranslate(C106, ""en"", ""sl"")"),"Temperatura in možnost dežja v {name} v naslednjih 7 dneh")</f>
        <v>Temperatura in možnost dežja v {name} v naslednjih 7 dneh</v>
      </c>
      <c r="BE106" s="3" t="str">
        <f>IFERROR(__xludf.DUMMYFUNCTION("GoogleTranslate(C106, ""en"", ""es"")"),"Temperatura y probabilidad de lluvia en {nombre} en los próximos 7 días")</f>
        <v>Temperatura y probabilidad de lluvia en {nombre} en los próximos 7 días</v>
      </c>
      <c r="BF106" s="3" t="str">
        <f>IFERROR(__xludf.DUMMYFUNCTION("GoogleTranslate(C106, ""en"", ""sw"")"),"Halijoto na uwezekano wa mvua katika {name} katika siku 7 zijazo")</f>
        <v>Halijoto na uwezekano wa mvua katika {name} katika siku 7 zijazo</v>
      </c>
      <c r="BG106" s="3" t="str">
        <f>IFERROR(__xludf.DUMMYFUNCTION("GoogleTranslate(C106, ""en"", ""sv"")"),"Temperatur och risk för regn i {name} under de kommande 7 dagarna")</f>
        <v>Temperatur och risk för regn i {name} under de kommande 7 dagarna</v>
      </c>
      <c r="BH106" s="3" t="str">
        <f>IFERROR(__xludf.DUMMYFUNCTION("GoogleTranslate(C106, ""en"", ""te"")"),"రాబోయే 7 రోజుల్లో {name}లో ఉష్ణోగ్రత మరియు వర్షం పడే అవకాశం")</f>
        <v>రాబోయే 7 రోజుల్లో {name}లో ఉష్ణోగ్రత మరియు వర్షం పడే అవకాశం</v>
      </c>
      <c r="BI106" s="3" t="str">
        <f>IFERROR(__xludf.DUMMYFUNCTION("GoogleTranslate(C106, ""en"", ""th"")"),"อุณหภูมิและโอกาสเกิดฝนตกใน {name} ในอีก 7 วันข้างหน้า")</f>
        <v>อุณหภูมิและโอกาสเกิดฝนตกใน {name} ในอีก 7 วันข้างหน้า</v>
      </c>
      <c r="BJ106" s="3" t="str">
        <f>IFERROR(__xludf.DUMMYFUNCTION("GoogleTranslate(C106, ""en"", ""tr"")"),"Önümüzdeki 7 gün içinde {name} için sıcaklık ve yağmur ihtimali")</f>
        <v>Önümüzdeki 7 gün içinde {name} için sıcaklık ve yağmur ihtimali</v>
      </c>
      <c r="BK106" s="3" t="str">
        <f>IFERROR(__xludf.DUMMYFUNCTION("GoogleTranslate(C106, ""en"", ""uk"")"),"Температура та ймовірність дощу в {name} протягом наступних 7 днів")</f>
        <v>Температура та ймовірність дощу в {name} протягом наступних 7 днів</v>
      </c>
      <c r="BL106" s="3" t="str">
        <f>IFERROR(__xludf.DUMMYFUNCTION("GoogleTranslate(C106, ""en"", ""zu"")"),"Izinga lokushisa nethuba lemvula e-{name} ezinsukwini ezingu-7 ezilandelayo")</f>
        <v>Izinga lokushisa nethuba lemvula e-{name} ezinsukwini ezingu-7 ezilandelayo</v>
      </c>
    </row>
    <row r="107">
      <c r="A107" s="1" t="str">
        <f t="shared" si="1"/>
        <v>Chance_of_rain_{name}_next_{number}_days.</v>
      </c>
      <c r="B107" s="4" t="s">
        <v>164</v>
      </c>
      <c r="C107" s="1" t="str">
        <f t="shared" si="2"/>
        <v>Chance of rain {name} next {number} days.</v>
      </c>
      <c r="D107" s="3" t="str">
        <f>IFERROR(__xludf.DUMMYFUNCTION("GoogleTranslate(C107, ""en"", ""es"")"),"Probabilidad de lluvia {nombre} los próximos {número} días.")</f>
        <v>Probabilidad de lluvia {nombre} los próximos {número} días.</v>
      </c>
      <c r="E107" s="3" t="str">
        <f>IFERROR(__xludf.DUMMYFUNCTION("GoogleTranslate(C107, ""en"", ""ar"")"),"فرصة هطول أمطار {الاسم} القادمة {عدد} الأيام.")</f>
        <v>فرصة هطول أمطار {الاسم} القادمة {عدد} الأيام.</v>
      </c>
      <c r="F107" s="3" t="str">
        <f>IFERROR(__xludf.DUMMYFUNCTION("GoogleTranslate(C107, ""en"", ""hy"")"),"Անձրևի հավանականություն {name} հաջորդ {number} օրերին:")</f>
        <v>Անձրևի հավանականություն {name} հաջորդ {number} օրերին:</v>
      </c>
      <c r="G107" s="3" t="str">
        <f>IFERROR(__xludf.DUMMYFUNCTION("GoogleTranslate(C107, ""en"", ""vi"")"),"Có thể có mưa {name} ngày tới {number} ngày tới.")</f>
        <v>Có thể có mưa {name} ngày tới {number} ngày tới.</v>
      </c>
      <c r="H107" s="3" t="str">
        <f>IFERROR(__xludf.DUMMYFUNCTION("GoogleTranslate(C107, ""en"", ""az"")"),"Növbəti {number} gündə yağış {name} ehtimalı.")</f>
        <v>Növbəti {number} gündə yağış {name} ehtimalı.</v>
      </c>
      <c r="I107" s="3" t="str">
        <f>IFERROR(__xludf.DUMMYFUNCTION("GoogleTranslate(C107, ""en"", ""eu"")"),"Euria egiteko aukera {name} hurrengo {number} egunetan.")</f>
        <v>Euria egiteko aukera {name} hurrengo {number} egunetan.</v>
      </c>
      <c r="J107" s="3" t="str">
        <f>IFERROR(__xludf.DUMMYFUNCTION("GoogleTranslate(C107, ""en"", ""be"")"),"Верагоднасць дажджу {name} наступныя {number} дзён.")</f>
        <v>Верагоднасць дажджу {name} наступныя {number} дзён.</v>
      </c>
      <c r="K107" s="3" t="str">
        <f>IFERROR(__xludf.DUMMYFUNCTION("GoogleTranslate(C107, ""en"", ""bn"")"),"আগামী {number} দিন {name} বৃষ্টির সম্ভাবনা।")</f>
        <v>আগামী {number} দিন {name} বৃষ্টির সম্ভাবনা।</v>
      </c>
      <c r="L107" s="3" t="str">
        <f>IFERROR(__xludf.DUMMYFUNCTION("GoogleTranslate(C107, ""en"", ""bg"")"),"Вероятност за дъжд {name} следващите {number} дни.")</f>
        <v>Вероятност за дъжд {name} следващите {number} дни.</v>
      </c>
      <c r="M107" s="3" t="str">
        <f>IFERROR(__xludf.DUMMYFUNCTION("GoogleTranslate(C107, ""en"", ""my"")"),"နောက် {number} ရက်အတွင်း မိုးရွာနိုင်ခြေ")</f>
        <v>နောက် {number} ရက်အတွင်း မိုးရွာနိုင်ခြေ</v>
      </c>
      <c r="N107" s="3" t="str">
        <f>IFERROR(__xludf.DUMMYFUNCTION("GoogleTranslate(C107, ""en"", ""ca"")"),"Possibilitat de pluja {name} els propers {number} dies.")</f>
        <v>Possibilitat de pluja {name} els propers {number} dies.</v>
      </c>
      <c r="O107" s="3" t="str">
        <f>IFERROR(__xludf.DUMMYFUNCTION("GoogleTranslate(C107, ""en"", ""zh-cn"")"),"未来 {number} 天可能会下雨 {name}。")</f>
        <v>未来 {number} 天可能会下雨 {name}。</v>
      </c>
      <c r="P107" s="3" t="str">
        <f>IFERROR(__xludf.DUMMYFUNCTION("GoogleTranslate(C107, ""en"", ""zh-TW"")"),"未來 {number} 天可能會下雨 {name}。")</f>
        <v>未來 {number} 天可能會下雨 {name}。</v>
      </c>
      <c r="Q107" s="3" t="str">
        <f>IFERROR(__xludf.DUMMYFUNCTION("GoogleTranslate(C107, ""en"", ""hr"")"),"Mogućnost kiše {name} sljedećih {number} dana.")</f>
        <v>Mogućnost kiše {name} sljedećih {number} dana.</v>
      </c>
      <c r="R107" s="3" t="str">
        <f>IFERROR(__xludf.DUMMYFUNCTION("GoogleTranslate(C107, ""en"", ""cs"")"),"Pravděpodobnost deště {name} v příštích {number} dnech.")</f>
        <v>Pravděpodobnost deště {name} v příštích {number} dnech.</v>
      </c>
      <c r="S107" s="3" t="str">
        <f>IFERROR(__xludf.DUMMYFUNCTION("GoogleTranslate(C107, ""en"", ""da"")"),"Mulighed for regn {name} de næste {number} dage.")</f>
        <v>Mulighed for regn {name} de næste {number} dage.</v>
      </c>
      <c r="T107" s="3" t="str">
        <f>IFERROR(__xludf.DUMMYFUNCTION("GoogleTranslate(C107, ""en"", ""nl"")"),"Kans op regen {naam} komende {aantal} dagen.")</f>
        <v>Kans op regen {naam} komende {aantal} dagen.</v>
      </c>
      <c r="U107" s="3" t="str">
        <f>IFERROR(__xludf.DUMMYFUNCTION("GoogleTranslate(C107, ""en"", ""et"")"),"Vihma võimalus {name} järgmisel {number} päeval.")</f>
        <v>Vihma võimalus {name} järgmisel {number} päeval.</v>
      </c>
      <c r="V107" s="1" t="str">
        <f t="shared" si="3"/>
        <v>Chance of rain {name} next {number} days.</v>
      </c>
      <c r="W107" s="3" t="str">
        <f>IFERROR(__xludf.DUMMYFUNCTION("GoogleTranslate(C107, ""en"", ""fi"")"),"Sateen mahdollisuus {name} seuraavan {number} päivän aikana.")</f>
        <v>Sateen mahdollisuus {name} seuraavan {number} päivän aikana.</v>
      </c>
      <c r="X107" s="3" t="str">
        <f>IFERROR(__xludf.DUMMYFUNCTION("GoogleTranslate(C107, ""en"", ""fr"")"),"Risque de pluie {name} prochains {number} jours.")</f>
        <v>Risque de pluie {name} prochains {number} jours.</v>
      </c>
      <c r="Y107" s="3" t="str">
        <f>IFERROR(__xludf.DUMMYFUNCTION("GoogleTranslate(C107, ""en"", ""de"")"),"Wahrscheinlichkeit, dass es in den nächsten {Anzahl} Tagen an {name} regnen wird.")</f>
        <v>Wahrscheinlichkeit, dass es in den nächsten {Anzahl} Tagen an {name} regnen wird.</v>
      </c>
      <c r="Z107" s="3" t="str">
        <f>IFERROR(__xludf.DUMMYFUNCTION("GoogleTranslate(C107, ""en"", ""el"")"),"Πιθανότητα βροχής {name} τις επόμενες {number} ημέρες.")</f>
        <v>Πιθανότητα βροχής {name} τις επόμενες {number} ημέρες.</v>
      </c>
      <c r="AA107" s="3" t="str">
        <f>IFERROR(__xludf.DUMMYFUNCTION("GoogleTranslate(C107, ""en"", ""iw"")"),"סיכוי לגשם {name} ב-{number} הימים הבאים.")</f>
        <v>סיכוי לגשם {name} ב-{number} הימים הבאים.</v>
      </c>
      <c r="AB107" s="3" t="str">
        <f>IFERROR(__xludf.DUMMYFUNCTION("GoogleTranslate(C107, ""en"", ""hi"")"),"अगले {संख्या} दिनों में बारिश {नाम} की संभावना।")</f>
        <v>अगले {संख्या} दिनों में बारिश {नाम} की संभावना।</v>
      </c>
      <c r="AC107" s="3" t="str">
        <f>IFERROR(__xludf.DUMMYFUNCTION("GoogleTranslate(C107, ""en"", ""hu"")"),"Eső valószínűsége {name} a következő {number} napon.")</f>
        <v>Eső valószínűsége {name} a következő {number} napon.</v>
      </c>
      <c r="AD107" s="3" t="str">
        <f>IFERROR(__xludf.DUMMYFUNCTION("GoogleTranslate(C107, ""en"", ""is"")"),"Líkur á rigningu {name} næstu {number} daga.")</f>
        <v>Líkur á rigningu {name} næstu {number} daga.</v>
      </c>
      <c r="AE107" s="3" t="str">
        <f>IFERROR(__xludf.DUMMYFUNCTION("GoogleTranslate(C107, ""en"", ""id"")"),"Kemungkinan hujan {name} {number} hari mendatang.")</f>
        <v>Kemungkinan hujan {name} {number} hari mendatang.</v>
      </c>
      <c r="AF107" s="3" t="str">
        <f>IFERROR(__xludf.DUMMYFUNCTION("GoogleTranslate(C107, ""en"", ""in"")"),"Kemungkinan hujan {name} {number} hari mendatang.")</f>
        <v>Kemungkinan hujan {name} {number} hari mendatang.</v>
      </c>
      <c r="AG107" s="3" t="str">
        <f>IFERROR(__xludf.DUMMYFUNCTION("GoogleTranslate(C107, ""en"", ""it"")"),"Possibilità di pioggia {nome} nei prossimi {numero} giorni.")</f>
        <v>Possibilità di pioggia {nome} nei prossimi {numero} giorni.</v>
      </c>
      <c r="AH107" s="3" t="str">
        <f>IFERROR(__xludf.DUMMYFUNCTION("GoogleTranslate(C107, ""en"", ""ja"")"),"今後 {number} 日間、{name} が降る可能性があります。")</f>
        <v>今後 {number} 日間、{name} が降る可能性があります。</v>
      </c>
      <c r="AI107" s="3" t="str">
        <f>IFERROR(__xludf.DUMMYFUNCTION("GoogleTranslate(C107, ""en"", ""kn"")"),"ಮುಂದಿನ {number} ದಿನಗಳಲ್ಲಿ {name} ಮಳೆಯಾಗುವ ಸಾಧ್ಯತೆ.")</f>
        <v>ಮುಂದಿನ {number} ದಿನಗಳಲ್ಲಿ {name} ಮಳೆಯಾಗುವ ಸಾಧ್ಯತೆ.</v>
      </c>
      <c r="AJ107" s="3" t="str">
        <f>IFERROR(__xludf.DUMMYFUNCTION("GoogleTranslate(C107, ""en"", ""km"")"),"ឱកាសភ្លៀង {name} {number} ថ្ងៃបន្ទាប់។")</f>
        <v>ឱកាសភ្លៀង {name} {number} ថ្ងៃបន្ទាប់។</v>
      </c>
      <c r="AK107" s="3" t="str">
        <f>IFERROR(__xludf.DUMMYFUNCTION("GoogleTranslate(C107, ""en"", ""ko"")"),"다음 {number}일 동안 {name}에 비가 올 확률이 있습니다.")</f>
        <v>다음 {number}일 동안 {name}에 비가 올 확률이 있습니다.</v>
      </c>
      <c r="AL107" s="3" t="str">
        <f>IFERROR(__xludf.DUMMYFUNCTION("GoogleTranslate(C107, ""en"", ""lo"")"),"ໂອກາດຝົນຕົກ {name} {number} ມື້ຕໍ່ໄປ.")</f>
        <v>ໂອກາດຝົນຕົກ {name} {number} ມື້ຕໍ່ໄປ.</v>
      </c>
      <c r="AM107" s="3" t="str">
        <f>IFERROR(__xludf.DUMMYFUNCTION("GoogleTranslate(C107, ""en"", ""lv"")"),"Iespējams lietus {name} nākamajās {number} dienās.")</f>
        <v>Iespējams lietus {name} nākamajās {number} dienās.</v>
      </c>
      <c r="AN107" s="3" t="str">
        <f>IFERROR(__xludf.DUMMYFUNCTION("GoogleTranslate(C107, ""en"", ""lt"")"),"Lietaus tikimybė {name} kitas {number} dienas.")</f>
        <v>Lietaus tikimybė {name} kitas {number} dienas.</v>
      </c>
      <c r="AO107" s="3" t="str">
        <f>IFERROR(__xludf.DUMMYFUNCTION("GoogleTranslate(C107, ""en"", ""mk"")"),"Можност за дожд {name} следните {number} дена.")</f>
        <v>Можност за дожд {name} следните {number} дена.</v>
      </c>
      <c r="AP107" s="3" t="str">
        <f>IFERROR(__xludf.DUMMYFUNCTION("GoogleTranslate(C107, ""en"", ""ms"")"),"Kemungkinan hujan {name} {number} hari berikutnya.")</f>
        <v>Kemungkinan hujan {name} {number} hari berikutnya.</v>
      </c>
      <c r="AQ107" s="3" t="str">
        <f>IFERROR(__xludf.DUMMYFUNCTION("GoogleTranslate(C107, ""en"", ""ml"")"),"അടുത്ത {number} ദിവസങ്ങളിൽ {name} മഴയ്ക്ക് സാധ്യത.")</f>
        <v>അടുത്ത {number} ദിവസങ്ങളിൽ {name} മഴയ്ക്ക് സാധ്യത.</v>
      </c>
      <c r="AR107" s="3" t="str">
        <f>IFERROR(__xludf.DUMMYFUNCTION("GoogleTranslate(C107, ""en"", ""mr"")"),"पुढील {number} दिवस {name} पावसाची शक्यता.")</f>
        <v>पुढील {number} दिवस {name} पावसाची शक्यता.</v>
      </c>
      <c r="AS107" s="3" t="str">
        <f>IFERROR(__xludf.DUMMYFUNCTION("GoogleTranslate(C107, ""en"", ""mn"")"),"Дараагийн {number} өдөр бороо орох магадлал {name}.")</f>
        <v>Дараагийн {number} өдөр бороо орох магадлал {name}.</v>
      </c>
      <c r="AT107" s="3" t="str">
        <f>IFERROR(__xludf.DUMMYFUNCTION("GoogleTranslate(C107, ""en"", ""ne"")"),"आगामी {number} दिन {name} वर्षाको सम्भावना।")</f>
        <v>आगामी {number} दिन {name} वर्षाको सम्भावना।</v>
      </c>
      <c r="AU107" s="3" t="str">
        <f>IFERROR(__xludf.DUMMYFUNCTION("GoogleTranslate(C107, ""en"", ""nb"")"),"Mulighet for regn {name} neste {number} dager.")</f>
        <v>Mulighet for regn {name} neste {number} dager.</v>
      </c>
      <c r="AV107" s="3" t="str">
        <f>IFERROR(__xludf.DUMMYFUNCTION("GoogleTranslate(C107, ""en"", ""fa"")"),"احتمال بارندگی {name} {number} روز آینده.")</f>
        <v>احتمال بارندگی {name} {number} روز آینده.</v>
      </c>
      <c r="AW107" s="3" t="str">
        <f>IFERROR(__xludf.DUMMYFUNCTION("GoogleTranslate(C107, ""en"", ""pl"")"),"Prawdopodobieństwo deszczu {name} w ciągu następnych {number} dni.")</f>
        <v>Prawdopodobieństwo deszczu {name} w ciągu następnych {number} dni.</v>
      </c>
      <c r="AX107" s="3" t="str">
        <f>IFERROR(__xludf.DUMMYFUNCTION("GoogleTranslate(C107, ""en"", ""pt"")"),"Possibilidade de chuva {name} nos próximos {number} dias.")</f>
        <v>Possibilidade de chuva {name} nos próximos {number} dias.</v>
      </c>
      <c r="AY107" s="3" t="str">
        <f>IFERROR(__xludf.DUMMYFUNCTION("GoogleTranslate(C107, ""en"", ""ro"")"),"Şanse de ploaie {name} în următoarele {number} zile.")</f>
        <v>Şanse de ploaie {name} în următoarele {number} zile.</v>
      </c>
      <c r="AZ107" s="3" t="str">
        <f>IFERROR(__xludf.DUMMYFUNCTION("GoogleTranslate(C107, ""en"", ""ru"")"),"Вероятность дождя {name} в следующие {number} дней.")</f>
        <v>Вероятность дождя {name} в следующие {number} дней.</v>
      </c>
      <c r="BA107" s="3" t="str">
        <f>IFERROR(__xludf.DUMMYFUNCTION("GoogleTranslate(C107, ""en"", ""sr"")"),"Могућа киша {наме} следећих {нумбер} дана.")</f>
        <v>Могућа киша {наме} следећих {нумбер} дана.</v>
      </c>
      <c r="BB107" s="3" t="str">
        <f>IFERROR(__xludf.DUMMYFUNCTION("GoogleTranslate(C107, ""en"", ""si"")"),"ඉදිරි දින {number} {name} වර්ෂාවට ඇති ඉඩකඩ.")</f>
        <v>ඉදිරි දින {number} {name} වර්ෂාවට ඇති ඉඩකඩ.</v>
      </c>
      <c r="BC107" s="3" t="str">
        <f>IFERROR(__xludf.DUMMYFUNCTION("GoogleTranslate(C107, ""en"", ""sk"")"),"Pravdepodobnosť dažďa {name} počas nasledujúcich {number} dní.")</f>
        <v>Pravdepodobnosť dažďa {name} počas nasledujúcich {number} dní.</v>
      </c>
      <c r="BD107" s="3" t="str">
        <f>IFERROR(__xludf.DUMMYFUNCTION("GoogleTranslate(C107, ""en"", ""sl"")"),"Možnost dežja {name} naslednjih {number} dni.")</f>
        <v>Možnost dežja {name} naslednjih {number} dni.</v>
      </c>
      <c r="BE107" s="3" t="str">
        <f>IFERROR(__xludf.DUMMYFUNCTION("GoogleTranslate(C107, ""en"", ""es"")"),"Probabilidad de lluvia {nombre} los próximos {número} días.")</f>
        <v>Probabilidad de lluvia {nombre} los próximos {número} días.</v>
      </c>
      <c r="BF107" s="3" t="str">
        <f>IFERROR(__xludf.DUMMYFUNCTION("GoogleTranslate(C107, ""en"", ""sw"")"),"Uwezekano wa mvua kunyesha {name} siku {number} zijazo.")</f>
        <v>Uwezekano wa mvua kunyesha {name} siku {number} zijazo.</v>
      </c>
      <c r="BG107" s="3" t="str">
        <f>IFERROR(__xludf.DUMMYFUNCTION("GoogleTranslate(C107, ""en"", ""sv"")"),"Risk för regn {name} nästa {number} dagar.")</f>
        <v>Risk för regn {name} nästa {number} dagar.</v>
      </c>
      <c r="BH107" s="3" t="str">
        <f>IFERROR(__xludf.DUMMYFUNCTION("GoogleTranslate(C107, ""en"", ""te"")"),"తదుపరి {number} రోజులు {name} వర్షం పడే అవకాశం.")</f>
        <v>తదుపరి {number} రోజులు {name} వర్షం పడే అవకాశం.</v>
      </c>
      <c r="BI107" s="3" t="str">
        <f>IFERROR(__xludf.DUMMYFUNCTION("GoogleTranslate(C107, ""en"", ""th"")"),"โอกาสที่ฝนจะตก {name} ข้างหน้า {number} วัน")</f>
        <v>โอกาสที่ฝนจะตก {name} ข้างหน้า {number} วัน</v>
      </c>
      <c r="BJ107" s="3" t="str">
        <f>IFERROR(__xludf.DUMMYFUNCTION("GoogleTranslate(C107, ""en"", ""tr"")"),"Önümüzdeki {number} gün {name} yağmur ihtimali.")</f>
        <v>Önümüzdeki {number} gün {name} yağmur ihtimali.</v>
      </c>
      <c r="BK107" s="3" t="str">
        <f>IFERROR(__xludf.DUMMYFUNCTION("GoogleTranslate(C107, ""en"", ""uk"")"),"Можливий дощ {name} наступних {number} днів.")</f>
        <v>Можливий дощ {name} наступних {number} днів.</v>
      </c>
      <c r="BL107" s="3" t="str">
        <f>IFERROR(__xludf.DUMMYFUNCTION("GoogleTranslate(C107, ""en"", ""zu"")"),"Ithuba lemvula {name} ezinsukwini ezingu-{number} ezilandelayo.")</f>
        <v>Ithuba lemvula {name} ezinsukwini ezingu-{number} ezilandelayo.</v>
      </c>
    </row>
    <row r="108">
      <c r="A108" s="5" t="str">
        <f t="shared" si="1"/>
        <v>Average_temperature_{name}_next_{number}_days.</v>
      </c>
      <c r="B108" s="6" t="s">
        <v>165</v>
      </c>
      <c r="C108" s="5" t="str">
        <f t="shared" si="2"/>
        <v>Average temperature {name} next {number} days.</v>
      </c>
      <c r="D108" s="7" t="str">
        <f>IFERROR(__xludf.DUMMYFUNCTION("GoogleTranslate(C108, ""en"", ""es"")"),"Temperatura promedio {nombre} los próximos {número} días.")</f>
        <v>Temperatura promedio {nombre} los próximos {número} días.</v>
      </c>
      <c r="E108" s="7" t="str">
        <f>IFERROR(__xludf.DUMMYFUNCTION("GoogleTranslate(C108, ""en"", ""ar"")"),"متوسط ​​درجة الحرارة {name} الأيام الـ {number} القادمة.")</f>
        <v>متوسط ​​درجة الحرارة {name} الأيام الـ {number} القادمة.</v>
      </c>
      <c r="F108" s="7" t="str">
        <f>IFERROR(__xludf.DUMMYFUNCTION("GoogleTranslate(C108, ""en"", ""hy"")"),"Միջին ջերմաստիճանը {name} հաջորդ {number} օրվա ընթացքում:")</f>
        <v>Միջին ջերմաստիճանը {name} հաջորդ {number} օրվա ընթացքում:</v>
      </c>
      <c r="G108" s="7" t="str">
        <f>IFERROR(__xludf.DUMMYFUNCTION("GoogleTranslate(C108, ""en"", ""vi"")"),"Nhiệt độ trung bình {name} ngày tới {number} ngày tới.")</f>
        <v>Nhiệt độ trung bình {name} ngày tới {number} ngày tới.</v>
      </c>
      <c r="H108" s="7" t="str">
        <f>IFERROR(__xludf.DUMMYFUNCTION("GoogleTranslate(C108, ""en"", ""az"")"),"Növbəti {number} gündə orta temperatur {name}.")</f>
        <v>Növbəti {number} gündə orta temperatur {name}.</v>
      </c>
      <c r="I108" s="7" t="str">
        <f>IFERROR(__xludf.DUMMYFUNCTION("GoogleTranslate(C108, ""en"", ""eu"")"),"Batez besteko tenperatura {name} hurrengo {number} egunetan.")</f>
        <v>Batez besteko tenperatura {name} hurrengo {number} egunetan.</v>
      </c>
      <c r="J108" s="7" t="str">
        <f>IFERROR(__xludf.DUMMYFUNCTION("GoogleTranslate(C108, ""en"", ""be"")"),"Сярэдняя тэмпература {name} наступныя {number} дзён.")</f>
        <v>Сярэдняя тэмпература {name} наступныя {number} дзён.</v>
      </c>
      <c r="K108" s="7" t="str">
        <f>IFERROR(__xludf.DUMMYFUNCTION("GoogleTranslate(C108, ""en"", ""bn"")"),"গড় তাপমাত্রা {name} পরবর্তী {number} দিন।")</f>
        <v>গড় তাপমাত্রা {name} পরবর্তী {number} দিন।</v>
      </c>
      <c r="L108" s="7" t="str">
        <f>IFERROR(__xludf.DUMMYFUNCTION("GoogleTranslate(C108, ""en"", ""bg"")"),"Средна температура {name} следващите {number} дни.")</f>
        <v>Средна температура {name} следващите {number} дни.</v>
      </c>
      <c r="M108" s="7" t="str">
        <f>IFERROR(__xludf.DUMMYFUNCTION("GoogleTranslate(C108, ""en"", ""my"")"),"ပျမ်းမျှအပူချိန် {name} လာမည့် {number} ရက်။")</f>
        <v>ပျမ်းမျှအပူချိန် {name} လာမည့် {number} ရက်။</v>
      </c>
      <c r="N108" s="7" t="str">
        <f>IFERROR(__xludf.DUMMYFUNCTION("GoogleTranslate(C108, ""en"", ""ca"")"),"Temperatura mitjana {name} els propers {number} dies.")</f>
        <v>Temperatura mitjana {name} els propers {number} dies.</v>
      </c>
      <c r="O108" s="7" t="str">
        <f>IFERROR(__xludf.DUMMYFUNCTION("GoogleTranslate(C108, ""en"", ""zh-cn"")"),"未来 {number} 天的平均气温 {name}。")</f>
        <v>未来 {number} 天的平均气温 {name}。</v>
      </c>
      <c r="P108" s="7" t="str">
        <f>IFERROR(__xludf.DUMMYFUNCTION("GoogleTranslate(C108, ""en"", ""zh-TW"")"),"未來 {number} 天的平均氣溫 {name}。")</f>
        <v>未來 {number} 天的平均氣溫 {name}。</v>
      </c>
      <c r="Q108" s="7" t="str">
        <f>IFERROR(__xludf.DUMMYFUNCTION("GoogleTranslate(C108, ""en"", ""hr"")"),"Prosječna temperatura {name} sljedećih {number} dana.")</f>
        <v>Prosječna temperatura {name} sljedećih {number} dana.</v>
      </c>
      <c r="R108" s="7" t="str">
        <f>IFERROR(__xludf.DUMMYFUNCTION("GoogleTranslate(C108, ""en"", ""cs"")"),"Průměrná teplota {name} v následujících {number} dnech.")</f>
        <v>Průměrná teplota {name} v následujících {number} dnech.</v>
      </c>
      <c r="S108" s="7" t="str">
        <f>IFERROR(__xludf.DUMMYFUNCTION("GoogleTranslate(C108, ""en"", ""da"")"),"Gennemsnitstemperatur {name} næste {number} dage.")</f>
        <v>Gennemsnitstemperatur {name} næste {number} dage.</v>
      </c>
      <c r="T108" s="7" t="str">
        <f>IFERROR(__xludf.DUMMYFUNCTION("GoogleTranslate(C108, ""en"", ""nl"")"),"Gemiddelde temperatuur {naam} komende {aantal} dagen.")</f>
        <v>Gemiddelde temperatuur {naam} komende {aantal} dagen.</v>
      </c>
      <c r="U108" s="7" t="str">
        <f>IFERROR(__xludf.DUMMYFUNCTION("GoogleTranslate(C108, ""en"", ""et"")"),"Keskmine temperatuur {name} järgmisel {number} päeval.")</f>
        <v>Keskmine temperatuur {name} järgmisel {number} päeval.</v>
      </c>
      <c r="V108" s="5" t="str">
        <f t="shared" si="3"/>
        <v>Average temperature {name} next {number} days.</v>
      </c>
      <c r="W108" s="7" t="str">
        <f>IFERROR(__xludf.DUMMYFUNCTION("GoogleTranslate(C108, ""en"", ""fi"")"),"Keskilämpötila {name} seuraavat {number} päivää.")</f>
        <v>Keskilämpötila {name} seuraavat {number} päivää.</v>
      </c>
      <c r="X108" s="7" t="str">
        <f>IFERROR(__xludf.DUMMYFUNCTION("GoogleTranslate(C108, ""en"", ""fr"")"),"Température moyenne {name} prochains {number} jours.")</f>
        <v>Température moyenne {name} prochains {number} jours.</v>
      </c>
      <c r="Y108" s="7" t="str">
        <f>IFERROR(__xludf.DUMMYFUNCTION("GoogleTranslate(C108, ""en"", ""de"")"),"Durchschnittstemperatur {name} in den nächsten {number} Tagen.")</f>
        <v>Durchschnittstemperatur {name} in den nächsten {number} Tagen.</v>
      </c>
      <c r="Z108" s="7" t="str">
        <f>IFERROR(__xludf.DUMMYFUNCTION("GoogleTranslate(C108, ""en"", ""el"")"),"Μέση θερμοκρασία {name} επόμενες {number} ημέρες.")</f>
        <v>Μέση θερμοκρασία {name} επόμενες {number} ημέρες.</v>
      </c>
      <c r="AA108" s="7" t="str">
        <f>IFERROR(__xludf.DUMMYFUNCTION("GoogleTranslate(C108, ""en"", ""iw"")"),"טמפרטורה ממוצעת {name} ב-{number} הימים הבאים.")</f>
        <v>טמפרטורה ממוצעת {name} ב-{number} הימים הבאים.</v>
      </c>
      <c r="AB108" s="7" t="str">
        <f>IFERROR(__xludf.DUMMYFUNCTION("GoogleTranslate(C108, ""en"", ""hi"")"),"अगले {संख्या} दिनों का औसत तापमान {नाम}।")</f>
        <v>अगले {संख्या} दिनों का औसत तापमान {नाम}।</v>
      </c>
      <c r="AC108" s="7" t="str">
        <f>IFERROR(__xludf.DUMMYFUNCTION("GoogleTranslate(C108, ""en"", ""hu"")"),"Átlaghőmérséklet: {name} a következő {number} napon.")</f>
        <v>Átlaghőmérséklet: {name} a következő {number} napon.</v>
      </c>
      <c r="AD108" s="7" t="str">
        <f>IFERROR(__xludf.DUMMYFUNCTION("GoogleTranslate(C108, ""en"", ""is"")"),"Meðalhiti {name} næstu {number} daga.")</f>
        <v>Meðalhiti {name} næstu {number} daga.</v>
      </c>
      <c r="AE108" s="7" t="str">
        <f>IFERROR(__xludf.DUMMYFUNCTION("GoogleTranslate(C108, ""en"", ""id"")"),"Suhu rata-rata {name} {number} hari berikutnya.")</f>
        <v>Suhu rata-rata {name} {number} hari berikutnya.</v>
      </c>
      <c r="AF108" s="7" t="str">
        <f>IFERROR(__xludf.DUMMYFUNCTION("GoogleTranslate(C108, ""en"", ""in"")"),"Suhu rata-rata {name} {number} hari berikutnya.")</f>
        <v>Suhu rata-rata {name} {number} hari berikutnya.</v>
      </c>
      <c r="AG108" s="7" t="str">
        <f>IFERROR(__xludf.DUMMYFUNCTION("GoogleTranslate(C108, ""en"", ""it"")"),"Temperatura media {nome} prossimi {numero} giorni.")</f>
        <v>Temperatura media {nome} prossimi {numero} giorni.</v>
      </c>
      <c r="AH108" s="7" t="str">
        <f>IFERROR(__xludf.DUMMYFUNCTION("GoogleTranslate(C108, ""en"", ""ja"")"),"{name} の今後の {number} 日間の平均気温。")</f>
        <v>{name} の今後の {number} 日間の平均気温。</v>
      </c>
      <c r="AI108" s="7" t="str">
        <f>IFERROR(__xludf.DUMMYFUNCTION("GoogleTranslate(C108, ""en"", ""kn"")"),"ಮುಂದಿನ {number} ದಿನಗಳಲ್ಲಿ ಸರಾಸರಿ ತಾಪಮಾನ {name}.")</f>
        <v>ಮುಂದಿನ {number} ದಿನಗಳಲ್ಲಿ ಸರಾಸರಿ ತಾಪಮಾನ {name}.</v>
      </c>
      <c r="AJ108" s="7" t="str">
        <f>IFERROR(__xludf.DUMMYFUNCTION("GoogleTranslate(C108, ""en"", ""km"")"),"សីតុណ្ហភាពជាមធ្យម {name} {number} ថ្ងៃបន្ទាប់។")</f>
        <v>សីតុណ្ហភាពជាមធ្យម {name} {number} ថ្ងៃបន្ទាប់។</v>
      </c>
      <c r="AK108" s="7" t="str">
        <f>IFERROR(__xludf.DUMMYFUNCTION("GoogleTranslate(C108, ""en"", ""ko"")"),"평균 기온 {name} 다음 {number}일.")</f>
        <v>평균 기온 {name} 다음 {number}일.</v>
      </c>
      <c r="AL108" s="7" t="str">
        <f>IFERROR(__xludf.DUMMYFUNCTION("GoogleTranslate(C108, ""en"", ""lo"")"),"ອຸນຫະພູມສະເລ່ຍ {name} {number} ມື້ຖັດໄປ.")</f>
        <v>ອຸນຫະພູມສະເລ່ຍ {name} {number} ມື້ຖັດໄປ.</v>
      </c>
      <c r="AM108" s="7" t="str">
        <f>IFERROR(__xludf.DUMMYFUNCTION("GoogleTranslate(C108, ""en"", ""lv"")"),"Vidējā temperatūra {name} nākamajās {number} dienās.")</f>
        <v>Vidējā temperatūra {name} nākamajās {number} dienās.</v>
      </c>
      <c r="AN108" s="7" t="str">
        <f>IFERROR(__xludf.DUMMYFUNCTION("GoogleTranslate(C108, ""en"", ""lt"")"),"Vidutinė temperatūra {name} kitas {number} dienas.")</f>
        <v>Vidutinė temperatūra {name} kitas {number} dienas.</v>
      </c>
      <c r="AO108" s="7" t="str">
        <f>IFERROR(__xludf.DUMMYFUNCTION("GoogleTranslate(C108, ""en"", ""mk"")"),"Просечна температура {name} следните {number} дена.")</f>
        <v>Просечна температура {name} следните {number} дена.</v>
      </c>
      <c r="AP108" s="7" t="str">
        <f>IFERROR(__xludf.DUMMYFUNCTION("GoogleTranslate(C108, ""en"", ""ms"")"),"Purata suhu {name} {number} hari berikutnya.")</f>
        <v>Purata suhu {name} {number} hari berikutnya.</v>
      </c>
      <c r="AQ108" s="7" t="str">
        <f>IFERROR(__xludf.DUMMYFUNCTION("GoogleTranslate(C108, ""en"", ""ml"")"),"അടുത്ത {number} ദിവസങ്ങളിലെ ശരാശരി താപനില {name}.")</f>
        <v>അടുത്ത {number} ദിവസങ്ങളിലെ ശരാശരി താപനില {name}.</v>
      </c>
      <c r="AR108" s="7" t="str">
        <f>IFERROR(__xludf.DUMMYFUNCTION("GoogleTranslate(C108, ""en"", ""mr"")"),"पुढील {number} दिवसांचे सरासरी तापमान {name}.")</f>
        <v>पुढील {number} दिवसांचे सरासरी तापमान {name}.</v>
      </c>
      <c r="AS108" s="7" t="str">
        <f>IFERROR(__xludf.DUMMYFUNCTION("GoogleTranslate(C108, ""en"", ""mn"")"),"Дараагийн {number} өдрийн дундаж температур {name}.")</f>
        <v>Дараагийн {number} өдрийн дундаж температур {name}.</v>
      </c>
      <c r="AT108" s="7" t="str">
        <f>IFERROR(__xludf.DUMMYFUNCTION("GoogleTranslate(C108, ""en"", ""ne"")"),"अर्को {number} दिनको औसत तापक्रम {name}।")</f>
        <v>अर्को {number} दिनको औसत तापक्रम {name}।</v>
      </c>
      <c r="AU108" s="7" t="str">
        <f>IFERROR(__xludf.DUMMYFUNCTION("GoogleTranslate(C108, ""en"", ""nb"")"),"Gjennomsnittlig temperatur {name} neste {number} dager.")</f>
        <v>Gjennomsnittlig temperatur {name} neste {number} dager.</v>
      </c>
      <c r="AV108" s="7" t="str">
        <f>IFERROR(__xludf.DUMMYFUNCTION("GoogleTranslate(C108, ""en"", ""fa"")"),"میانگین دمای {name} {number} روز آینده.")</f>
        <v>میانگین دمای {name} {number} روز آینده.</v>
      </c>
      <c r="AW108" s="7" t="str">
        <f>IFERROR(__xludf.DUMMYFUNCTION("GoogleTranslate(C108, ""en"", ""pl"")"),"Średnia temperatura {name} w ciągu następnych {number} dni.")</f>
        <v>Średnia temperatura {name} w ciągu następnych {number} dni.</v>
      </c>
      <c r="AX108" s="7" t="str">
        <f>IFERROR(__xludf.DUMMYFUNCTION("GoogleTranslate(C108, ""en"", ""pt"")"),"Temperatura média {nome} nos próximos {número} dias.")</f>
        <v>Temperatura média {nome} nos próximos {número} dias.</v>
      </c>
      <c r="AY108" s="7" t="str">
        <f>IFERROR(__xludf.DUMMYFUNCTION("GoogleTranslate(C108, ""en"", ""ro"")"),"Temperatura medie {name} următoarele {number} zile.")</f>
        <v>Temperatura medie {name} următoarele {number} zile.</v>
      </c>
      <c r="AZ108" s="7" t="str">
        <f>IFERROR(__xludf.DUMMYFUNCTION("GoogleTranslate(C108, ""en"", ""ru"")"),"Средняя температура {name} в следующие {number} дней.")</f>
        <v>Средняя температура {name} в следующие {number} дней.</v>
      </c>
      <c r="BA108" s="7" t="str">
        <f>IFERROR(__xludf.DUMMYFUNCTION("GoogleTranslate(C108, ""en"", ""sr"")"),"Просечна температура {наме} следећих {нумбер} дана.")</f>
        <v>Просечна температура {наме} следећих {нумбер} дана.</v>
      </c>
      <c r="BB108" s="7" t="str">
        <f>IFERROR(__xludf.DUMMYFUNCTION("GoogleTranslate(C108, ""en"", ""si"")"),"සාමාන්‍ය උෂ්ණත්වය {name} ඉදිරි දින {number}.")</f>
        <v>සාමාන්‍ය උෂ්ණත්වය {name} ඉදිරි දින {number}.</v>
      </c>
      <c r="BC108" s="7" t="str">
        <f>IFERROR(__xludf.DUMMYFUNCTION("GoogleTranslate(C108, ""en"", ""sk"")"),"Priemerná teplota {name} nasledujúcich {number} dní.")</f>
        <v>Priemerná teplota {name} nasledujúcich {number} dní.</v>
      </c>
      <c r="BD108" s="7" t="str">
        <f>IFERROR(__xludf.DUMMYFUNCTION("GoogleTranslate(C108, ""en"", ""sl"")"),"Povprečna temperatura {name} naslednjih {number} dni.")</f>
        <v>Povprečna temperatura {name} naslednjih {number} dni.</v>
      </c>
      <c r="BE108" s="7" t="str">
        <f>IFERROR(__xludf.DUMMYFUNCTION("GoogleTranslate(C108, ""en"", ""es"")"),"Temperatura promedio {nombre} los próximos {número} días.")</f>
        <v>Temperatura promedio {nombre} los próximos {número} días.</v>
      </c>
      <c r="BF108" s="7" t="str">
        <f>IFERROR(__xludf.DUMMYFUNCTION("GoogleTranslate(C108, ""en"", ""sw"")"),"Wastani wa halijoto {name} siku {number} zijazo.")</f>
        <v>Wastani wa halijoto {name} siku {number} zijazo.</v>
      </c>
      <c r="BG108" s="7" t="str">
        <f>IFERROR(__xludf.DUMMYFUNCTION("GoogleTranslate(C108, ""en"", ""sv"")"),"Medeltemperatur {name} nästa {number} dagar.")</f>
        <v>Medeltemperatur {name} nästa {number} dagar.</v>
      </c>
      <c r="BH108" s="7" t="str">
        <f>IFERROR(__xludf.DUMMYFUNCTION("GoogleTranslate(C108, ""en"", ""te"")"),"వచ్చే {number} రోజులలో సగటు ఉష్ణోగ్రత {name}.")</f>
        <v>వచ్చే {number} రోజులలో సగటు ఉష్ణోగ్రత {name}.</v>
      </c>
      <c r="BI108" s="7" t="str">
        <f>IFERROR(__xludf.DUMMYFUNCTION("GoogleTranslate(C108, ""en"", ""th"")"),"อุณหภูมิเฉลี่ย {name} ถัดไป {number} วัน")</f>
        <v>อุณหภูมิเฉลี่ย {name} ถัดไป {number} วัน</v>
      </c>
      <c r="BJ108" s="7" t="str">
        <f>IFERROR(__xludf.DUMMYFUNCTION("GoogleTranslate(C108, ""en"", ""tr"")"),"Önümüzdeki {number} günün ortalama sıcaklığı {name}.")</f>
        <v>Önümüzdeki {number} günün ortalama sıcaklığı {name}.</v>
      </c>
      <c r="BK108" s="7" t="str">
        <f>IFERROR(__xludf.DUMMYFUNCTION("GoogleTranslate(C108, ""en"", ""uk"")"),"Середня температура {name} наступні {number} днів.")</f>
        <v>Середня температура {name} наступні {number} днів.</v>
      </c>
      <c r="BL108" s="7" t="str">
        <f>IFERROR(__xludf.DUMMYFUNCTION("GoogleTranslate(C108, ""en"", ""zu"")"),"Izinga lokushisa elimaphakathi elingu-{name} ezinsukwini ezingu-{number} ezilandelayo.")</f>
        <v>Izinga lokushisa elimaphakathi elingu-{name} ezinsukwini ezingu-{number} ezilandelayo.</v>
      </c>
    </row>
    <row r="109">
      <c r="A109" s="5" t="str">
        <f t="shared" si="1"/>
        <v>Uv_index_{name}_next_{number}_days.</v>
      </c>
      <c r="B109" s="6" t="s">
        <v>166</v>
      </c>
      <c r="C109" s="5" t="str">
        <f t="shared" si="2"/>
        <v>Uv index {name} next {number} days.</v>
      </c>
      <c r="D109" s="7" t="str">
        <f>IFERROR(__xludf.DUMMYFUNCTION("GoogleTranslate(C109, ""en"", ""es"")"),"Índice ultravioleta {nombre} los próximos {número} días.")</f>
        <v>Índice ultravioleta {nombre} los próximos {número} días.</v>
      </c>
      <c r="E109" s="7" t="str">
        <f>IFERROR(__xludf.DUMMYFUNCTION("GoogleTranslate(C109, ""en"", ""ar"")"),"مؤشر الأشعة فوق البنفسجية {name} الأيام الـ {number} القادمة.")</f>
        <v>مؤشر الأشعة فوق البنفسجية {name} الأيام الـ {number} القادمة.</v>
      </c>
      <c r="F109" s="7" t="str">
        <f>IFERROR(__xludf.DUMMYFUNCTION("GoogleTranslate(C109, ""en"", ""hy"")"),"Ուլտրամանուշակագույն ինդեքս {name} հաջորդ {number} օրերին:")</f>
        <v>Ուլտրամանուշակագույն ինդեքս {name} հաջորդ {number} օրերին:</v>
      </c>
      <c r="G109" s="7" t="str">
        <f>IFERROR(__xludf.DUMMYFUNCTION("GoogleTranslate(C109, ""en"", ""vi"")"),"Chỉ số UV {name} ngày {number} ngày tới.")</f>
        <v>Chỉ số UV {name} ngày {number} ngày tới.</v>
      </c>
      <c r="H109" s="7" t="str">
        <f>IFERROR(__xludf.DUMMYFUNCTION("GoogleTranslate(C109, ""en"", ""az"")"),"Uv indeksi {name} növbəti {number} gün.")</f>
        <v>Uv indeksi {name} növbəti {number} gün.</v>
      </c>
      <c r="I109" s="7" t="str">
        <f>IFERROR(__xludf.DUMMYFUNCTION("GoogleTranslate(C109, ""en"", ""eu"")"),"Uv indizea {name} hurrengo {number} egunetan.")</f>
        <v>Uv indizea {name} hurrengo {number} egunetan.</v>
      </c>
      <c r="J109" s="7" t="str">
        <f>IFERROR(__xludf.DUMMYFUNCTION("GoogleTranslate(C109, ""en"", ""be"")"),"Ультрафіялетавы індэкс {імя} у наступныя {number} дзён.")</f>
        <v>Ультрафіялетавы індэкс {імя} у наступныя {number} дзён.</v>
      </c>
      <c r="K109" s="7" t="str">
        <f>IFERROR(__xludf.DUMMYFUNCTION("GoogleTranslate(C109, ""en"", ""bn"")"),"Uv সূচক {name} পরবর্তী {number} দিন।")</f>
        <v>Uv সূচক {name} পরবর্তী {number} দিন।</v>
      </c>
      <c r="L109" s="7" t="str">
        <f>IFERROR(__xludf.DUMMYFUNCTION("GoogleTranslate(C109, ""en"", ""bg"")"),"Uv индекс {name} следващите {number} дни.")</f>
        <v>Uv индекс {name} следващите {number} дни.</v>
      </c>
      <c r="M109" s="7" t="str">
        <f>IFERROR(__xludf.DUMMYFUNCTION("GoogleTranslate(C109, ""en"", ""my"")"),"Uv အညွှန်း {name} နောက် {number} ရက်။")</f>
        <v>Uv အညွှန်း {name} နောက် {number} ရက်။</v>
      </c>
      <c r="N109" s="7" t="str">
        <f>IFERROR(__xludf.DUMMYFUNCTION("GoogleTranslate(C109, ""en"", ""ca"")"),"Índex UV {name} propers {number} dies.")</f>
        <v>Índex UV {name} propers {number} dies.</v>
      </c>
      <c r="O109" s="7" t="str">
        <f>IFERROR(__xludf.DUMMYFUNCTION("GoogleTranslate(C109, ""en"", ""zh-cn"")"),"接下来 {number} 天的紫外线指数 {name}。")</f>
        <v>接下来 {number} 天的紫外线指数 {name}。</v>
      </c>
      <c r="P109" s="7" t="str">
        <f>IFERROR(__xludf.DUMMYFUNCTION("GoogleTranslate(C109, ""en"", ""zh-TW"")"),"接下來 {number} 天的紫外線指數 {name}。")</f>
        <v>接下來 {number} 天的紫外線指數 {name}。</v>
      </c>
      <c r="Q109" s="7" t="str">
        <f>IFERROR(__xludf.DUMMYFUNCTION("GoogleTranslate(C109, ""en"", ""hr"")"),"Uv indeks {name} sljedećih {number} dana.")</f>
        <v>Uv indeks {name} sljedećih {number} dana.</v>
      </c>
      <c r="R109" s="7" t="str">
        <f>IFERROR(__xludf.DUMMYFUNCTION("GoogleTranslate(C109, ""en"", ""cs"")"),"UV index {name} příštích {number} dnů.")</f>
        <v>UV index {name} příštích {number} dnů.</v>
      </c>
      <c r="S109" s="7" t="str">
        <f>IFERROR(__xludf.DUMMYFUNCTION("GoogleTranslate(C109, ""en"", ""da"")"),"Uv-indeks {name} næste {number} dage.")</f>
        <v>Uv-indeks {name} næste {number} dage.</v>
      </c>
      <c r="T109" s="7" t="str">
        <f>IFERROR(__xludf.DUMMYFUNCTION("GoogleTranslate(C109, ""en"", ""nl"")"),"UV-index {naam} komende {aantal} dagen.")</f>
        <v>UV-index {naam} komende {aantal} dagen.</v>
      </c>
      <c r="U109" s="7" t="str">
        <f>IFERROR(__xludf.DUMMYFUNCTION("GoogleTranslate(C109, ""en"", ""et"")"),"UV-indeks {name} järgmise {number} päeva jooksul.")</f>
        <v>UV-indeks {name} järgmise {number} päeva jooksul.</v>
      </c>
      <c r="V109" s="5" t="str">
        <f t="shared" si="3"/>
        <v>Uv index {name} next {number} days.</v>
      </c>
      <c r="W109" s="7" t="str">
        <f>IFERROR(__xludf.DUMMYFUNCTION("GoogleTranslate(C109, ""en"", ""fi"")"),"UV-indeksi {name} seuraavat {number} päivää.")</f>
        <v>UV-indeksi {name} seuraavat {number} päivää.</v>
      </c>
      <c r="X109" s="7" t="str">
        <f>IFERROR(__xludf.DUMMYFUNCTION("GoogleTranslate(C109, ""en"", ""fr"")"),"Index UV {nom} prochains {nombre} jours.")</f>
        <v>Index UV {nom} prochains {nombre} jours.</v>
      </c>
      <c r="Y109" s="7" t="str">
        <f>IFERROR(__xludf.DUMMYFUNCTION("GoogleTranslate(C109, ""en"", ""de"")"),"UV-Index {Name} nächste {Anzahl} Tage.")</f>
        <v>UV-Index {Name} nächste {Anzahl} Tage.</v>
      </c>
      <c r="Z109" s="7" t="str">
        <f>IFERROR(__xludf.DUMMYFUNCTION("GoogleTranslate(C109, ""en"", ""el"")"),"Δείκτης UV {name} επόμενες {number} ημέρες.")</f>
        <v>Δείκτης UV {name} επόμενες {number} ημέρες.</v>
      </c>
      <c r="AA109" s="7" t="str">
        <f>IFERROR(__xludf.DUMMYFUNCTION("GoogleTranslate(C109, ""en"", ""iw"")"),"אינדקס UV {name} ב-{number} הימים הבאים.")</f>
        <v>אינדקס UV {name} ב-{number} הימים הבאים.</v>
      </c>
      <c r="AB109" s="7" t="str">
        <f>IFERROR(__xludf.DUMMYFUNCTION("GoogleTranslate(C109, ""en"", ""hi"")"),"यूवी सूचकांक {नाम} अगले {संख्या} दिन।")</f>
        <v>यूवी सूचकांक {नाम} अगले {संख्या} दिन।</v>
      </c>
      <c r="AC109" s="7" t="str">
        <f>IFERROR(__xludf.DUMMYFUNCTION("GoogleTranslate(C109, ""en"", ""hu"")"),"UV-index {name} következő {number} napon.")</f>
        <v>UV-index {name} következő {number} napon.</v>
      </c>
      <c r="AD109" s="7" t="str">
        <f>IFERROR(__xludf.DUMMYFUNCTION("GoogleTranslate(C109, ""en"", ""is"")"),"UV vísitala {name} næstu {number} daga.")</f>
        <v>UV vísitala {name} næstu {number} daga.</v>
      </c>
      <c r="AE109" s="7" t="str">
        <f>IFERROR(__xludf.DUMMYFUNCTION("GoogleTranslate(C109, ""en"", ""id"")"),"Indeks UV {name} {number} hari ke depan.")</f>
        <v>Indeks UV {name} {number} hari ke depan.</v>
      </c>
      <c r="AF109" s="7" t="str">
        <f>IFERROR(__xludf.DUMMYFUNCTION("GoogleTranslate(C109, ""en"", ""in"")"),"Indeks UV {name} {number} hari ke depan.")</f>
        <v>Indeks UV {name} {number} hari ke depan.</v>
      </c>
      <c r="AG109" s="7" t="str">
        <f>IFERROR(__xludf.DUMMYFUNCTION("GoogleTranslate(C109, ""en"", ""it"")"),"Indice Uv {nome} prossimi {numero} giorni.")</f>
        <v>Indice Uv {nome} prossimi {numero} giorni.</v>
      </c>
      <c r="AH109" s="7" t="str">
        <f>IFERROR(__xludf.DUMMYFUNCTION("GoogleTranslate(C109, ""en"", ""ja"")"),"今後の {number} 日間の紫外線インデックス {name}。")</f>
        <v>今後の {number} 日間の紫外線インデックス {name}。</v>
      </c>
      <c r="AI109" s="7" t="str">
        <f>IFERROR(__xludf.DUMMYFUNCTION("GoogleTranslate(C109, ""en"", ""kn"")"),"ಯುವಿ ಸೂಚ್ಯಂಕ {name} ಮುಂದಿನ {number} ದಿನಗಳು.")</f>
        <v>ಯುವಿ ಸೂಚ್ಯಂಕ {name} ಮುಂದಿನ {number} ದಿನಗಳು.</v>
      </c>
      <c r="AJ109" s="7" t="str">
        <f>IFERROR(__xludf.DUMMYFUNCTION("GoogleTranslate(C109, ""en"", ""km"")"),"Uv index {name} បន្ទាប់ {number} ថ្ងៃ")</f>
        <v>Uv index {name} បន្ទាប់ {number} ថ្ងៃ</v>
      </c>
      <c r="AK109" s="7" t="str">
        <f>IFERROR(__xludf.DUMMYFUNCTION("GoogleTranslate(C109, ""en"", ""ko"")"),"자외선 지수 {name} 다음 {number}일.")</f>
        <v>자외선 지수 {name} 다음 {number}일.</v>
      </c>
      <c r="AL109" s="7" t="str">
        <f>IFERROR(__xludf.DUMMYFUNCTION("GoogleTranslate(C109, ""en"", ""lo"")"),"Uv index {name} ຕໍ່ໄປ {number} ມື້.")</f>
        <v>Uv index {name} ຕໍ່ໄປ {number} ມື້.</v>
      </c>
      <c r="AM109" s="7" t="str">
        <f>IFERROR(__xludf.DUMMYFUNCTION("GoogleTranslate(C109, ""en"", ""lv"")"),"UV indekss {name} nākamās {number} dienas.")</f>
        <v>UV indekss {name} nākamās {number} dienas.</v>
      </c>
      <c r="AN109" s="7" t="str">
        <f>IFERROR(__xludf.DUMMYFUNCTION("GoogleTranslate(C109, ""en"", ""lt"")"),"UV indeksas {name} kitas {number} d.")</f>
        <v>UV indeksas {name} kitas {number} d.</v>
      </c>
      <c r="AO109" s="7" t="str">
        <f>IFERROR(__xludf.DUMMYFUNCTION("GoogleTranslate(C109, ""en"", ""mk"")"),"УВ индекс {name} следните {number} дена.")</f>
        <v>УВ индекс {name} следните {number} дена.</v>
      </c>
      <c r="AP109" s="7" t="str">
        <f>IFERROR(__xludf.DUMMYFUNCTION("GoogleTranslate(C109, ""en"", ""ms"")"),"Indeks UV {nama} {number} hari berikutnya.")</f>
        <v>Indeks UV {nama} {number} hari berikutnya.</v>
      </c>
      <c r="AQ109" s="7" t="str">
        <f>IFERROR(__xludf.DUMMYFUNCTION("GoogleTranslate(C109, ""en"", ""ml"")"),"Uv സൂചിക {name} അടുത്ത {number} ദിവസങ്ങളിൽ.")</f>
        <v>Uv സൂചിക {name} അടുത്ത {number} ദിവസങ്ങളിൽ.</v>
      </c>
      <c r="AR109" s="7" t="str">
        <f>IFERROR(__xludf.DUMMYFUNCTION("GoogleTranslate(C109, ""en"", ""mr"")"),"Uv अनुक्रमणिका {name} पुढील {number} दिवस.")</f>
        <v>Uv अनुक्रमणिका {name} पुढील {number} दिवस.</v>
      </c>
      <c r="AS109" s="7" t="str">
        <f>IFERROR(__xludf.DUMMYFUNCTION("GoogleTranslate(C109, ""en"", ""mn"")"),"UV индекс {name} дараагийн {number} өдөр.")</f>
        <v>UV индекс {name} дараагийн {number} өдөр.</v>
      </c>
      <c r="AT109" s="7" t="str">
        <f>IFERROR(__xludf.DUMMYFUNCTION("GoogleTranslate(C109, ""en"", ""ne"")"),"Uv अनुक्रमणिका {name} अर्को {number} दिन।")</f>
        <v>Uv अनुक्रमणिका {name} अर्को {number} दिन।</v>
      </c>
      <c r="AU109" s="7" t="str">
        <f>IFERROR(__xludf.DUMMYFUNCTION("GoogleTranslate(C109, ""en"", ""nb"")"),"Uv-indeks {name} neste {number} dager.")</f>
        <v>Uv-indeks {name} neste {number} dager.</v>
      </c>
      <c r="AV109" s="7" t="str">
        <f>IFERROR(__xludf.DUMMYFUNCTION("GoogleTranslate(C109, ""en"", ""fa"")"),"شاخص UV {name} {number} روز آینده.")</f>
        <v>شاخص UV {name} {number} روز آینده.</v>
      </c>
      <c r="AW109" s="7" t="str">
        <f>IFERROR(__xludf.DUMMYFUNCTION("GoogleTranslate(C109, ""en"", ""pl"")"),"Indeks UV {name} następne {number} dni.")</f>
        <v>Indeks UV {name} następne {number} dni.</v>
      </c>
      <c r="AX109" s="7" t="str">
        <f>IFERROR(__xludf.DUMMYFUNCTION("GoogleTranslate(C109, ""en"", ""pt"")"),"Índice UV {nome} nos próximos {número} dias.")</f>
        <v>Índice UV {nome} nos próximos {número} dias.</v>
      </c>
      <c r="AY109" s="7" t="str">
        <f>IFERROR(__xludf.DUMMYFUNCTION("GoogleTranslate(C109, ""en"", ""ro"")"),"Index UV {name} următoarele {number} zile.")</f>
        <v>Index UV {name} următoarele {number} zile.</v>
      </c>
      <c r="AZ109" s="7" t="str">
        <f>IFERROR(__xludf.DUMMYFUNCTION("GoogleTranslate(C109, ""en"", ""ru"")"),"УФ-индекс {name} в ближайшие {number} дней.")</f>
        <v>УФ-индекс {name} в ближайшие {number} дней.</v>
      </c>
      <c r="BA109" s="7" t="str">
        <f>IFERROR(__xludf.DUMMYFUNCTION("GoogleTranslate(C109, ""en"", ""sr"")"),"Ув индекс {наме} следећих {нумбер} дана.")</f>
        <v>Ув индекс {наме} следећих {нумбер} дана.</v>
      </c>
      <c r="BB109" s="7" t="str">
        <f>IFERROR(__xludf.DUMMYFUNCTION("GoogleTranslate(C109, ""en"", ""si"")"),"Uv දර්ශකය {name} ඉදිරි දින {number}.")</f>
        <v>Uv දර්ශකය {name} ඉදිරි දින {number}.</v>
      </c>
      <c r="BC109" s="7" t="str">
        <f>IFERROR(__xludf.DUMMYFUNCTION("GoogleTranslate(C109, ""en"", ""sk"")"),"UV index {name} nasledujúcich {number} dní.")</f>
        <v>UV index {name} nasledujúcich {number} dní.</v>
      </c>
      <c r="BD109" s="7" t="str">
        <f>IFERROR(__xludf.DUMMYFUNCTION("GoogleTranslate(C109, ""en"", ""sl"")"),"Uv indeks {name} naslednjih {number} dni.")</f>
        <v>Uv indeks {name} naslednjih {number} dni.</v>
      </c>
      <c r="BE109" s="7" t="str">
        <f>IFERROR(__xludf.DUMMYFUNCTION("GoogleTranslate(C109, ""en"", ""es"")"),"Índice ultravioleta {nombre} los próximos {número} días.")</f>
        <v>Índice ultravioleta {nombre} los próximos {número} días.</v>
      </c>
      <c r="BF109" s="7" t="str">
        <f>IFERROR(__xludf.DUMMYFUNCTION("GoogleTranslate(C109, ""en"", ""sw"")"),"Uv index {name} siku {number} zijazo.")</f>
        <v>Uv index {name} siku {number} zijazo.</v>
      </c>
      <c r="BG109" s="7" t="str">
        <f>IFERROR(__xludf.DUMMYFUNCTION("GoogleTranslate(C109, ""en"", ""sv"")"),"Uv-index {name} nästa {number} dagar.")</f>
        <v>Uv-index {name} nästa {number} dagar.</v>
      </c>
      <c r="BH109" s="7" t="str">
        <f>IFERROR(__xludf.DUMMYFUNCTION("GoogleTranslate(C109, ""en"", ""te"")"),"Uv సూచిక {name} తదుపరి {number} రోజులు.")</f>
        <v>Uv సూచిక {name} తదుపరి {number} రోజులు.</v>
      </c>
      <c r="BI109" s="7" t="str">
        <f>IFERROR(__xludf.DUMMYFUNCTION("GoogleTranslate(C109, ""en"", ""th"")"),"ดัชนีรังสียูวี {name} ถัดไป {number} วัน")</f>
        <v>ดัชนีรังสียูวี {name} ถัดไป {number} วัน</v>
      </c>
      <c r="BJ109" s="7" t="str">
        <f>IFERROR(__xludf.DUMMYFUNCTION("GoogleTranslate(C109, ""en"", ""tr"")"),"UV indeksi {name} önümüzdeki {number} gün.")</f>
        <v>UV indeksi {name} önümüzdeki {number} gün.</v>
      </c>
      <c r="BK109" s="7" t="str">
        <f>IFERROR(__xludf.DUMMYFUNCTION("GoogleTranslate(C109, ""en"", ""uk"")"),"УФ-індекс {name} наступні {number} днів.")</f>
        <v>УФ-індекс {name} наступні {number} днів.</v>
      </c>
      <c r="BL109" s="7" t="str">
        <f>IFERROR(__xludf.DUMMYFUNCTION("GoogleTranslate(C109, ""en"", ""zu"")"),"Inkomba ye-Uv {name} ezinsukwini ezingu-{number} ezilandelayo.")</f>
        <v>Inkomba ye-Uv {name} ezinsukwini ezingu-{number} ezilandelayo.</v>
      </c>
    </row>
    <row r="110">
      <c r="A110" s="5" t="str">
        <f t="shared" si="1"/>
        <v>Weather_forecast_{name}_next_{number}_days</v>
      </c>
      <c r="B110" s="6" t="s">
        <v>167</v>
      </c>
      <c r="C110" s="5" t="str">
        <f t="shared" si="2"/>
        <v>Weather forecast {name} next {number} days</v>
      </c>
      <c r="D110" s="7" t="str">
        <f>IFERROR(__xludf.DUMMYFUNCTION("GoogleTranslate(C110, ""en"", ""es"")"),"Pronóstico del tiempo para {nombre} los próximos {número} días")</f>
        <v>Pronóstico del tiempo para {nombre} los próximos {número} días</v>
      </c>
      <c r="E110" s="7" t="str">
        <f>IFERROR(__xludf.DUMMYFUNCTION("GoogleTranslate(C110, ""en"", ""ar"")"),"توقعات الطقس {name} الأيام الـ {number} القادمة")</f>
        <v>توقعات الطقس {name} الأيام الـ {number} القادمة</v>
      </c>
      <c r="F110" s="7" t="str">
        <f>IFERROR(__xludf.DUMMYFUNCTION("GoogleTranslate(C110, ""en"", ""hy"")"),"Եղանակի կանխատեսում {name} հաջորդ {number} օրերին")</f>
        <v>Եղանակի կանխատեսում {name} հաջորդ {number} օրերին</v>
      </c>
      <c r="G110" s="7" t="str">
        <f>IFERROR(__xludf.DUMMYFUNCTION("GoogleTranslate(C110, ""en"", ""vi"")"),"Dự báo thời tiết {name} ngày {number} ngày tới")</f>
        <v>Dự báo thời tiết {name} ngày {number} ngày tới</v>
      </c>
      <c r="H110" s="7" t="str">
        <f>IFERROR(__xludf.DUMMYFUNCTION("GoogleTranslate(C110, ""en"", ""az"")"),"Növbəti {number} gündə hava proqnozu {name}")</f>
        <v>Növbəti {number} gündə hava proqnozu {name}</v>
      </c>
      <c r="I110" s="7" t="str">
        <f>IFERROR(__xludf.DUMMYFUNCTION("GoogleTranslate(C110, ""en"", ""eu"")"),"Eguraldi-iragarpena {name} hurrengo {number} egunetan")</f>
        <v>Eguraldi-iragarpena {name} hurrengo {number} egunetan</v>
      </c>
      <c r="J110" s="7" t="str">
        <f>IFERROR(__xludf.DUMMYFUNCTION("GoogleTranslate(C110, ""en"", ""be"")"),"Прагноз надвор'я {name} на наступныя {number} дзён")</f>
        <v>Прагноз надвор'я {name} на наступныя {number} дзён</v>
      </c>
      <c r="K110" s="7" t="str">
        <f>IFERROR(__xludf.DUMMYFUNCTION("GoogleTranslate(C110, ""en"", ""bn"")"),"আগামী {number} দিনের আবহাওয়ার পূর্বাভাস {name}")</f>
        <v>আগামী {number} দিনের আবহাওয়ার পূর্বাভাস {name}</v>
      </c>
      <c r="L110" s="7" t="str">
        <f>IFERROR(__xludf.DUMMYFUNCTION("GoogleTranslate(C110, ""en"", ""bg"")"),"Прогноза за времето {name} следващите {number} дни")</f>
        <v>Прогноза за времето {name} следващите {number} дни</v>
      </c>
      <c r="M110" s="7" t="str">
        <f>IFERROR(__xludf.DUMMYFUNCTION("GoogleTranslate(C110, ""en"", ""my"")"),"လာမည့် {number} ရက်များအတွက် မိုးလေဝသ ခန့်မှန်းချက် {name}")</f>
        <v>လာမည့် {number} ရက်များအတွက် မိုးလေဝသ ခန့်မှန်းချက် {name}</v>
      </c>
      <c r="N110" s="7" t="str">
        <f>IFERROR(__xludf.DUMMYFUNCTION("GoogleTranslate(C110, ""en"", ""ca"")"),"Previsió meteorològica {name} els propers {number} dies")</f>
        <v>Previsió meteorològica {name} els propers {number} dies</v>
      </c>
      <c r="O110" s="7" t="str">
        <f>IFERROR(__xludf.DUMMYFUNCTION("GoogleTranslate(C110, ""en"", ""zh-cn"")"),"天气预报 {name} 未来 {number} 天")</f>
        <v>天气预报 {name} 未来 {number} 天</v>
      </c>
      <c r="P110" s="7" t="str">
        <f>IFERROR(__xludf.DUMMYFUNCTION("GoogleTranslate(C110, ""en"", ""zh-TW"")"),"天氣預報 {name} 未來 {number} 天")</f>
        <v>天氣預報 {name} 未來 {number} 天</v>
      </c>
      <c r="Q110" s="7" t="str">
        <f>IFERROR(__xludf.DUMMYFUNCTION("GoogleTranslate(C110, ""en"", ""hr"")"),"Vremenska prognoza {name} sljedećih {number} dana")</f>
        <v>Vremenska prognoza {name} sljedećih {number} dana</v>
      </c>
      <c r="R110" s="7" t="str">
        <f>IFERROR(__xludf.DUMMYFUNCTION("GoogleTranslate(C110, ""en"", ""cs"")"),"Předpověď počasí {name} na příštích {number} dní")</f>
        <v>Předpověď počasí {name} na příštích {number} dní</v>
      </c>
      <c r="S110" s="7" t="str">
        <f>IFERROR(__xludf.DUMMYFUNCTION("GoogleTranslate(C110, ""en"", ""da"")"),"Vejrudsigt {name} næste {number} dage")</f>
        <v>Vejrudsigt {name} næste {number} dage</v>
      </c>
      <c r="T110" s="7" t="str">
        <f>IFERROR(__xludf.DUMMYFUNCTION("GoogleTranslate(C110, ""en"", ""nl"")"),"Weersverwachting {naam} komende {aantal} dagen")</f>
        <v>Weersverwachting {naam} komende {aantal} dagen</v>
      </c>
      <c r="U110" s="7" t="str">
        <f>IFERROR(__xludf.DUMMYFUNCTION("GoogleTranslate(C110, ""en"", ""et"")"),"Ilmateade {name} järgmiseks {number} päevaks")</f>
        <v>Ilmateade {name} järgmiseks {number} päevaks</v>
      </c>
      <c r="V110" s="5" t="str">
        <f t="shared" si="3"/>
        <v>Weather forecast {name} next {number} days</v>
      </c>
      <c r="W110" s="7" t="str">
        <f>IFERROR(__xludf.DUMMYFUNCTION("GoogleTranslate(C110, ""en"", ""fi"")"),"Sääennuste {name} seuraavat {number} päivää")</f>
        <v>Sääennuste {name} seuraavat {number} päivää</v>
      </c>
      <c r="X110" s="7" t="str">
        <f>IFERROR(__xludf.DUMMYFUNCTION("GoogleTranslate(C110, ""en"", ""fr"")"),"Prévisions météo pour {name} prochains {number} jours")</f>
        <v>Prévisions météo pour {name} prochains {number} jours</v>
      </c>
      <c r="Y110" s="7" t="str">
        <f>IFERROR(__xludf.DUMMYFUNCTION("GoogleTranslate(C110, ""en"", ""de"")"),"Wettervorhersage für {Name} für die nächsten {Anzahl} Tage")</f>
        <v>Wettervorhersage für {Name} für die nächsten {Anzahl} Tage</v>
      </c>
      <c r="Z110" s="7" t="str">
        <f>IFERROR(__xludf.DUMMYFUNCTION("GoogleTranslate(C110, ""en"", ""el"")"),"Πρόγνωση καιρού {name} επόμενες {number} ημέρες")</f>
        <v>Πρόγνωση καιρού {name} επόμενες {number} ημέρες</v>
      </c>
      <c r="AA110" s="7" t="str">
        <f>IFERROR(__xludf.DUMMYFUNCTION("GoogleTranslate(C110, ""en"", ""iw"")"),"תחזית מזג האוויר {name} ב-{number} הימים הבאים")</f>
        <v>תחזית מזג האוויר {name} ב-{number} הימים הבאים</v>
      </c>
      <c r="AB110" s="7" t="str">
        <f>IFERROR(__xludf.DUMMYFUNCTION("GoogleTranslate(C110, ""en"", ""hi"")"),"अगले {संख्या} दिनों का मौसम पूर्वानुमान {नाम}")</f>
        <v>अगले {संख्या} दिनों का मौसम पूर्वानुमान {नाम}</v>
      </c>
      <c r="AC110" s="7" t="str">
        <f>IFERROR(__xludf.DUMMYFUNCTION("GoogleTranslate(C110, ""en"", ""hu"")"),"Időjárás előrejelzés {name} következő {number} napra")</f>
        <v>Időjárás előrejelzés {name} következő {number} napra</v>
      </c>
      <c r="AD110" s="7" t="str">
        <f>IFERROR(__xludf.DUMMYFUNCTION("GoogleTranslate(C110, ""en"", ""is"")"),"Veðurspá {name} næstu {number} daga")</f>
        <v>Veðurspá {name} næstu {number} daga</v>
      </c>
      <c r="AE110" s="7" t="str">
        <f>IFERROR(__xludf.DUMMYFUNCTION("GoogleTranslate(C110, ""en"", ""id"")"),"Prakiraan cuaca {name} {number} hari mendatang")</f>
        <v>Prakiraan cuaca {name} {number} hari mendatang</v>
      </c>
      <c r="AF110" s="7" t="str">
        <f>IFERROR(__xludf.DUMMYFUNCTION("GoogleTranslate(C110, ""en"", ""in"")"),"Prakiraan cuaca {name} {number} hari mendatang")</f>
        <v>Prakiraan cuaca {name} {number} hari mendatang</v>
      </c>
      <c r="AG110" s="7" t="str">
        <f>IFERROR(__xludf.DUMMYFUNCTION("GoogleTranslate(C110, ""en"", ""it"")"),"Previsioni del tempo {nome} prossimi {numero} giorni")</f>
        <v>Previsioni del tempo {nome} prossimi {numero} giorni</v>
      </c>
      <c r="AH110" s="7" t="str">
        <f>IFERROR(__xludf.DUMMYFUNCTION("GoogleTranslate(C110, ""en"", ""ja"")"),"{name} の今後 {number} 日間の天気予報")</f>
        <v>{name} の今後 {number} 日間の天気予報</v>
      </c>
      <c r="AI110" s="7" t="str">
        <f>IFERROR(__xludf.DUMMYFUNCTION("GoogleTranslate(C110, ""en"", ""kn"")"),"ಹವಾಮಾನ ಮುನ್ಸೂಚನೆ {name} ಮುಂದಿನ {number} ದಿನಗಳು")</f>
        <v>ಹವಾಮಾನ ಮುನ್ಸೂಚನೆ {name} ಮುಂದಿನ {number} ದಿನಗಳು</v>
      </c>
      <c r="AJ110" s="7" t="str">
        <f>IFERROR(__xludf.DUMMYFUNCTION("GoogleTranslate(C110, ""en"", ""km"")"),"ការព្យាករណ៍អាកាសធាតុ {name} {number} ថ្ងៃបន្ទាប់")</f>
        <v>ការព្យាករណ៍អាកាសធាតុ {name} {number} ថ្ងៃបន្ទាប់</v>
      </c>
      <c r="AK110" s="7" t="str">
        <f>IFERROR(__xludf.DUMMYFUNCTION("GoogleTranslate(C110, ""en"", ""ko"")"),"일기 예보 {name} 다음 {number}일")</f>
        <v>일기 예보 {name} 다음 {number}일</v>
      </c>
      <c r="AL110" s="7" t="str">
        <f>IFERROR(__xludf.DUMMYFUNCTION("GoogleTranslate(C110, ""en"", ""lo"")"),"ພະຍາກອນອາກາດ {name} {number} ມື້ຕໍ່ໄປ")</f>
        <v>ພະຍາກອນອາກາດ {name} {number} ມື້ຕໍ່ໄປ</v>
      </c>
      <c r="AM110" s="7" t="str">
        <f>IFERROR(__xludf.DUMMYFUNCTION("GoogleTranslate(C110, ""en"", ""lv"")"),"Laika prognoze {name} nākamajām {number} dienām")</f>
        <v>Laika prognoze {name} nākamajām {number} dienām</v>
      </c>
      <c r="AN110" s="7" t="str">
        <f>IFERROR(__xludf.DUMMYFUNCTION("GoogleTranslate(C110, ""en"", ""lt"")"),"Orų prognozė {name} kitas {number} dienas")</f>
        <v>Orų prognozė {name} kitas {number} dienas</v>
      </c>
      <c r="AO110" s="7" t="str">
        <f>IFERROR(__xludf.DUMMYFUNCTION("GoogleTranslate(C110, ""en"", ""mk"")"),"Временска прогноза {name} следните {number} дена")</f>
        <v>Временска прогноза {name} следните {number} дена</v>
      </c>
      <c r="AP110" s="7" t="str">
        <f>IFERROR(__xludf.DUMMYFUNCTION("GoogleTranslate(C110, ""en"", ""ms"")"),"Ramalan cuaca {name} {number} hari berikutnya")</f>
        <v>Ramalan cuaca {name} {number} hari berikutnya</v>
      </c>
      <c r="AQ110" s="7" t="str">
        <f>IFERROR(__xludf.DUMMYFUNCTION("GoogleTranslate(C110, ""en"", ""ml"")"),"കാലാവസ്ഥാ പ്രവചനം {name} അടുത്ത {number} ദിവസങ്ങൾ")</f>
        <v>കാലാവസ്ഥാ പ്രവചനം {name} അടുത്ത {number} ദിവസങ്ങൾ</v>
      </c>
      <c r="AR110" s="7" t="str">
        <f>IFERROR(__xludf.DUMMYFUNCTION("GoogleTranslate(C110, ""en"", ""mr"")"),"पुढील {number} दिवस {name} हवामानाचा अंदाज")</f>
        <v>पुढील {number} दिवस {name} हवामानाचा अंदाज</v>
      </c>
      <c r="AS110" s="7" t="str">
        <f>IFERROR(__xludf.DUMMYFUNCTION("GoogleTranslate(C110, ""en"", ""mn"")"),"{name} дараагийн {number} өдрийн цаг агаарын мэдээ")</f>
        <v>{name} дараагийн {number} өдрийн цаг агаарын мэдээ</v>
      </c>
      <c r="AT110" s="7" t="str">
        <f>IFERROR(__xludf.DUMMYFUNCTION("GoogleTranslate(C110, ""en"", ""ne"")"),"आगामी {number} दिनको मौसम पूर्वानुमान {name}")</f>
        <v>आगामी {number} दिनको मौसम पूर्वानुमान {name}</v>
      </c>
      <c r="AU110" s="7" t="str">
        <f>IFERROR(__xludf.DUMMYFUNCTION("GoogleTranslate(C110, ""en"", ""nb"")"),"Værmelding {name} neste {number} dager")</f>
        <v>Værmelding {name} neste {number} dager</v>
      </c>
      <c r="AV110" s="7" t="str">
        <f>IFERROR(__xludf.DUMMYFUNCTION("GoogleTranslate(C110, ""en"", ""fa"")"),"پیش بینی آب و هوا {name} {number} روز آینده")</f>
        <v>پیش بینی آب و هوا {name} {number} روز آینده</v>
      </c>
      <c r="AW110" s="7" t="str">
        <f>IFERROR(__xludf.DUMMYFUNCTION("GoogleTranslate(C110, ""en"", ""pl"")"),"Prognoza pogody {name} na następne {number} dni")</f>
        <v>Prognoza pogody {name} na następne {number} dni</v>
      </c>
      <c r="AX110" s="7" t="str">
        <f>IFERROR(__xludf.DUMMYFUNCTION("GoogleTranslate(C110, ""en"", ""pt"")"),"Previsão do tempo para {name} próximos {número} dias")</f>
        <v>Previsão do tempo para {name} próximos {número} dias</v>
      </c>
      <c r="AY110" s="7" t="str">
        <f>IFERROR(__xludf.DUMMYFUNCTION("GoogleTranslate(C110, ""en"", ""ro"")"),"Prognoza meteo {name} următoarele {number} zile")</f>
        <v>Prognoza meteo {name} următoarele {number} zile</v>
      </c>
      <c r="AZ110" s="7" t="str">
        <f>IFERROR(__xludf.DUMMYFUNCTION("GoogleTranslate(C110, ""en"", ""ru"")"),"Прогноз погоды {name} на следующие {number} дней")</f>
        <v>Прогноз погоды {name} на следующие {number} дней</v>
      </c>
      <c r="BA110" s="7" t="str">
        <f>IFERROR(__xludf.DUMMYFUNCTION("GoogleTranslate(C110, ""en"", ""sr"")"),"Временска прогноза {наме} наредних {нумбер} дана")</f>
        <v>Временска прогноза {наме} наредних {нумбер} дана</v>
      </c>
      <c r="BB110" s="7" t="str">
        <f>IFERROR(__xludf.DUMMYFUNCTION("GoogleTranslate(C110, ""en"", ""si"")"),"කාලගුණ අනාවැකිය {name} ඉදිරි දින {number}")</f>
        <v>කාලගුණ අනාවැකිය {name} ඉදිරි දින {number}</v>
      </c>
      <c r="BC110" s="7" t="str">
        <f>IFERROR(__xludf.DUMMYFUNCTION("GoogleTranslate(C110, ""en"", ""sk"")"),"Predpoveď počasia {name} na najbližších {number} dní")</f>
        <v>Predpoveď počasia {name} na najbližších {number} dní</v>
      </c>
      <c r="BD110" s="7" t="str">
        <f>IFERROR(__xludf.DUMMYFUNCTION("GoogleTranslate(C110, ""en"", ""sl"")"),"Vremenska napoved {name} naslednjih {number} dni")</f>
        <v>Vremenska napoved {name} naslednjih {number} dni</v>
      </c>
      <c r="BE110" s="7" t="str">
        <f>IFERROR(__xludf.DUMMYFUNCTION("GoogleTranslate(C110, ""en"", ""es"")"),"Pronóstico del tiempo para {nombre} los próximos {número} días")</f>
        <v>Pronóstico del tiempo para {nombre} los próximos {número} días</v>
      </c>
      <c r="BF110" s="7" t="str">
        <f>IFERROR(__xludf.DUMMYFUNCTION("GoogleTranslate(C110, ""en"", ""sw"")"),"Utabiri wa hali ya hewa {name} siku {number} zijazo")</f>
        <v>Utabiri wa hali ya hewa {name} siku {number} zijazo</v>
      </c>
      <c r="BG110" s="7" t="str">
        <f>IFERROR(__xludf.DUMMYFUNCTION("GoogleTranslate(C110, ""en"", ""sv"")"),"Väderprognos {name} nästa {number} dagar")</f>
        <v>Väderprognos {name} nästa {number} dagar</v>
      </c>
      <c r="BH110" s="7" t="str">
        <f>IFERROR(__xludf.DUMMYFUNCTION("GoogleTranslate(C110, ""en"", ""te"")"),"వాతావరణ సూచన {name} తదుపరి {number} రోజులు")</f>
        <v>వాతావరణ సూచన {name} తదుపరి {number} రోజులు</v>
      </c>
      <c r="BI110" s="7" t="str">
        <f>IFERROR(__xludf.DUMMYFUNCTION("GoogleTranslate(C110, ""en"", ""th"")"),"พยากรณ์อากาศ {name} ข้างหน้า {number} วัน")</f>
        <v>พยากรณ์อากาศ {name} ข้างหน้า {number} วัน</v>
      </c>
      <c r="BJ110" s="7" t="str">
        <f>IFERROR(__xludf.DUMMYFUNCTION("GoogleTranslate(C110, ""en"", ""tr"")"),"{name} için önümüzdeki {number} gün hava durumu tahmini")</f>
        <v>{name} için önümüzdeki {number} gün hava durumu tahmini</v>
      </c>
      <c r="BK110" s="7" t="str">
        <f>IFERROR(__xludf.DUMMYFUNCTION("GoogleTranslate(C110, ""en"", ""uk"")"),"Прогноз погоди {name} на наступні {number} днів")</f>
        <v>Прогноз погоди {name} на наступні {number} днів</v>
      </c>
      <c r="BL110" s="7" t="str">
        <f>IFERROR(__xludf.DUMMYFUNCTION("GoogleTranslate(C110, ""en"", ""zu"")"),"Isibikezelo sezulu {name} ezinsukwini ezingu-{number} ezilandelayo")</f>
        <v>Isibikezelo sezulu {name} ezinsukwini ezingu-{number} ezilandelayo</v>
      </c>
    </row>
    <row r="111">
      <c r="A111" s="5" t="str">
        <f t="shared" si="1"/>
        <v>Temperature_and_chance_of_rain_in_{name}_the_next_{number}_days</v>
      </c>
      <c r="B111" s="6" t="s">
        <v>168</v>
      </c>
      <c r="C111" s="5" t="str">
        <f t="shared" si="2"/>
        <v>Temperature and chance of rain in {name} the next {number} days</v>
      </c>
      <c r="D111" s="7" t="str">
        <f>IFERROR(__xludf.DUMMYFUNCTION("GoogleTranslate(C111, ""en"", ""es"")"),"Temperatura y probabilidad de lluvia en {name} los próximos {number} días")</f>
        <v>Temperatura y probabilidad de lluvia en {name} los próximos {number} días</v>
      </c>
      <c r="E111" s="7" t="str">
        <f>IFERROR(__xludf.DUMMYFUNCTION("GoogleTranslate(C111, ""en"", ""ar"")"),"درجة الحرارة وفرص هطول الأمطار في {name} خلال {number} الأيام القادمة")</f>
        <v>درجة الحرارة وفرص هطول الأمطار في {name} خلال {number} الأيام القادمة</v>
      </c>
      <c r="F111" s="7" t="str">
        <f>IFERROR(__xludf.DUMMYFUNCTION("GoogleTranslate(C111, ""en"", ""hy"")"),"Ջերմաստիճանը և անձրևի հավանականությունը {name}-ին հաջորդ {number} օրերին")</f>
        <v>Ջերմաստիճանը և անձրևի հավանականությունը {name}-ին հաջորդ {number} օրերին</v>
      </c>
      <c r="G111" s="7" t="str">
        <f>IFERROR(__xludf.DUMMYFUNCTION("GoogleTranslate(C111, ""en"", ""vi"")"),"Nhiệt độ và khả năng có mưa ở {name} trong {number} ngày tới")</f>
        <v>Nhiệt độ và khả năng có mưa ở {name} trong {number} ngày tới</v>
      </c>
      <c r="H111" s="7" t="str">
        <f>IFERROR(__xludf.DUMMYFUNCTION("GoogleTranslate(C111, ""en"", ""az"")"),"Növbəti {number} gündə {name} ərzində temperatur və yağış ehtimalı")</f>
        <v>Növbəti {number} gündə {name} ərzində temperatur və yağış ehtimalı</v>
      </c>
      <c r="I111" s="7" t="str">
        <f>IFERROR(__xludf.DUMMYFUNCTION("GoogleTranslate(C111, ""en"", ""eu"")"),"Tenperatura eta euria egiteko aukera {name}-n hurrengo {number} egunetan")</f>
        <v>Tenperatura eta euria egiteko aukera {name}-n hurrengo {number} egunetan</v>
      </c>
      <c r="J111" s="7" t="str">
        <f>IFERROR(__xludf.DUMMYFUNCTION("GoogleTranslate(C111, ""en"", ""be"")"),"Тэмпература і верагоднасць дажджу ў {name} у наступныя {number} дзён")</f>
        <v>Тэмпература і верагоднасць дажджу ў {name} у наступныя {number} дзён</v>
      </c>
      <c r="K111" s="7" t="str">
        <f>IFERROR(__xludf.DUMMYFUNCTION("GoogleTranslate(C111, ""en"", ""bn"")"),"আগামী {number} দিনে তাপমাত্রা এবং {name} বৃষ্টির সম্ভাবনা")</f>
        <v>আগামী {number} দিনে তাপমাত্রা এবং {name} বৃষ্টির সম্ভাবনা</v>
      </c>
      <c r="L111" s="7" t="str">
        <f>IFERROR(__xludf.DUMMYFUNCTION("GoogleTranslate(C111, ""en"", ""bg"")"),"Температура и вероятност за дъжд през {name} през следващите {number} дни")</f>
        <v>Температура и вероятност за дъжд през {name} през следващите {number} дни</v>
      </c>
      <c r="M111" s="7" t="str">
        <f>IFERROR(__xludf.DUMMYFUNCTION("GoogleTranslate(C111, ""en"", ""my"")"),"လာမည့် {number} ရက်အတွင်း {name} တွင် အပူချိန်နှင့် မိုးရွာနိုင်ခြေ")</f>
        <v>လာမည့် {number} ရက်အတွင်း {name} တွင် အပူချိန်နှင့် မိုးရွာနိုင်ခြေ</v>
      </c>
      <c r="N111" s="7" t="str">
        <f>IFERROR(__xludf.DUMMYFUNCTION("GoogleTranslate(C111, ""en"", ""ca"")"),"Temperatura i probabilitat de pluja a {name} els propers {number} dies")</f>
        <v>Temperatura i probabilitat de pluja a {name} els propers {number} dies</v>
      </c>
      <c r="O111" s="7" t="str">
        <f>IFERROR(__xludf.DUMMYFUNCTION("GoogleTranslate(C111, ""en"", ""zh-cn"")"),"未来 {number} 天 {name} 的气温和降雨概率")</f>
        <v>未来 {number} 天 {name} 的气温和降雨概率</v>
      </c>
      <c r="P111" s="7" t="str">
        <f>IFERROR(__xludf.DUMMYFUNCTION("GoogleTranslate(C111, ""en"", ""zh-TW"")"),"未來 {number} 天 {name} 的氣溫和降雨機率")</f>
        <v>未來 {number} 天 {name} 的氣溫和降雨機率</v>
      </c>
      <c r="Q111" s="7" t="str">
        <f>IFERROR(__xludf.DUMMYFUNCTION("GoogleTranslate(C111, ""en"", ""hr"")"),"Temperatura i mogućnost kiše u {name} sljedećih {number} dana")</f>
        <v>Temperatura i mogućnost kiše u {name} sljedećih {number} dana</v>
      </c>
      <c r="R111" s="7" t="str">
        <f>IFERROR(__xludf.DUMMYFUNCTION("GoogleTranslate(C111, ""en"", ""cs"")"),"Teplota a možnost deště v {name} v příštích {number} dnech")</f>
        <v>Teplota a možnost deště v {name} v příštích {number} dnech</v>
      </c>
      <c r="S111" s="7" t="str">
        <f>IFERROR(__xludf.DUMMYFUNCTION("GoogleTranslate(C111, ""en"", ""da"")"),"Temperatur og chance for regn i {name} de næste {number} dage")</f>
        <v>Temperatur og chance for regn i {name} de næste {number} dage</v>
      </c>
      <c r="T111" s="7" t="str">
        <f>IFERROR(__xludf.DUMMYFUNCTION("GoogleTranslate(C111, ""en"", ""nl"")"),"Temperatuur en kans op regen in {name} de komende {aantal} dagen")</f>
        <v>Temperatuur en kans op regen in {name} de komende {aantal} dagen</v>
      </c>
      <c r="U111" s="7" t="str">
        <f>IFERROR(__xludf.DUMMYFUNCTION("GoogleTranslate(C111, ""en"", ""et"")"),"Temperatuur ja vihma võimalus järgmise {number} päeva jooksul {name}")</f>
        <v>Temperatuur ja vihma võimalus järgmise {number} päeva jooksul {name}</v>
      </c>
      <c r="V111" s="5" t="str">
        <f t="shared" si="3"/>
        <v>Temperature and chance of rain in {name} the next {number} days</v>
      </c>
      <c r="W111" s="7" t="str">
        <f>IFERROR(__xludf.DUMMYFUNCTION("GoogleTranslate(C111, ""en"", ""fi"")"),"Lämpötila ja sateen mahdollisuus {name} seuraavan {number} päivän aikana")</f>
        <v>Lämpötila ja sateen mahdollisuus {name} seuraavan {number} päivän aikana</v>
      </c>
      <c r="X111" s="7" t="str">
        <f>IFERROR(__xludf.DUMMYFUNCTION("GoogleTranslate(C111, ""en"", ""fr"")"),"Température et risque de pluie à {name} dans les {number} prochains jours")</f>
        <v>Température et risque de pluie à {name} dans les {number} prochains jours</v>
      </c>
      <c r="Y111" s="7" t="str">
        <f>IFERROR(__xludf.DUMMYFUNCTION("GoogleTranslate(C111, ""en"", ""de"")"),"Temperatur und Regenwahrscheinlichkeit in {name} in den nächsten {number} Tagen")</f>
        <v>Temperatur und Regenwahrscheinlichkeit in {name} in den nächsten {number} Tagen</v>
      </c>
      <c r="Z111" s="7" t="str">
        <f>IFERROR(__xludf.DUMMYFUNCTION("GoogleTranslate(C111, ""en"", ""el"")"),"Θερμοκρασία και πιθανότητα βροχής το {name} τις επόμενες {number} ημέρες")</f>
        <v>Θερμοκρασία και πιθανότητα βροχής το {name} τις επόμενες {number} ημέρες</v>
      </c>
      <c r="AA111" s="7" t="str">
        <f>IFERROR(__xludf.DUMMYFUNCTION("GoogleTranslate(C111, ""en"", ""iw"")"),"טמפרטורה וסיכוי לגשם ב-{name} ב-{number} הימים הבאים")</f>
        <v>טמפרטורה וסיכוי לגשם ב-{name} ב-{number} הימים הבאים</v>
      </c>
      <c r="AB111" s="7" t="str">
        <f>IFERROR(__xludf.DUMMYFUNCTION("GoogleTranslate(C111, ""en"", ""hi"")"),"अगले {संख्या} दिनों में {नाम} में तापमान और बारिश की संभावना")</f>
        <v>अगले {संख्या} दिनों में {नाम} में तापमान और बारिश की संभावना</v>
      </c>
      <c r="AC111" s="7" t="str">
        <f>IFERROR(__xludf.DUMMYFUNCTION("GoogleTranslate(C111, ""en"", ""hu"")"),"Hőmérséklet és eső valószínűsége a következő {number} napon: {name}")</f>
        <v>Hőmérséklet és eső valószínűsége a következő {number} napon: {name}</v>
      </c>
      <c r="AD111" s="7" t="str">
        <f>IFERROR(__xludf.DUMMYFUNCTION("GoogleTranslate(C111, ""en"", ""is"")"),"Hiti og líkur á rigningu í {name} næstu {number} daga")</f>
        <v>Hiti og líkur á rigningu í {name} næstu {number} daga</v>
      </c>
      <c r="AE111" s="7" t="str">
        <f>IFERROR(__xludf.DUMMYFUNCTION("GoogleTranslate(C111, ""en"", ""id"")"),"Suhu dan kemungkinan hujan di {name} selama {number} hari ke depan")</f>
        <v>Suhu dan kemungkinan hujan di {name} selama {number} hari ke depan</v>
      </c>
      <c r="AF111" s="7" t="str">
        <f>IFERROR(__xludf.DUMMYFUNCTION("GoogleTranslate(C111, ""en"", ""in"")"),"Suhu dan kemungkinan hujan di {name} selama {number} hari ke depan")</f>
        <v>Suhu dan kemungkinan hujan di {name} selama {number} hari ke depan</v>
      </c>
      <c r="AG111" s="7" t="str">
        <f>IFERROR(__xludf.DUMMYFUNCTION("GoogleTranslate(C111, ""en"", ""it"")"),"Temperatura e possibilità di pioggia a {name} nei prossimi {numero} giorni")</f>
        <v>Temperatura e possibilità di pioggia a {name} nei prossimi {numero} giorni</v>
      </c>
      <c r="AH111" s="7" t="str">
        <f>IFERROR(__xludf.DUMMYFUNCTION("GoogleTranslate(C111, ""en"", ""ja"")"),"{name}の今後{number}日間の気温と降水確率")</f>
        <v>{name}の今後{number}日間の気温と降水確率</v>
      </c>
      <c r="AI111" s="7" t="str">
        <f>IFERROR(__xludf.DUMMYFUNCTION("GoogleTranslate(C111, ""en"", ""kn"")"),"ಮುಂದಿನ {number} ದಿನಗಳಲ್ಲಿ ತಾಪಮಾನ ಮತ್ತು {name} ನಲ್ಲಿ ಮಳೆಯ ಸಾಧ್ಯತೆ")</f>
        <v>ಮುಂದಿನ {number} ದಿನಗಳಲ್ಲಿ ತಾಪಮಾನ ಮತ್ತು {name} ನಲ್ಲಿ ಮಳೆಯ ಸಾಧ್ಯತೆ</v>
      </c>
      <c r="AJ111" s="7" t="str">
        <f>IFERROR(__xludf.DUMMYFUNCTION("GoogleTranslate(C111, ""en"", ""km"")"),"សីតុណ្ហភាព និងឱកាសនៃភ្លៀងនៅក្នុង {name} នៅ {number} ថ្ងៃបន្ទាប់")</f>
        <v>សីតុណ្ហភាព និងឱកាសនៃភ្លៀងនៅក្នុង {name} នៅ {number} ថ្ងៃបន្ទាប់</v>
      </c>
      <c r="AK111" s="7" t="str">
        <f>IFERROR(__xludf.DUMMYFUNCTION("GoogleTranslate(C111, ""en"", ""ko"")"),"다음 {number}일 동안 {name}의 기온과 비 올 확률")</f>
        <v>다음 {number}일 동안 {name}의 기온과 비 올 확률</v>
      </c>
      <c r="AL111" s="7" t="str">
        <f>IFERROR(__xludf.DUMMYFUNCTION("GoogleTranslate(C111, ""en"", ""lo"")"),"ອຸນຫະພູມ ແລະໂອກາດທີ່ຈະຝົນຕົກໃນ {name} ໃນ {number} ມື້ຕໍ່ໄປ")</f>
        <v>ອຸນຫະພູມ ແລະໂອກາດທີ່ຈະຝົນຕົກໃນ {name} ໃນ {number} ມື້ຕໍ່ໄປ</v>
      </c>
      <c r="AM111" s="7" t="str">
        <f>IFERROR(__xludf.DUMMYFUNCTION("GoogleTranslate(C111, ""en"", ""lv"")"),"Temperatūra un lietus iespējamība pēc {name} nākamajās {number} dienās")</f>
        <v>Temperatūra un lietus iespējamība pēc {name} nākamajās {number} dienās</v>
      </c>
      <c r="AN111" s="7" t="str">
        <f>IFERROR(__xludf.DUMMYFUNCTION("GoogleTranslate(C111, ""en"", ""lt"")"),"Temperatūra ir lietaus tikimybė per {name} kitas {number} dienas")</f>
        <v>Temperatūra ir lietaus tikimybė per {name} kitas {number} dienas</v>
      </c>
      <c r="AO111" s="7" t="str">
        <f>IFERROR(__xludf.DUMMYFUNCTION("GoogleTranslate(C111, ""en"", ""mk"")"),"Температура и можност за дожд во {name} следните {number} денови")</f>
        <v>Температура и можност за дожд во {name} следните {number} денови</v>
      </c>
      <c r="AP111" s="7" t="str">
        <f>IFERROR(__xludf.DUMMYFUNCTION("GoogleTranslate(C111, ""en"", ""ms"")"),"Suhu dan kemungkinan hujan di {name} pada {number} hari berikutnya")</f>
        <v>Suhu dan kemungkinan hujan di {name} pada {number} hari berikutnya</v>
      </c>
      <c r="AQ111" s="7" t="str">
        <f>IFERROR(__xludf.DUMMYFUNCTION("GoogleTranslate(C111, ""en"", ""ml"")"),"അടുത്ത {number} ദിവസങ്ങളിൽ {name} താപനിലയും മഴയ്ക്കുള്ള സാധ്യതയും")</f>
        <v>അടുത്ത {number} ദിവസങ്ങളിൽ {name} താപനിലയും മഴയ്ക്കുള്ള സാധ്യതയും</v>
      </c>
      <c r="AR111" s="7" t="str">
        <f>IFERROR(__xludf.DUMMYFUNCTION("GoogleTranslate(C111, ""en"", ""mr"")"),"पुढील {number} दिवसांमध्ये तापमान आणि {name} पावसाची शक्यता")</f>
        <v>पुढील {number} दिवसांमध्ये तापमान आणि {name} पावसाची शक्यता</v>
      </c>
      <c r="AS111" s="7" t="str">
        <f>IFERROR(__xludf.DUMMYFUNCTION("GoogleTranslate(C111, ""en"", ""mn"")"),"{name}-д дараагийн {number} өдрийн температур ба бороо орох магадлалтай")</f>
        <v>{name}-д дараагийн {number} өдрийн температур ба бороо орох магадлалтай</v>
      </c>
      <c r="AT111" s="7" t="str">
        <f>IFERROR(__xludf.DUMMYFUNCTION("GoogleTranslate(C111, ""en"", ""ne"")"),"तापक्रम र आगामी {number} दिनमा {name} वर्षाको सम्भावना")</f>
        <v>तापक्रम र आगामी {number} दिनमा {name} वर्षाको सम्भावना</v>
      </c>
      <c r="AU111" s="7" t="str">
        <f>IFERROR(__xludf.DUMMYFUNCTION("GoogleTranslate(C111, ""en"", ""nb"")"),"Temperatur og sjanse for regn i {name} de neste {number} dagene")</f>
        <v>Temperatur og sjanse for regn i {name} de neste {number} dagene</v>
      </c>
      <c r="AV111" s="7" t="str">
        <f>IFERROR(__xludf.DUMMYFUNCTION("GoogleTranslate(C111, ""en"", ""fa"")"),"دما و احتمال بارندگی در {name} در {number} روز آینده")</f>
        <v>دما و احتمال بارندگی در {name} در {number} روز آینده</v>
      </c>
      <c r="AW111" s="7" t="str">
        <f>IFERROR(__xludf.DUMMYFUNCTION("GoogleTranslate(C111, ""en"", ""pl"")"),"Temperatura i prawdopodobieństwo opadów deszczu w {name} w ciągu następnych {number} dni")</f>
        <v>Temperatura i prawdopodobieństwo opadów deszczu w {name} w ciągu następnych {number} dni</v>
      </c>
      <c r="AX111" s="7" t="str">
        <f>IFERROR(__xludf.DUMMYFUNCTION("GoogleTranslate(C111, ""en"", ""pt"")"),"Temperatura e probabilidade de chuva em {name} nos próximos {número} dias")</f>
        <v>Temperatura e probabilidade de chuva em {name} nos próximos {número} dias</v>
      </c>
      <c r="AY111" s="7" t="str">
        <f>IFERROR(__xludf.DUMMYFUNCTION("GoogleTranslate(C111, ""en"", ""ro"")"),"Temperatura și șansa de ploaie în {name} următoarele {number} zile")</f>
        <v>Temperatura și șansa de ploaie în {name} următoarele {number} zile</v>
      </c>
      <c r="AZ111" s="7" t="str">
        <f>IFERROR(__xludf.DUMMYFUNCTION("GoogleTranslate(C111, ""en"", ""ru"")"),"Температура и вероятность дождя в {name} в ближайшие {number} дней")</f>
        <v>Температура и вероятность дождя в {name} в ближайшие {number} дней</v>
      </c>
      <c r="BA111" s="7" t="str">
        <f>IFERROR(__xludf.DUMMYFUNCTION("GoogleTranslate(C111, ""en"", ""sr"")"),"Температура и могућност кише у {наме} следећих {нумбер} дана")</f>
        <v>Температура и могућност кише у {наме} следећих {нумбер} дана</v>
      </c>
      <c r="BB111" s="7" t="str">
        <f>IFERROR(__xludf.DUMMYFUNCTION("GoogleTranslate(C111, ""en"", ""si"")"),"ඉදිරි දින {number} {name} තුළ උෂ්ණත්වය සහ වර්ෂාපතන අවස්ථාව")</f>
        <v>ඉදිරි දින {number} {name} තුළ උෂ්ණත්වය සහ වර්ෂාපතන අවස්ථාව</v>
      </c>
      <c r="BC111" s="7" t="str">
        <f>IFERROR(__xludf.DUMMYFUNCTION("GoogleTranslate(C111, ""en"", ""sk"")"),"Teplota a možnosť dažďa v {name} počas nasledujúcich {number} dní")</f>
        <v>Teplota a možnosť dažďa v {name} počas nasledujúcich {number} dní</v>
      </c>
      <c r="BD111" s="7" t="str">
        <f>IFERROR(__xludf.DUMMYFUNCTION("GoogleTranslate(C111, ""en"", ""sl"")"),"Temperatura in možnost dežja v {name} naslednjih {number} dni")</f>
        <v>Temperatura in možnost dežja v {name} naslednjih {number} dni</v>
      </c>
      <c r="BE111" s="7" t="str">
        <f>IFERROR(__xludf.DUMMYFUNCTION("GoogleTranslate(C111, ""en"", ""es"")"),"Temperatura y probabilidad de lluvia en {name} los próximos {number} días")</f>
        <v>Temperatura y probabilidad de lluvia en {name} los próximos {number} días</v>
      </c>
      <c r="BF111" s="7" t="str">
        <f>IFERROR(__xludf.DUMMYFUNCTION("GoogleTranslate(C111, ""en"", ""sw"")"),"Halijoto na uwezekano wa kunyesha katika {name} siku {number} zijazo")</f>
        <v>Halijoto na uwezekano wa kunyesha katika {name} siku {number} zijazo</v>
      </c>
      <c r="BG111" s="7" t="str">
        <f>IFERROR(__xludf.DUMMYFUNCTION("GoogleTranslate(C111, ""en"", ""sv"")"),"Temperatur och risk för regn i {name} de kommande {number} dagarna")</f>
        <v>Temperatur och risk för regn i {name} de kommande {number} dagarna</v>
      </c>
      <c r="BH111" s="7" t="str">
        <f>IFERROR(__xludf.DUMMYFUNCTION("GoogleTranslate(C111, ""en"", ""te"")"),"{name} తర్వాతి {number} రోజుల్లో ఉష్ణోగ్రత మరియు వర్షం పడే అవకాశం")</f>
        <v>{name} తర్వాతి {number} రోజుల్లో ఉష్ణోగ్రత మరియు వర్షం పడే అవకాశం</v>
      </c>
      <c r="BI111" s="7" t="str">
        <f>IFERROR(__xludf.DUMMYFUNCTION("GoogleTranslate(C111, ""en"", ""th"")"),"อุณหภูมิและโอกาสเกิดฝนตกใน {name} ในอีก {number} วันข้างหน้า")</f>
        <v>อุณหภูมิและโอกาสเกิดฝนตกใน {name} ในอีก {number} วันข้างหน้า</v>
      </c>
      <c r="BJ111" s="7" t="str">
        <f>IFERROR(__xludf.DUMMYFUNCTION("GoogleTranslate(C111, ""en"", ""tr"")"),"Önümüzdeki {number} gün içinde {name} için sıcaklık ve yağmur ihtimali")</f>
        <v>Önümüzdeki {number} gün içinde {name} için sıcaklık ve yağmur ihtimali</v>
      </c>
      <c r="BK111" s="7" t="str">
        <f>IFERROR(__xludf.DUMMYFUNCTION("GoogleTranslate(C111, ""en"", ""uk"")"),"Температура та ймовірність дощу в {name} наступні {number} днів")</f>
        <v>Температура та ймовірність дощу в {name} наступні {number} днів</v>
      </c>
      <c r="BL111" s="7" t="str">
        <f>IFERROR(__xludf.DUMMYFUNCTION("GoogleTranslate(C111, ""en"", ""zu"")"),"Izinga lokushisa nethuba lemvula e-{name} ezinsukwini ezingu-{number} ezilandelayo")</f>
        <v>Izinga lokushisa nethuba lemvula e-{name} ezinsukwini ezingu-{number} ezilandelayo</v>
      </c>
    </row>
    <row r="112">
      <c r="A112" s="5" t="str">
        <f t="shared" si="1"/>
        <v>Mon</v>
      </c>
      <c r="B112" s="6" t="s">
        <v>169</v>
      </c>
      <c r="C112" s="5" t="str">
        <f t="shared" si="2"/>
        <v>Mon</v>
      </c>
      <c r="D112" s="7" t="str">
        <f>IFERROR(__xludf.DUMMYFUNCTION("GoogleTranslate(C112, ""en"", ""es"")"),"Lun")</f>
        <v>Lun</v>
      </c>
      <c r="E112" s="7" t="str">
        <f>IFERROR(__xludf.DUMMYFUNCTION("GoogleTranslate(C112, ""en"", ""ar"")"),"الاثنين")</f>
        <v>الاثنين</v>
      </c>
      <c r="F112" s="7" t="str">
        <f>IFERROR(__xludf.DUMMYFUNCTION("GoogleTranslate(C112, ""en"", ""hy"")"),"Երկ")</f>
        <v>Երկ</v>
      </c>
      <c r="G112" s="7" t="str">
        <f>IFERROR(__xludf.DUMMYFUNCTION("GoogleTranslate(C112, ""en"", ""vi"")"),"Thứ hai")</f>
        <v>Thứ hai</v>
      </c>
      <c r="H112" s="7" t="str">
        <f>IFERROR(__xludf.DUMMYFUNCTION("GoogleTranslate(C112, ""en"", ""az"")"),"Bazar ertəsi")</f>
        <v>Bazar ertəsi</v>
      </c>
      <c r="I112" s="7" t="str">
        <f>IFERROR(__xludf.DUMMYFUNCTION("GoogleTranslate(C112, ""en"", ""eu"")"),"al")</f>
        <v>al</v>
      </c>
      <c r="J112" s="7" t="str">
        <f>IFERROR(__xludf.DUMMYFUNCTION("GoogleTranslate(C112, ""en"", ""be"")"),"Пн")</f>
        <v>Пн</v>
      </c>
      <c r="K112" s="7" t="str">
        <f>IFERROR(__xludf.DUMMYFUNCTION("GoogleTranslate(C112, ""en"", ""bn"")"),"সোম")</f>
        <v>সোম</v>
      </c>
      <c r="L112" s="7" t="str">
        <f>IFERROR(__xludf.DUMMYFUNCTION("GoogleTranslate(C112, ""en"", ""bg"")"),"пн")</f>
        <v>пн</v>
      </c>
      <c r="M112" s="7" t="str">
        <f>IFERROR(__xludf.DUMMYFUNCTION("GoogleTranslate(C112, ""en"", ""my"")"),"မွန်")</f>
        <v>မွန်</v>
      </c>
      <c r="N112" s="7" t="str">
        <f>IFERROR(__xludf.DUMMYFUNCTION("GoogleTranslate(C112, ""en"", ""ca"")"),"Dl")</f>
        <v>Dl</v>
      </c>
      <c r="O112" s="7" t="str">
        <f>IFERROR(__xludf.DUMMYFUNCTION("GoogleTranslate(C112, ""en"", ""zh-cn"")"),"周一")</f>
        <v>周一</v>
      </c>
      <c r="P112" s="7" t="str">
        <f>IFERROR(__xludf.DUMMYFUNCTION("GoogleTranslate(C112, ""en"", ""zh-TW"")"),"週一")</f>
        <v>週一</v>
      </c>
      <c r="Q112" s="7" t="str">
        <f>IFERROR(__xludf.DUMMYFUNCTION("GoogleTranslate(C112, ""en"", ""hr"")"),"pon")</f>
        <v>pon</v>
      </c>
      <c r="R112" s="7" t="str">
        <f>IFERROR(__xludf.DUMMYFUNCTION("GoogleTranslate(C112, ""en"", ""cs"")"),"Po")</f>
        <v>Po</v>
      </c>
      <c r="S112" s="7" t="str">
        <f>IFERROR(__xludf.DUMMYFUNCTION("GoogleTranslate(C112, ""en"", ""da"")"),"man")</f>
        <v>man</v>
      </c>
      <c r="T112" s="7" t="str">
        <f>IFERROR(__xludf.DUMMYFUNCTION("GoogleTranslate(C112, ""en"", ""nl"")"),"ma")</f>
        <v>ma</v>
      </c>
      <c r="U112" s="7" t="str">
        <f>IFERROR(__xludf.DUMMYFUNCTION("GoogleTranslate(C112, ""en"", ""et"")"),"Esmasp")</f>
        <v>Esmasp</v>
      </c>
      <c r="V112" s="5" t="str">
        <f t="shared" si="3"/>
        <v>Mon</v>
      </c>
      <c r="W112" s="7" t="str">
        <f>IFERROR(__xludf.DUMMYFUNCTION("GoogleTranslate(C112, ""en"", ""fi"")"),"ma")</f>
        <v>ma</v>
      </c>
      <c r="X112" s="7" t="str">
        <f>IFERROR(__xludf.DUMMYFUNCTION("GoogleTranslate(C112, ""en"", ""fr"")"),"Lun")</f>
        <v>Lun</v>
      </c>
      <c r="Y112" s="7" t="str">
        <f>IFERROR(__xludf.DUMMYFUNCTION("GoogleTranslate(C112, ""en"", ""de"")"),"Mo")</f>
        <v>Mo</v>
      </c>
      <c r="Z112" s="7" t="str">
        <f>IFERROR(__xludf.DUMMYFUNCTION("GoogleTranslate(C112, ""en"", ""el"")"),"Δευτ")</f>
        <v>Δευτ</v>
      </c>
      <c r="AA112" s="7" t="str">
        <f>IFERROR(__xludf.DUMMYFUNCTION("GoogleTranslate(C112, ""en"", ""iw"")"),"יום שני")</f>
        <v>יום שני</v>
      </c>
      <c r="AB112" s="7" t="str">
        <f>IFERROR(__xludf.DUMMYFUNCTION("GoogleTranslate(C112, ""en"", ""hi"")"),"सोम")</f>
        <v>सोम</v>
      </c>
      <c r="AC112" s="7" t="str">
        <f>IFERROR(__xludf.DUMMYFUNCTION("GoogleTranslate(C112, ""en"", ""hu"")"),"Hétfő")</f>
        <v>Hétfő</v>
      </c>
      <c r="AD112" s="7" t="str">
        <f>IFERROR(__xludf.DUMMYFUNCTION("GoogleTranslate(C112, ""en"", ""is"")"),"mán")</f>
        <v>mán</v>
      </c>
      <c r="AE112" s="7" t="str">
        <f>IFERROR(__xludf.DUMMYFUNCTION("GoogleTranslate(C112, ""en"", ""id"")"),"Senin")</f>
        <v>Senin</v>
      </c>
      <c r="AF112" s="7" t="str">
        <f>IFERROR(__xludf.DUMMYFUNCTION("GoogleTranslate(C112, ""en"", ""in"")"),"Senin")</f>
        <v>Senin</v>
      </c>
      <c r="AG112" s="7" t="str">
        <f>IFERROR(__xludf.DUMMYFUNCTION("GoogleTranslate(C112, ""en"", ""it"")"),"Lun")</f>
        <v>Lun</v>
      </c>
      <c r="AH112" s="7" t="str">
        <f>IFERROR(__xludf.DUMMYFUNCTION("GoogleTranslate(C112, ""en"", ""ja"")"),"月")</f>
        <v>月</v>
      </c>
      <c r="AI112" s="7" t="str">
        <f>IFERROR(__xludf.DUMMYFUNCTION("GoogleTranslate(C112, ""en"", ""kn"")"),"ಸೋಮ")</f>
        <v>ಸೋಮ</v>
      </c>
      <c r="AJ112" s="7" t="str">
        <f>IFERROR(__xludf.DUMMYFUNCTION("GoogleTranslate(C112, ""en"", ""km"")"),"ច័ន្ទ")</f>
        <v>ច័ន្ទ</v>
      </c>
      <c r="AK112" s="7" t="str">
        <f>IFERROR(__xludf.DUMMYFUNCTION("GoogleTranslate(C112, ""en"", ""ko"")"),"월")</f>
        <v>월</v>
      </c>
      <c r="AL112" s="7" t="str">
        <f>IFERROR(__xludf.DUMMYFUNCTION("GoogleTranslate(C112, ""en"", ""lo"")"),"ຈັນ")</f>
        <v>ຈັນ</v>
      </c>
      <c r="AM112" s="7" t="str">
        <f>IFERROR(__xludf.DUMMYFUNCTION("GoogleTranslate(C112, ""en"", ""lv"")"),"Pirmd")</f>
        <v>Pirmd</v>
      </c>
      <c r="AN112" s="7" t="str">
        <f>IFERROR(__xludf.DUMMYFUNCTION("GoogleTranslate(C112, ""en"", ""lt"")"),"Pirm")</f>
        <v>Pirm</v>
      </c>
      <c r="AO112" s="7" t="str">
        <f>IFERROR(__xludf.DUMMYFUNCTION("GoogleTranslate(C112, ""en"", ""mk"")"),"Пон")</f>
        <v>Пон</v>
      </c>
      <c r="AP112" s="7" t="str">
        <f>IFERROR(__xludf.DUMMYFUNCTION("GoogleTranslate(C112, ""en"", ""ms"")"),"isn")</f>
        <v>isn</v>
      </c>
      <c r="AQ112" s="7" t="str">
        <f>IFERROR(__xludf.DUMMYFUNCTION("GoogleTranslate(C112, ""en"", ""ml"")"),"മോൺ")</f>
        <v>മോൺ</v>
      </c>
      <c r="AR112" s="7" t="str">
        <f>IFERROR(__xludf.DUMMYFUNCTION("GoogleTranslate(C112, ""en"", ""mr"")"),"सोम")</f>
        <v>सोम</v>
      </c>
      <c r="AS112" s="7" t="str">
        <f>IFERROR(__xludf.DUMMYFUNCTION("GoogleTranslate(C112, ""en"", ""mn"")"),"Даваа")</f>
        <v>Даваа</v>
      </c>
      <c r="AT112" s="7" t="str">
        <f>IFERROR(__xludf.DUMMYFUNCTION("GoogleTranslate(C112, ""en"", ""ne"")"),"सोम")</f>
        <v>सोम</v>
      </c>
      <c r="AU112" s="7" t="str">
        <f>IFERROR(__xludf.DUMMYFUNCTION("GoogleTranslate(C112, ""en"", ""nb"")"),"man")</f>
        <v>man</v>
      </c>
      <c r="AV112" s="7" t="str">
        <f>IFERROR(__xludf.DUMMYFUNCTION("GoogleTranslate(C112, ""en"", ""fa"")"),"دوشنبه")</f>
        <v>دوشنبه</v>
      </c>
      <c r="AW112" s="7" t="str">
        <f>IFERROR(__xludf.DUMMYFUNCTION("GoogleTranslate(C112, ""en"", ""pl"")"),"pon")</f>
        <v>pon</v>
      </c>
      <c r="AX112" s="7" t="str">
        <f>IFERROR(__xludf.DUMMYFUNCTION("GoogleTranslate(C112, ""en"", ""pt"")"),"seg")</f>
        <v>seg</v>
      </c>
      <c r="AY112" s="7" t="str">
        <f>IFERROR(__xludf.DUMMYFUNCTION("GoogleTranslate(C112, ""en"", ""ro"")"),"Lun")</f>
        <v>Lun</v>
      </c>
      <c r="AZ112" s="7" t="str">
        <f>IFERROR(__xludf.DUMMYFUNCTION("GoogleTranslate(C112, ""en"", ""ru"")"),"Пн.")</f>
        <v>Пн.</v>
      </c>
      <c r="BA112" s="7" t="str">
        <f>IFERROR(__xludf.DUMMYFUNCTION("GoogleTranslate(C112, ""en"", ""sr"")"),"пон")</f>
        <v>пон</v>
      </c>
      <c r="BB112" s="7" t="str">
        <f>IFERROR(__xludf.DUMMYFUNCTION("GoogleTranslate(C112, ""en"", ""si"")"),"සඳු")</f>
        <v>සඳු</v>
      </c>
      <c r="BC112" s="7" t="str">
        <f>IFERROR(__xludf.DUMMYFUNCTION("GoogleTranslate(C112, ""en"", ""sk"")"),"Po")</f>
        <v>Po</v>
      </c>
      <c r="BD112" s="7" t="str">
        <f>IFERROR(__xludf.DUMMYFUNCTION("GoogleTranslate(C112, ""en"", ""sl"")"),"pon")</f>
        <v>pon</v>
      </c>
      <c r="BE112" s="7" t="str">
        <f>IFERROR(__xludf.DUMMYFUNCTION("GoogleTranslate(C112, ""en"", ""es"")"),"Lun")</f>
        <v>Lun</v>
      </c>
      <c r="BF112" s="7" t="str">
        <f>IFERROR(__xludf.DUMMYFUNCTION("GoogleTranslate(C112, ""en"", ""sw"")"),"Mon")</f>
        <v>Mon</v>
      </c>
      <c r="BG112" s="7" t="str">
        <f>IFERROR(__xludf.DUMMYFUNCTION("GoogleTranslate(C112, ""en"", ""sv"")"),"mån")</f>
        <v>mån</v>
      </c>
      <c r="BH112" s="7" t="str">
        <f>IFERROR(__xludf.DUMMYFUNCTION("GoogleTranslate(C112, ""en"", ""te"")"),"సోమ")</f>
        <v>సోమ</v>
      </c>
      <c r="BI112" s="7" t="str">
        <f>IFERROR(__xludf.DUMMYFUNCTION("GoogleTranslate(C112, ""en"", ""th"")"),"จันทร์")</f>
        <v>จันทร์</v>
      </c>
      <c r="BJ112" s="7" t="str">
        <f>IFERROR(__xludf.DUMMYFUNCTION("GoogleTranslate(C112, ""en"", ""tr"")"),"Pazartesi")</f>
        <v>Pazartesi</v>
      </c>
      <c r="BK112" s="7" t="str">
        <f>IFERROR(__xludf.DUMMYFUNCTION("GoogleTranslate(C112, ""en"", ""uk"")"),"Пн")</f>
        <v>Пн</v>
      </c>
      <c r="BL112" s="7" t="str">
        <f>IFERROR(__xludf.DUMMYFUNCTION("GoogleTranslate(C112, ""en"", ""zu"")"),"Msombuluko")</f>
        <v>Msombuluko</v>
      </c>
    </row>
    <row r="113">
      <c r="A113" s="5" t="str">
        <f t="shared" si="1"/>
        <v>Tue</v>
      </c>
      <c r="B113" s="6" t="s">
        <v>170</v>
      </c>
      <c r="C113" s="5" t="str">
        <f t="shared" si="2"/>
        <v>Tue</v>
      </c>
      <c r="D113" s="7" t="str">
        <f>IFERROR(__xludf.DUMMYFUNCTION("GoogleTranslate(C113, ""en"", ""es"")"),"Mar")</f>
        <v>Mar</v>
      </c>
      <c r="E113" s="7" t="str">
        <f>IFERROR(__xludf.DUMMYFUNCTION("GoogleTranslate(C113, ""en"", ""ar"")"),"الثلاثاء")</f>
        <v>الثلاثاء</v>
      </c>
      <c r="F113" s="7" t="str">
        <f>IFERROR(__xludf.DUMMYFUNCTION("GoogleTranslate(C113, ""en"", ""hy"")"),"Երք")</f>
        <v>Երք</v>
      </c>
      <c r="G113" s="7" t="str">
        <f>IFERROR(__xludf.DUMMYFUNCTION("GoogleTranslate(C113, ""en"", ""vi"")"),"thứ ba")</f>
        <v>thứ ba</v>
      </c>
      <c r="H113" s="7" t="str">
        <f>IFERROR(__xludf.DUMMYFUNCTION("GoogleTranslate(C113, ""en"", ""az"")"),"Çərşənbə axşamı")</f>
        <v>Çərşənbə axşamı</v>
      </c>
      <c r="I113" s="7" t="str">
        <f>IFERROR(__xludf.DUMMYFUNCTION("GoogleTranslate(C113, ""en"", ""eu"")"),"mar")</f>
        <v>mar</v>
      </c>
      <c r="J113" s="7" t="str">
        <f>IFERROR(__xludf.DUMMYFUNCTION("GoogleTranslate(C113, ""en"", ""be"")"),"аўт")</f>
        <v>аўт</v>
      </c>
      <c r="K113" s="7" t="str">
        <f>IFERROR(__xludf.DUMMYFUNCTION("GoogleTranslate(C113, ""en"", ""bn"")"),"মঙ্গল")</f>
        <v>মঙ্গল</v>
      </c>
      <c r="L113" s="7" t="str">
        <f>IFERROR(__xludf.DUMMYFUNCTION("GoogleTranslate(C113, ""en"", ""bg"")"),"вт")</f>
        <v>вт</v>
      </c>
      <c r="M113" s="7" t="str">
        <f>IFERROR(__xludf.DUMMYFUNCTION("GoogleTranslate(C113, ""en"", ""my"")"),"အင်္ဂါ")</f>
        <v>အင်္ဂါ</v>
      </c>
      <c r="N113" s="7" t="str">
        <f>IFERROR(__xludf.DUMMYFUNCTION("GoogleTranslate(C113, ""en"", ""ca"")"),"dt")</f>
        <v>dt</v>
      </c>
      <c r="O113" s="7" t="str">
        <f>IFERROR(__xludf.DUMMYFUNCTION("GoogleTranslate(C113, ""en"", ""zh-cn"")"),"星期二")</f>
        <v>星期二</v>
      </c>
      <c r="P113" s="7" t="str">
        <f>IFERROR(__xludf.DUMMYFUNCTION("GoogleTranslate(C113, ""en"", ""zh-TW"")"),"星期二")</f>
        <v>星期二</v>
      </c>
      <c r="Q113" s="7" t="str">
        <f>IFERROR(__xludf.DUMMYFUNCTION("GoogleTranslate(C113, ""en"", ""hr"")"),"uto")</f>
        <v>uto</v>
      </c>
      <c r="R113" s="7" t="str">
        <f>IFERROR(__xludf.DUMMYFUNCTION("GoogleTranslate(C113, ""en"", ""cs"")"),"út")</f>
        <v>út</v>
      </c>
      <c r="S113" s="7" t="str">
        <f>IFERROR(__xludf.DUMMYFUNCTION("GoogleTranslate(C113, ""en"", ""da"")"),"tir")</f>
        <v>tir</v>
      </c>
      <c r="T113" s="7" t="str">
        <f>IFERROR(__xludf.DUMMYFUNCTION("GoogleTranslate(C113, ""en"", ""nl"")"),"di")</f>
        <v>di</v>
      </c>
      <c r="U113" s="7" t="str">
        <f>IFERROR(__xludf.DUMMYFUNCTION("GoogleTranslate(C113, ""en"", ""et"")"),"teisip")</f>
        <v>teisip</v>
      </c>
      <c r="V113" s="5" t="str">
        <f t="shared" si="3"/>
        <v>Tue</v>
      </c>
      <c r="W113" s="7" t="str">
        <f>IFERROR(__xludf.DUMMYFUNCTION("GoogleTranslate(C113, ""en"", ""fi"")"),"ti")</f>
        <v>ti</v>
      </c>
      <c r="X113" s="7" t="str">
        <f>IFERROR(__xludf.DUMMYFUNCTION("GoogleTranslate(C113, ""en"", ""fr"")"),"Mar")</f>
        <v>Mar</v>
      </c>
      <c r="Y113" s="7" t="str">
        <f>IFERROR(__xludf.DUMMYFUNCTION("GoogleTranslate(C113, ""en"", ""de"")"),"Di")</f>
        <v>Di</v>
      </c>
      <c r="Z113" s="7" t="str">
        <f>IFERROR(__xludf.DUMMYFUNCTION("GoogleTranslate(C113, ""en"", ""el"")"),"Τρ")</f>
        <v>Τρ</v>
      </c>
      <c r="AA113" s="7" t="str">
        <f>IFERROR(__xludf.DUMMYFUNCTION("GoogleTranslate(C113, ""en"", ""iw"")"),"יום שלישי")</f>
        <v>יום שלישי</v>
      </c>
      <c r="AB113" s="7" t="str">
        <f>IFERROR(__xludf.DUMMYFUNCTION("GoogleTranslate(C113, ""en"", ""hi"")"),"मंगल")</f>
        <v>मंगल</v>
      </c>
      <c r="AC113" s="7" t="str">
        <f>IFERROR(__xludf.DUMMYFUNCTION("GoogleTranslate(C113, ""en"", ""hu"")"),"kedd")</f>
        <v>kedd</v>
      </c>
      <c r="AD113" s="7" t="str">
        <f>IFERROR(__xludf.DUMMYFUNCTION("GoogleTranslate(C113, ""en"", ""is"")"),"þri")</f>
        <v>þri</v>
      </c>
      <c r="AE113" s="7" t="str">
        <f>IFERROR(__xludf.DUMMYFUNCTION("GoogleTranslate(C113, ""en"", ""id"")"),"Selasa")</f>
        <v>Selasa</v>
      </c>
      <c r="AF113" s="7" t="str">
        <f>IFERROR(__xludf.DUMMYFUNCTION("GoogleTranslate(C113, ""en"", ""in"")"),"Selasa")</f>
        <v>Selasa</v>
      </c>
      <c r="AG113" s="7" t="str">
        <f>IFERROR(__xludf.DUMMYFUNCTION("GoogleTranslate(C113, ""en"", ""it"")"),"Mar")</f>
        <v>Mar</v>
      </c>
      <c r="AH113" s="7" t="str">
        <f>IFERROR(__xludf.DUMMYFUNCTION("GoogleTranslate(C113, ""en"", ""ja"")"),"火")</f>
        <v>火</v>
      </c>
      <c r="AI113" s="7" t="str">
        <f>IFERROR(__xludf.DUMMYFUNCTION("GoogleTranslate(C113, ""en"", ""kn"")"),"ಮಂಗಳವಾರ")</f>
        <v>ಮಂಗಳವಾರ</v>
      </c>
      <c r="AJ113" s="7" t="str">
        <f>IFERROR(__xludf.DUMMYFUNCTION("GoogleTranslate(C113, ""en"", ""km"")"),"ថ្ងៃអង្គារ")</f>
        <v>ថ្ងៃអង្គារ</v>
      </c>
      <c r="AK113" s="7" t="str">
        <f>IFERROR(__xludf.DUMMYFUNCTION("GoogleTranslate(C113, ""en"", ""ko"")"),"화요일")</f>
        <v>화요일</v>
      </c>
      <c r="AL113" s="7" t="str">
        <f>IFERROR(__xludf.DUMMYFUNCTION("GoogleTranslate(C113, ""en"", ""lo"")"),"ອັງຄານ")</f>
        <v>ອັງຄານ</v>
      </c>
      <c r="AM113" s="7" t="str">
        <f>IFERROR(__xludf.DUMMYFUNCTION("GoogleTranslate(C113, ""en"", ""lv"")"),"Otr")</f>
        <v>Otr</v>
      </c>
      <c r="AN113" s="7" t="str">
        <f>IFERROR(__xludf.DUMMYFUNCTION("GoogleTranslate(C113, ""en"", ""lt"")"),"antradienis")</f>
        <v>antradienis</v>
      </c>
      <c r="AO113" s="7" t="str">
        <f>IFERROR(__xludf.DUMMYFUNCTION("GoogleTranslate(C113, ""en"", ""mk"")"),"вт")</f>
        <v>вт</v>
      </c>
      <c r="AP113" s="7" t="str">
        <f>IFERROR(__xludf.DUMMYFUNCTION("GoogleTranslate(C113, ""en"", ""ms"")"),"Tue")</f>
        <v>Tue</v>
      </c>
      <c r="AQ113" s="7" t="str">
        <f>IFERROR(__xludf.DUMMYFUNCTION("GoogleTranslate(C113, ""en"", ""ml"")"),"ചൊവ്വ")</f>
        <v>ചൊവ്വ</v>
      </c>
      <c r="AR113" s="7" t="str">
        <f>IFERROR(__xludf.DUMMYFUNCTION("GoogleTranslate(C113, ""en"", ""mr"")"),"मंगळ")</f>
        <v>मंगळ</v>
      </c>
      <c r="AS113" s="7" t="str">
        <f>IFERROR(__xludf.DUMMYFUNCTION("GoogleTranslate(C113, ""en"", ""mn"")"),"Мягмар")</f>
        <v>Мягмар</v>
      </c>
      <c r="AT113" s="7" t="str">
        <f>IFERROR(__xludf.DUMMYFUNCTION("GoogleTranslate(C113, ""en"", ""ne"")"),"मङ्गल")</f>
        <v>मङ्गल</v>
      </c>
      <c r="AU113" s="7" t="str">
        <f>IFERROR(__xludf.DUMMYFUNCTION("GoogleTranslate(C113, ""en"", ""nb"")"),"tirs")</f>
        <v>tirs</v>
      </c>
      <c r="AV113" s="7" t="str">
        <f>IFERROR(__xludf.DUMMYFUNCTION("GoogleTranslate(C113, ""en"", ""fa"")"),"سه شنبه")</f>
        <v>سه شنبه</v>
      </c>
      <c r="AW113" s="7" t="str">
        <f>IFERROR(__xludf.DUMMYFUNCTION("GoogleTranslate(C113, ""en"", ""pl"")"),"wt")</f>
        <v>wt</v>
      </c>
      <c r="AX113" s="7" t="str">
        <f>IFERROR(__xludf.DUMMYFUNCTION("GoogleTranslate(C113, ""en"", ""pt"")"),"ter")</f>
        <v>ter</v>
      </c>
      <c r="AY113" s="7" t="str">
        <f>IFERROR(__xludf.DUMMYFUNCTION("GoogleTranslate(C113, ""en"", ""ro"")"),"mar")</f>
        <v>mar</v>
      </c>
      <c r="AZ113" s="7" t="str">
        <f>IFERROR(__xludf.DUMMYFUNCTION("GoogleTranslate(C113, ""en"", ""ru"")"),"Вт")</f>
        <v>Вт</v>
      </c>
      <c r="BA113" s="7" t="str">
        <f>IFERROR(__xludf.DUMMYFUNCTION("GoogleTranslate(C113, ""en"", ""sr"")"),"уто")</f>
        <v>уто</v>
      </c>
      <c r="BB113" s="7" t="str">
        <f>IFERROR(__xludf.DUMMYFUNCTION("GoogleTranslate(C113, ""en"", ""si"")"),"අඟහරුවාදා")</f>
        <v>අඟහරුවාදා</v>
      </c>
      <c r="BC113" s="7" t="str">
        <f>IFERROR(__xludf.DUMMYFUNCTION("GoogleTranslate(C113, ""en"", ""sk"")"),"Ut")</f>
        <v>Ut</v>
      </c>
      <c r="BD113" s="7" t="str">
        <f>IFERROR(__xludf.DUMMYFUNCTION("GoogleTranslate(C113, ""en"", ""sl"")"),"tor")</f>
        <v>tor</v>
      </c>
      <c r="BE113" s="7" t="str">
        <f>IFERROR(__xludf.DUMMYFUNCTION("GoogleTranslate(C113, ""en"", ""es"")"),"Mar")</f>
        <v>Mar</v>
      </c>
      <c r="BF113" s="7" t="str">
        <f>IFERROR(__xludf.DUMMYFUNCTION("GoogleTranslate(C113, ""en"", ""sw"")"),"Jumanne")</f>
        <v>Jumanne</v>
      </c>
      <c r="BG113" s="7" t="str">
        <f>IFERROR(__xludf.DUMMYFUNCTION("GoogleTranslate(C113, ""en"", ""sv"")"),"tis")</f>
        <v>tis</v>
      </c>
      <c r="BH113" s="7" t="str">
        <f>IFERROR(__xludf.DUMMYFUNCTION("GoogleTranslate(C113, ""en"", ""te"")"),"మంగళ")</f>
        <v>మంగళ</v>
      </c>
      <c r="BI113" s="7" t="str">
        <f>IFERROR(__xludf.DUMMYFUNCTION("GoogleTranslate(C113, ""en"", ""th"")"),"อ")</f>
        <v>อ</v>
      </c>
      <c r="BJ113" s="7" t="str">
        <f>IFERROR(__xludf.DUMMYFUNCTION("GoogleTranslate(C113, ""en"", ""tr"")"),"Salı")</f>
        <v>Salı</v>
      </c>
      <c r="BK113" s="7" t="str">
        <f>IFERROR(__xludf.DUMMYFUNCTION("GoogleTranslate(C113, ""en"", ""uk"")"),"Вт")</f>
        <v>Вт</v>
      </c>
      <c r="BL113" s="7" t="str">
        <f>IFERROR(__xludf.DUMMYFUNCTION("GoogleTranslate(C113, ""en"", ""zu"")"),"ULwesibili")</f>
        <v>ULwesibili</v>
      </c>
    </row>
    <row r="114">
      <c r="A114" s="5" t="str">
        <f t="shared" si="1"/>
        <v>Wed</v>
      </c>
      <c r="B114" s="6" t="s">
        <v>171</v>
      </c>
      <c r="C114" s="5" t="str">
        <f t="shared" si="2"/>
        <v>Wed</v>
      </c>
      <c r="D114" s="7" t="str">
        <f>IFERROR(__xludf.DUMMYFUNCTION("GoogleTranslate(C114, ""en"", ""es"")"),"Casarse")</f>
        <v>Casarse</v>
      </c>
      <c r="E114" s="7" t="str">
        <f>IFERROR(__xludf.DUMMYFUNCTION("GoogleTranslate(C114, ""en"", ""ar"")"),"تزوج")</f>
        <v>تزوج</v>
      </c>
      <c r="F114" s="7" t="str">
        <f>IFERROR(__xludf.DUMMYFUNCTION("GoogleTranslate(C114, ""en"", ""hy"")"),"Չրք")</f>
        <v>Չրք</v>
      </c>
      <c r="G114" s="7" t="str">
        <f>IFERROR(__xludf.DUMMYFUNCTION("GoogleTranslate(C114, ""en"", ""vi"")"),"Thứ tư")</f>
        <v>Thứ tư</v>
      </c>
      <c r="H114" s="7" t="str">
        <f>IFERROR(__xludf.DUMMYFUNCTION("GoogleTranslate(C114, ""en"", ""az"")"),"Çərşənbə")</f>
        <v>Çərşənbə</v>
      </c>
      <c r="I114" s="7" t="str">
        <f>IFERROR(__xludf.DUMMYFUNCTION("GoogleTranslate(C114, ""en"", ""eu"")"),"az")</f>
        <v>az</v>
      </c>
      <c r="J114" s="7" t="str">
        <f>IFERROR(__xludf.DUMMYFUNCTION("GoogleTranslate(C114, ""en"", ""be"")"),"ср")</f>
        <v>ср</v>
      </c>
      <c r="K114" s="7" t="str">
        <f>IFERROR(__xludf.DUMMYFUNCTION("GoogleTranslate(C114, ""en"", ""bn"")"),"বুধ")</f>
        <v>বুধ</v>
      </c>
      <c r="L114" s="7" t="str">
        <f>IFERROR(__xludf.DUMMYFUNCTION("GoogleTranslate(C114, ""en"", ""bg"")"),"ср")</f>
        <v>ср</v>
      </c>
      <c r="M114" s="7" t="str">
        <f>IFERROR(__xludf.DUMMYFUNCTION("GoogleTranslate(C114, ""en"", ""my"")"),"ဗုဒ္ဓဟူးနေ့")</f>
        <v>ဗုဒ္ဓဟူးနေ့</v>
      </c>
      <c r="N114" s="7" t="str">
        <f>IFERROR(__xludf.DUMMYFUNCTION("GoogleTranslate(C114, ""en"", ""ca"")"),"Dc")</f>
        <v>Dc</v>
      </c>
      <c r="O114" s="7" t="str">
        <f>IFERROR(__xludf.DUMMYFUNCTION("GoogleTranslate(C114, ""en"", ""zh-cn"")"),"周三")</f>
        <v>周三</v>
      </c>
      <c r="P114" s="7" t="str">
        <f>IFERROR(__xludf.DUMMYFUNCTION("GoogleTranslate(C114, ""en"", ""zh-TW"")"),"週三")</f>
        <v>週三</v>
      </c>
      <c r="Q114" s="7" t="str">
        <f>IFERROR(__xludf.DUMMYFUNCTION("GoogleTranslate(C114, ""en"", ""hr"")"),"sri")</f>
        <v>sri</v>
      </c>
      <c r="R114" s="7" t="str">
        <f>IFERROR(__xludf.DUMMYFUNCTION("GoogleTranslate(C114, ""en"", ""cs"")"),"St")</f>
        <v>St</v>
      </c>
      <c r="S114" s="7" t="str">
        <f>IFERROR(__xludf.DUMMYFUNCTION("GoogleTranslate(C114, ""en"", ""da"")"),"ons")</f>
        <v>ons</v>
      </c>
      <c r="T114" s="7" t="str">
        <f>IFERROR(__xludf.DUMMYFUNCTION("GoogleTranslate(C114, ""en"", ""nl"")"),"wo")</f>
        <v>wo</v>
      </c>
      <c r="U114" s="7" t="str">
        <f>IFERROR(__xludf.DUMMYFUNCTION("GoogleTranslate(C114, ""en"", ""et"")"),"kolmap")</f>
        <v>kolmap</v>
      </c>
      <c r="V114" s="5" t="str">
        <f t="shared" si="3"/>
        <v>Wed</v>
      </c>
      <c r="W114" s="7" t="str">
        <f>IFERROR(__xludf.DUMMYFUNCTION("GoogleTranslate(C114, ""en"", ""fi"")"),"ke")</f>
        <v>ke</v>
      </c>
      <c r="X114" s="7" t="str">
        <f>IFERROR(__xludf.DUMMYFUNCTION("GoogleTranslate(C114, ""en"", ""fr"")"),"Épouser")</f>
        <v>Épouser</v>
      </c>
      <c r="Y114" s="7" t="str">
        <f>IFERROR(__xludf.DUMMYFUNCTION("GoogleTranslate(C114, ""en"", ""de"")"),"Heiraten")</f>
        <v>Heiraten</v>
      </c>
      <c r="Z114" s="7" t="str">
        <f>IFERROR(__xludf.DUMMYFUNCTION("GoogleTranslate(C114, ""en"", ""el"")"),"Νυμφεύομαι")</f>
        <v>Νυμφεύομαι</v>
      </c>
      <c r="AA114" s="7" t="str">
        <f>IFERROR(__xludf.DUMMYFUNCTION("GoogleTranslate(C114, ""en"", ""iw"")"),"לְהִתְחַתֵן")</f>
        <v>לְהִתְחַתֵן</v>
      </c>
      <c r="AB114" s="7" t="str">
        <f>IFERROR(__xludf.DUMMYFUNCTION("GoogleTranslate(C114, ""en"", ""hi"")"),"बुध")</f>
        <v>बुध</v>
      </c>
      <c r="AC114" s="7" t="str">
        <f>IFERROR(__xludf.DUMMYFUNCTION("GoogleTranslate(C114, ""en"", ""hu"")"),"Házasodik")</f>
        <v>Házasodik</v>
      </c>
      <c r="AD114" s="7" t="str">
        <f>IFERROR(__xludf.DUMMYFUNCTION("GoogleTranslate(C114, ""en"", ""is"")"),"miðvikud")</f>
        <v>miðvikud</v>
      </c>
      <c r="AE114" s="7" t="str">
        <f>IFERROR(__xludf.DUMMYFUNCTION("GoogleTranslate(C114, ""en"", ""id"")"),"Menikahi")</f>
        <v>Menikahi</v>
      </c>
      <c r="AF114" s="7" t="str">
        <f>IFERROR(__xludf.DUMMYFUNCTION("GoogleTranslate(C114, ""en"", ""in"")"),"Menikahi")</f>
        <v>Menikahi</v>
      </c>
      <c r="AG114" s="7" t="str">
        <f>IFERROR(__xludf.DUMMYFUNCTION("GoogleTranslate(C114, ""en"", ""it"")"),"Mercoledì")</f>
        <v>Mercoledì</v>
      </c>
      <c r="AH114" s="7" t="str">
        <f>IFERROR(__xludf.DUMMYFUNCTION("GoogleTranslate(C114, ""en"", ""ja"")"),"水")</f>
        <v>水</v>
      </c>
      <c r="AI114" s="7" t="str">
        <f>IFERROR(__xludf.DUMMYFUNCTION("GoogleTranslate(C114, ""en"", ""kn"")"),"ಬುಧವಾರ")</f>
        <v>ಬುಧವಾರ</v>
      </c>
      <c r="AJ114" s="7" t="str">
        <f>IFERROR(__xludf.DUMMYFUNCTION("GoogleTranslate(C114, ""en"", ""km"")"),"ថ្ងៃពុធ")</f>
        <v>ថ្ងៃពុធ</v>
      </c>
      <c r="AK114" s="7" t="str">
        <f>IFERROR(__xludf.DUMMYFUNCTION("GoogleTranslate(C114, ""en"", ""ko"")"),"수요일")</f>
        <v>수요일</v>
      </c>
      <c r="AL114" s="7" t="str">
        <f>IFERROR(__xludf.DUMMYFUNCTION("GoogleTranslate(C114, ""en"", ""lo"")"),"ພຸດ")</f>
        <v>ພຸດ</v>
      </c>
      <c r="AM114" s="7" t="str">
        <f>IFERROR(__xludf.DUMMYFUNCTION("GoogleTranslate(C114, ""en"", ""lv"")"),"Tr")</f>
        <v>Tr</v>
      </c>
      <c r="AN114" s="7" t="str">
        <f>IFERROR(__xludf.DUMMYFUNCTION("GoogleTranslate(C114, ""en"", ""lt"")"),"trečia")</f>
        <v>trečia</v>
      </c>
      <c r="AO114" s="7" t="str">
        <f>IFERROR(__xludf.DUMMYFUNCTION("GoogleTranslate(C114, ""en"", ""mk"")"),"среда")</f>
        <v>среда</v>
      </c>
      <c r="AP114" s="7" t="str">
        <f>IFERROR(__xludf.DUMMYFUNCTION("GoogleTranslate(C114, ""en"", ""ms"")"),"Rabu")</f>
        <v>Rabu</v>
      </c>
      <c r="AQ114" s="7" t="str">
        <f>IFERROR(__xludf.DUMMYFUNCTION("GoogleTranslate(C114, ""en"", ""ml"")"),"ബുധൻ")</f>
        <v>ബുധൻ</v>
      </c>
      <c r="AR114" s="7" t="str">
        <f>IFERROR(__xludf.DUMMYFUNCTION("GoogleTranslate(C114, ""en"", ""mr"")"),"बुध")</f>
        <v>बुध</v>
      </c>
      <c r="AS114" s="7" t="str">
        <f>IFERROR(__xludf.DUMMYFUNCTION("GoogleTranslate(C114, ""en"", ""mn"")"),"Лхагва")</f>
        <v>Лхагва</v>
      </c>
      <c r="AT114" s="7" t="str">
        <f>IFERROR(__xludf.DUMMYFUNCTION("GoogleTranslate(C114, ""en"", ""ne"")"),"बुध")</f>
        <v>बुध</v>
      </c>
      <c r="AU114" s="7" t="str">
        <f>IFERROR(__xludf.DUMMYFUNCTION("GoogleTranslate(C114, ""en"", ""nb"")"),"ons")</f>
        <v>ons</v>
      </c>
      <c r="AV114" s="7" t="str">
        <f>IFERROR(__xludf.DUMMYFUNCTION("GoogleTranslate(C114, ""en"", ""fa"")"),"چهارشنبه")</f>
        <v>چهارشنبه</v>
      </c>
      <c r="AW114" s="7" t="str">
        <f>IFERROR(__xludf.DUMMYFUNCTION("GoogleTranslate(C114, ""en"", ""pl"")"),"Poślubić")</f>
        <v>Poślubić</v>
      </c>
      <c r="AX114" s="7" t="str">
        <f>IFERROR(__xludf.DUMMYFUNCTION("GoogleTranslate(C114, ""en"", ""pt"")"),"qua")</f>
        <v>qua</v>
      </c>
      <c r="AY114" s="7" t="str">
        <f>IFERROR(__xludf.DUMMYFUNCTION("GoogleTranslate(C114, ""en"", ""ro"")"),"mier")</f>
        <v>mier</v>
      </c>
      <c r="AZ114" s="7" t="str">
        <f>IFERROR(__xludf.DUMMYFUNCTION("GoogleTranslate(C114, ""en"", ""ru"")"),"Обвенчались")</f>
        <v>Обвенчались</v>
      </c>
      <c r="BA114" s="7" t="str">
        <f>IFERROR(__xludf.DUMMYFUNCTION("GoogleTranslate(C114, ""en"", ""sr"")"),"ср")</f>
        <v>ср</v>
      </c>
      <c r="BB114" s="7" t="str">
        <f>IFERROR(__xludf.DUMMYFUNCTION("GoogleTranslate(C114, ""en"", ""si"")"),"බදාදා")</f>
        <v>බදාදා</v>
      </c>
      <c r="BC114" s="7" t="str">
        <f>IFERROR(__xludf.DUMMYFUNCTION("GoogleTranslate(C114, ""en"", ""sk"")"),"St")</f>
        <v>St</v>
      </c>
      <c r="BD114" s="7" t="str">
        <f>IFERROR(__xludf.DUMMYFUNCTION("GoogleTranslate(C114, ""en"", ""sl"")"),"Sre")</f>
        <v>Sre</v>
      </c>
      <c r="BE114" s="7" t="str">
        <f>IFERROR(__xludf.DUMMYFUNCTION("GoogleTranslate(C114, ""en"", ""es"")"),"Casarse")</f>
        <v>Casarse</v>
      </c>
      <c r="BF114" s="7" t="str">
        <f>IFERROR(__xludf.DUMMYFUNCTION("GoogleTranslate(C114, ""en"", ""sw"")"),"Jumatano")</f>
        <v>Jumatano</v>
      </c>
      <c r="BG114" s="7" t="str">
        <f>IFERROR(__xludf.DUMMYFUNCTION("GoogleTranslate(C114, ""en"", ""sv"")"),"ons")</f>
        <v>ons</v>
      </c>
      <c r="BH114" s="7" t="str">
        <f>IFERROR(__xludf.DUMMYFUNCTION("GoogleTranslate(C114, ""en"", ""te"")"),"బుధ")</f>
        <v>బుధ</v>
      </c>
      <c r="BI114" s="7" t="str">
        <f>IFERROR(__xludf.DUMMYFUNCTION("GoogleTranslate(C114, ""en"", ""th"")"),"พ")</f>
        <v>พ</v>
      </c>
      <c r="BJ114" s="7" t="str">
        <f>IFERROR(__xludf.DUMMYFUNCTION("GoogleTranslate(C114, ""en"", ""tr"")"),"Çar")</f>
        <v>Çar</v>
      </c>
      <c r="BK114" s="7" t="str">
        <f>IFERROR(__xludf.DUMMYFUNCTION("GoogleTranslate(C114, ""en"", ""uk"")"),"ср")</f>
        <v>ср</v>
      </c>
      <c r="BL114" s="7" t="str">
        <f>IFERROR(__xludf.DUMMYFUNCTION("GoogleTranslate(C114, ""en"", ""zu"")"),"NgoLwesithathu")</f>
        <v>NgoLwesithathu</v>
      </c>
    </row>
    <row r="115">
      <c r="A115" s="5" t="str">
        <f t="shared" si="1"/>
        <v>Thu</v>
      </c>
      <c r="B115" s="6" t="s">
        <v>172</v>
      </c>
      <c r="C115" s="5" t="str">
        <f t="shared" si="2"/>
        <v>Thu</v>
      </c>
      <c r="D115" s="7" t="str">
        <f>IFERROR(__xludf.DUMMYFUNCTION("GoogleTranslate(C115, ""en"", ""es"")"),"Jue")</f>
        <v>Jue</v>
      </c>
      <c r="E115" s="7" t="str">
        <f>IFERROR(__xludf.DUMMYFUNCTION("GoogleTranslate(C115, ""en"", ""ar"")"),"الخميس")</f>
        <v>الخميس</v>
      </c>
      <c r="F115" s="7" t="str">
        <f>IFERROR(__xludf.DUMMYFUNCTION("GoogleTranslate(C115, ""en"", ""hy"")"),"Հինգշ")</f>
        <v>Հինգշ</v>
      </c>
      <c r="G115" s="7" t="str">
        <f>IFERROR(__xludf.DUMMYFUNCTION("GoogleTranslate(C115, ""en"", ""vi"")"),"Thứ năm")</f>
        <v>Thứ năm</v>
      </c>
      <c r="H115" s="7" t="str">
        <f>IFERROR(__xludf.DUMMYFUNCTION("GoogleTranslate(C115, ""en"", ""az"")"),"Cr")</f>
        <v>Cr</v>
      </c>
      <c r="I115" s="7" t="str">
        <f>IFERROR(__xludf.DUMMYFUNCTION("GoogleTranslate(C115, ""en"", ""eu"")"),"og")</f>
        <v>og</v>
      </c>
      <c r="J115" s="7" t="str">
        <f>IFERROR(__xludf.DUMMYFUNCTION("GoogleTranslate(C115, ""en"", ""be"")"),"чц")</f>
        <v>чц</v>
      </c>
      <c r="K115" s="7" t="str">
        <f>IFERROR(__xludf.DUMMYFUNCTION("GoogleTranslate(C115, ""en"", ""bn"")"),"বৃহ")</f>
        <v>বৃহ</v>
      </c>
      <c r="L115" s="7" t="str">
        <f>IFERROR(__xludf.DUMMYFUNCTION("GoogleTranslate(C115, ""en"", ""bg"")"),"чт")</f>
        <v>чт</v>
      </c>
      <c r="M115" s="7" t="str">
        <f>IFERROR(__xludf.DUMMYFUNCTION("GoogleTranslate(C115, ""en"", ""my"")"),"သု")</f>
        <v>သု</v>
      </c>
      <c r="N115" s="7" t="str">
        <f>IFERROR(__xludf.DUMMYFUNCTION("GoogleTranslate(C115, ""en"", ""ca"")"),"Dj")</f>
        <v>Dj</v>
      </c>
      <c r="O115" s="7" t="str">
        <f>IFERROR(__xludf.DUMMYFUNCTION("GoogleTranslate(C115, ""en"", ""zh-cn"")"),"星期四")</f>
        <v>星期四</v>
      </c>
      <c r="P115" s="7" t="str">
        <f>IFERROR(__xludf.DUMMYFUNCTION("GoogleTranslate(C115, ""en"", ""zh-TW"")"),"星期四")</f>
        <v>星期四</v>
      </c>
      <c r="Q115" s="7" t="str">
        <f>IFERROR(__xludf.DUMMYFUNCTION("GoogleTranslate(C115, ""en"", ""hr"")"),"čet")</f>
        <v>čet</v>
      </c>
      <c r="R115" s="7" t="str">
        <f>IFERROR(__xludf.DUMMYFUNCTION("GoogleTranslate(C115, ""en"", ""cs"")"),"Čt")</f>
        <v>Čt</v>
      </c>
      <c r="S115" s="7" t="str">
        <f>IFERROR(__xludf.DUMMYFUNCTION("GoogleTranslate(C115, ""en"", ""da"")"),"tor")</f>
        <v>tor</v>
      </c>
      <c r="T115" s="7" t="str">
        <f>IFERROR(__xludf.DUMMYFUNCTION("GoogleTranslate(C115, ""en"", ""nl"")"),"Do")</f>
        <v>Do</v>
      </c>
      <c r="U115" s="7" t="str">
        <f>IFERROR(__xludf.DUMMYFUNCTION("GoogleTranslate(C115, ""en"", ""et"")"),"Neljap")</f>
        <v>Neljap</v>
      </c>
      <c r="V115" s="5" t="str">
        <f t="shared" si="3"/>
        <v>Thu</v>
      </c>
      <c r="W115" s="7" t="str">
        <f>IFERROR(__xludf.DUMMYFUNCTION("GoogleTranslate(C115, ""en"", ""fi"")"),"to")</f>
        <v>to</v>
      </c>
      <c r="X115" s="7" t="str">
        <f>IFERROR(__xludf.DUMMYFUNCTION("GoogleTranslate(C115, ""en"", ""fr"")"),"Jeu")</f>
        <v>Jeu</v>
      </c>
      <c r="Y115" s="7" t="str">
        <f>IFERROR(__xludf.DUMMYFUNCTION("GoogleTranslate(C115, ""en"", ""de"")"),"Do")</f>
        <v>Do</v>
      </c>
      <c r="Z115" s="7" t="str">
        <f>IFERROR(__xludf.DUMMYFUNCTION("GoogleTranslate(C115, ""en"", ""el"")"),"Πέμ")</f>
        <v>Πέμ</v>
      </c>
      <c r="AA115" s="7" t="str">
        <f>IFERROR(__xludf.DUMMYFUNCTION("GoogleTranslate(C115, ""en"", ""iw"")"),"יום ה'")</f>
        <v>יום ה'</v>
      </c>
      <c r="AB115" s="7" t="str">
        <f>IFERROR(__xludf.DUMMYFUNCTION("GoogleTranslate(C115, ""en"", ""hi"")"),"गुरु")</f>
        <v>गुरु</v>
      </c>
      <c r="AC115" s="7" t="str">
        <f>IFERROR(__xludf.DUMMYFUNCTION("GoogleTranslate(C115, ""en"", ""hu"")"),"cs")</f>
        <v>cs</v>
      </c>
      <c r="AD115" s="7" t="str">
        <f>IFERROR(__xludf.DUMMYFUNCTION("GoogleTranslate(C115, ""en"", ""is"")"),"fim")</f>
        <v>fim</v>
      </c>
      <c r="AE115" s="7" t="str">
        <f>IFERROR(__xludf.DUMMYFUNCTION("GoogleTranslate(C115, ""en"", ""id"")"),"Kam")</f>
        <v>Kam</v>
      </c>
      <c r="AF115" s="7" t="str">
        <f>IFERROR(__xludf.DUMMYFUNCTION("GoogleTranslate(C115, ""en"", ""in"")"),"Kam")</f>
        <v>Kam</v>
      </c>
      <c r="AG115" s="7" t="str">
        <f>IFERROR(__xludf.DUMMYFUNCTION("GoogleTranslate(C115, ""en"", ""it"")"),"Gio")</f>
        <v>Gio</v>
      </c>
      <c r="AH115" s="7" t="str">
        <f>IFERROR(__xludf.DUMMYFUNCTION("GoogleTranslate(C115, ""en"", ""ja"")"),"木")</f>
        <v>木</v>
      </c>
      <c r="AI115" s="7" t="str">
        <f>IFERROR(__xludf.DUMMYFUNCTION("GoogleTranslate(C115, ""en"", ""kn"")"),"ಗುರು")</f>
        <v>ಗುರು</v>
      </c>
      <c r="AJ115" s="7" t="str">
        <f>IFERROR(__xludf.DUMMYFUNCTION("GoogleTranslate(C115, ""en"", ""km"")"),"ធូ")</f>
        <v>ធូ</v>
      </c>
      <c r="AK115" s="7" t="str">
        <f>IFERROR(__xludf.DUMMYFUNCTION("GoogleTranslate(C115, ""en"", ""ko"")"),"목")</f>
        <v>목</v>
      </c>
      <c r="AL115" s="7" t="str">
        <f>IFERROR(__xludf.DUMMYFUNCTION("GoogleTranslate(C115, ""en"", ""lo"")"),"ພະຫັດ")</f>
        <v>ພະຫັດ</v>
      </c>
      <c r="AM115" s="7" t="str">
        <f>IFERROR(__xludf.DUMMYFUNCTION("GoogleTranslate(C115, ""en"", ""lv"")"),"Ce")</f>
        <v>Ce</v>
      </c>
      <c r="AN115" s="7" t="str">
        <f>IFERROR(__xludf.DUMMYFUNCTION("GoogleTranslate(C115, ""en"", ""lt"")"),"Ketvirtadienis")</f>
        <v>Ketvirtadienis</v>
      </c>
      <c r="AO115" s="7" t="str">
        <f>IFERROR(__xludf.DUMMYFUNCTION("GoogleTranslate(C115, ""en"", ""mk"")"),"чет")</f>
        <v>чет</v>
      </c>
      <c r="AP115" s="7" t="str">
        <f>IFERROR(__xludf.DUMMYFUNCTION("GoogleTranslate(C115, ""en"", ""ms"")"),"Kha")</f>
        <v>Kha</v>
      </c>
      <c r="AQ115" s="7" t="str">
        <f>IFERROR(__xludf.DUMMYFUNCTION("GoogleTranslate(C115, ""en"", ""ml"")"),"വ്യാഴം")</f>
        <v>വ്യാഴം</v>
      </c>
      <c r="AR115" s="7" t="str">
        <f>IFERROR(__xludf.DUMMYFUNCTION("GoogleTranslate(C115, ""en"", ""mr"")"),"गुरु")</f>
        <v>गुरु</v>
      </c>
      <c r="AS115" s="7" t="str">
        <f>IFERROR(__xludf.DUMMYFUNCTION("GoogleTranslate(C115, ""en"", ""mn"")"),"Пүрэв")</f>
        <v>Пүрэв</v>
      </c>
      <c r="AT115" s="7" t="str">
        <f>IFERROR(__xludf.DUMMYFUNCTION("GoogleTranslate(C115, ""en"", ""ne"")"),"बृहस्पति")</f>
        <v>बृहस्पति</v>
      </c>
      <c r="AU115" s="7" t="str">
        <f>IFERROR(__xludf.DUMMYFUNCTION("GoogleTranslate(C115, ""en"", ""nb"")"),"tor")</f>
        <v>tor</v>
      </c>
      <c r="AV115" s="7" t="str">
        <f>IFERROR(__xludf.DUMMYFUNCTION("GoogleTranslate(C115, ""en"", ""fa"")"),"پنج شنبه")</f>
        <v>پنج شنبه</v>
      </c>
      <c r="AW115" s="7" t="str">
        <f>IFERROR(__xludf.DUMMYFUNCTION("GoogleTranslate(C115, ""en"", ""pl"")"),"czw")</f>
        <v>czw</v>
      </c>
      <c r="AX115" s="7" t="str">
        <f>IFERROR(__xludf.DUMMYFUNCTION("GoogleTranslate(C115, ""en"", ""pt"")"),"qui")</f>
        <v>qui</v>
      </c>
      <c r="AY115" s="7" t="str">
        <f>IFERROR(__xludf.DUMMYFUNCTION("GoogleTranslate(C115, ""en"", ""ro"")"),"joi")</f>
        <v>joi</v>
      </c>
      <c r="AZ115" s="7" t="str">
        <f>IFERROR(__xludf.DUMMYFUNCTION("GoogleTranslate(C115, ""en"", ""ru"")"),"Чт")</f>
        <v>Чт</v>
      </c>
      <c r="BA115" s="7" t="str">
        <f>IFERROR(__xludf.DUMMYFUNCTION("GoogleTranslate(C115, ""en"", ""sr"")"),"Тху")</f>
        <v>Тху</v>
      </c>
      <c r="BB115" s="7" t="str">
        <f>IFERROR(__xludf.DUMMYFUNCTION("GoogleTranslate(C115, ""en"", ""si"")"),"බ්රහස්පතින්දා")</f>
        <v>බ්රහස්පතින්දා</v>
      </c>
      <c r="BC115" s="7" t="str">
        <f>IFERROR(__xludf.DUMMYFUNCTION("GoogleTranslate(C115, ""en"", ""sk"")"),"Št")</f>
        <v>Št</v>
      </c>
      <c r="BD115" s="7" t="str">
        <f>IFERROR(__xludf.DUMMYFUNCTION("GoogleTranslate(C115, ""en"", ""sl"")"),"čet")</f>
        <v>čet</v>
      </c>
      <c r="BE115" s="7" t="str">
        <f>IFERROR(__xludf.DUMMYFUNCTION("GoogleTranslate(C115, ""en"", ""es"")"),"Jue")</f>
        <v>Jue</v>
      </c>
      <c r="BF115" s="7" t="str">
        <f>IFERROR(__xludf.DUMMYFUNCTION("GoogleTranslate(C115, ""en"", ""sw"")"),"Alhamisi")</f>
        <v>Alhamisi</v>
      </c>
      <c r="BG115" s="7" t="str">
        <f>IFERROR(__xludf.DUMMYFUNCTION("GoogleTranslate(C115, ""en"", ""sv"")"),"tors")</f>
        <v>tors</v>
      </c>
      <c r="BH115" s="7" t="str">
        <f>IFERROR(__xludf.DUMMYFUNCTION("GoogleTranslate(C115, ""en"", ""te"")"),"గురు")</f>
        <v>గురు</v>
      </c>
      <c r="BI115" s="7" t="str">
        <f>IFERROR(__xludf.DUMMYFUNCTION("GoogleTranslate(C115, ""en"", ""th"")"),"พฤ")</f>
        <v>พฤ</v>
      </c>
      <c r="BJ115" s="7" t="str">
        <f>IFERROR(__xludf.DUMMYFUNCTION("GoogleTranslate(C115, ""en"", ""tr"")"),"Per")</f>
        <v>Per</v>
      </c>
      <c r="BK115" s="7" t="str">
        <f>IFERROR(__xludf.DUMMYFUNCTION("GoogleTranslate(C115, ""en"", ""uk"")"),"чт")</f>
        <v>чт</v>
      </c>
      <c r="BL115" s="7" t="str">
        <f>IFERROR(__xludf.DUMMYFUNCTION("GoogleTranslate(C115, ""en"", ""zu"")"),"ULwesine")</f>
        <v>ULwesine</v>
      </c>
    </row>
    <row r="116">
      <c r="A116" s="5" t="str">
        <f t="shared" si="1"/>
        <v>Fri</v>
      </c>
      <c r="B116" s="6" t="s">
        <v>173</v>
      </c>
      <c r="C116" s="5" t="str">
        <f t="shared" si="2"/>
        <v>Fri</v>
      </c>
      <c r="D116" s="7" t="str">
        <f>IFERROR(__xludf.DUMMYFUNCTION("GoogleTranslate(C116, ""en"", ""es"")"),"Vie")</f>
        <v>Vie</v>
      </c>
      <c r="E116" s="7" t="str">
        <f>IFERROR(__xludf.DUMMYFUNCTION("GoogleTranslate(C116, ""en"", ""ar"")"),"الجمعة")</f>
        <v>الجمعة</v>
      </c>
      <c r="F116" s="7" t="str">
        <f>IFERROR(__xludf.DUMMYFUNCTION("GoogleTranslate(C116, ""en"", ""hy"")"),"Ուրբ")</f>
        <v>Ուրբ</v>
      </c>
      <c r="G116" s="7" t="str">
        <f>IFERROR(__xludf.DUMMYFUNCTION("GoogleTranslate(C116, ""en"", ""vi"")"),"Thứ sáu")</f>
        <v>Thứ sáu</v>
      </c>
      <c r="H116" s="7" t="str">
        <f>IFERROR(__xludf.DUMMYFUNCTION("GoogleTranslate(C116, ""en"", ""az"")"),"Cümə")</f>
        <v>Cümə</v>
      </c>
      <c r="I116" s="7" t="str">
        <f>IFERROR(__xludf.DUMMYFUNCTION("GoogleTranslate(C116, ""en"", ""eu"")"),"or")</f>
        <v>or</v>
      </c>
      <c r="J116" s="7" t="str">
        <f>IFERROR(__xludf.DUMMYFUNCTION("GoogleTranslate(C116, ""en"", ""be"")"),"пт")</f>
        <v>пт</v>
      </c>
      <c r="K116" s="7" t="str">
        <f>IFERROR(__xludf.DUMMYFUNCTION("GoogleTranslate(C116, ""en"", ""bn"")"),"শুক্র")</f>
        <v>শুক্র</v>
      </c>
      <c r="L116" s="7" t="str">
        <f>IFERROR(__xludf.DUMMYFUNCTION("GoogleTranslate(C116, ""en"", ""bg"")"),"пт")</f>
        <v>пт</v>
      </c>
      <c r="M116" s="7" t="str">
        <f>IFERROR(__xludf.DUMMYFUNCTION("GoogleTranslate(C116, ""en"", ""my"")"),"Fri")</f>
        <v>Fri</v>
      </c>
      <c r="N116" s="7" t="str">
        <f>IFERROR(__xludf.DUMMYFUNCTION("GoogleTranslate(C116, ""en"", ""ca"")"),"dv")</f>
        <v>dv</v>
      </c>
      <c r="O116" s="7" t="str">
        <f>IFERROR(__xludf.DUMMYFUNCTION("GoogleTranslate(C116, ""en"", ""zh-cn"")"),"周五")</f>
        <v>周五</v>
      </c>
      <c r="P116" s="7" t="str">
        <f>IFERROR(__xludf.DUMMYFUNCTION("GoogleTranslate(C116, ""en"", ""zh-TW"")"),"週五")</f>
        <v>週五</v>
      </c>
      <c r="Q116" s="7" t="str">
        <f>IFERROR(__xludf.DUMMYFUNCTION("GoogleTranslate(C116, ""en"", ""hr"")"),"pet")</f>
        <v>pet</v>
      </c>
      <c r="R116" s="7" t="str">
        <f>IFERROR(__xludf.DUMMYFUNCTION("GoogleTranslate(C116, ""en"", ""cs"")"),"pá")</f>
        <v>pá</v>
      </c>
      <c r="S116" s="7" t="str">
        <f>IFERROR(__xludf.DUMMYFUNCTION("GoogleTranslate(C116, ""en"", ""da"")"),"fre")</f>
        <v>fre</v>
      </c>
      <c r="T116" s="7" t="str">
        <f>IFERROR(__xludf.DUMMYFUNCTION("GoogleTranslate(C116, ""en"", ""nl"")"),"Vr")</f>
        <v>Vr</v>
      </c>
      <c r="U116" s="7" t="str">
        <f>IFERROR(__xludf.DUMMYFUNCTION("GoogleTranslate(C116, ""en"", ""et"")"),"P")</f>
        <v>P</v>
      </c>
      <c r="V116" s="5" t="str">
        <f t="shared" si="3"/>
        <v>Fri</v>
      </c>
      <c r="W116" s="7" t="str">
        <f>IFERROR(__xludf.DUMMYFUNCTION("GoogleTranslate(C116, ""en"", ""fi"")"),"pe")</f>
        <v>pe</v>
      </c>
      <c r="X116" s="7" t="str">
        <f>IFERROR(__xludf.DUMMYFUNCTION("GoogleTranslate(C116, ""en"", ""fr"")"),"Ven")</f>
        <v>Ven</v>
      </c>
      <c r="Y116" s="7" t="str">
        <f>IFERROR(__xludf.DUMMYFUNCTION("GoogleTranslate(C116, ""en"", ""de"")"),"Fr")</f>
        <v>Fr</v>
      </c>
      <c r="Z116" s="7" t="str">
        <f>IFERROR(__xludf.DUMMYFUNCTION("GoogleTranslate(C116, ""en"", ""el"")"),"Παρ")</f>
        <v>Παρ</v>
      </c>
      <c r="AA116" s="7" t="str">
        <f>IFERROR(__xludf.DUMMYFUNCTION("GoogleTranslate(C116, ""en"", ""iw"")"),"שישי")</f>
        <v>שישי</v>
      </c>
      <c r="AB116" s="7" t="str">
        <f>IFERROR(__xludf.DUMMYFUNCTION("GoogleTranslate(C116, ""en"", ""hi"")"),"शुक्र")</f>
        <v>शुक्र</v>
      </c>
      <c r="AC116" s="7" t="str">
        <f>IFERROR(__xludf.DUMMYFUNCTION("GoogleTranslate(C116, ""en"", ""hu"")"),"Péntek")</f>
        <v>Péntek</v>
      </c>
      <c r="AD116" s="7" t="str">
        <f>IFERROR(__xludf.DUMMYFUNCTION("GoogleTranslate(C116, ""en"", ""is"")"),"fös")</f>
        <v>fös</v>
      </c>
      <c r="AE116" s="7" t="str">
        <f>IFERROR(__xludf.DUMMYFUNCTION("GoogleTranslate(C116, ""en"", ""id"")"),"Jumat")</f>
        <v>Jumat</v>
      </c>
      <c r="AF116" s="7" t="str">
        <f>IFERROR(__xludf.DUMMYFUNCTION("GoogleTranslate(C116, ""en"", ""in"")"),"Jumat")</f>
        <v>Jumat</v>
      </c>
      <c r="AG116" s="7" t="str">
        <f>IFERROR(__xludf.DUMMYFUNCTION("GoogleTranslate(C116, ""en"", ""it"")"),"Ven")</f>
        <v>Ven</v>
      </c>
      <c r="AH116" s="7" t="str">
        <f>IFERROR(__xludf.DUMMYFUNCTION("GoogleTranslate(C116, ""en"", ""ja"")"),"金")</f>
        <v>金</v>
      </c>
      <c r="AI116" s="7" t="str">
        <f>IFERROR(__xludf.DUMMYFUNCTION("GoogleTranslate(C116, ""en"", ""kn"")"),"ಶುಕ್ರ")</f>
        <v>ಶುಕ್ರ</v>
      </c>
      <c r="AJ116" s="7" t="str">
        <f>IFERROR(__xludf.DUMMYFUNCTION("GoogleTranslate(C116, ""en"", ""km"")"),"សុក្រ")</f>
        <v>សុក្រ</v>
      </c>
      <c r="AK116" s="7" t="str">
        <f>IFERROR(__xludf.DUMMYFUNCTION("GoogleTranslate(C116, ""en"", ""ko"")"),"금")</f>
        <v>금</v>
      </c>
      <c r="AL116" s="7" t="str">
        <f>IFERROR(__xludf.DUMMYFUNCTION("GoogleTranslate(C116, ""en"", ""lo"")"),"ວັນສຸກ")</f>
        <v>ວັນສຸກ</v>
      </c>
      <c r="AM116" s="7" t="str">
        <f>IFERROR(__xludf.DUMMYFUNCTION("GoogleTranslate(C116, ""en"", ""lv"")"),"Piekt")</f>
        <v>Piekt</v>
      </c>
      <c r="AN116" s="7" t="str">
        <f>IFERROR(__xludf.DUMMYFUNCTION("GoogleTranslate(C116, ""en"", ""lt"")"),"Penk")</f>
        <v>Penk</v>
      </c>
      <c r="AO116" s="7" t="str">
        <f>IFERROR(__xludf.DUMMYFUNCTION("GoogleTranslate(C116, ""en"", ""mk"")"),"Петок")</f>
        <v>Петок</v>
      </c>
      <c r="AP116" s="7" t="str">
        <f>IFERROR(__xludf.DUMMYFUNCTION("GoogleTranslate(C116, ""en"", ""ms"")"),"Jum")</f>
        <v>Jum</v>
      </c>
      <c r="AQ116" s="7" t="str">
        <f>IFERROR(__xludf.DUMMYFUNCTION("GoogleTranslate(C116, ""en"", ""ml"")"),"വെള്ളി")</f>
        <v>വെള്ളി</v>
      </c>
      <c r="AR116" s="7" t="str">
        <f>IFERROR(__xludf.DUMMYFUNCTION("GoogleTranslate(C116, ""en"", ""mr"")"),"शुक्र")</f>
        <v>शुक्र</v>
      </c>
      <c r="AS116" s="7" t="str">
        <f>IFERROR(__xludf.DUMMYFUNCTION("GoogleTranslate(C116, ""en"", ""mn"")"),"Баасан")</f>
        <v>Баасан</v>
      </c>
      <c r="AT116" s="7" t="str">
        <f>IFERROR(__xludf.DUMMYFUNCTION("GoogleTranslate(C116, ""en"", ""ne"")"),"शुक्र")</f>
        <v>शुक्र</v>
      </c>
      <c r="AU116" s="7" t="str">
        <f>IFERROR(__xludf.DUMMYFUNCTION("GoogleTranslate(C116, ""en"", ""nb"")"),"fre")</f>
        <v>fre</v>
      </c>
      <c r="AV116" s="7" t="str">
        <f>IFERROR(__xludf.DUMMYFUNCTION("GoogleTranslate(C116, ""en"", ""fa"")"),"جمعه")</f>
        <v>جمعه</v>
      </c>
      <c r="AW116" s="7" t="str">
        <f>IFERROR(__xludf.DUMMYFUNCTION("GoogleTranslate(C116, ""en"", ""pl"")"),"piątek")</f>
        <v>piątek</v>
      </c>
      <c r="AX116" s="7" t="str">
        <f>IFERROR(__xludf.DUMMYFUNCTION("GoogleTranslate(C116, ""en"", ""pt"")"),"sex")</f>
        <v>sex</v>
      </c>
      <c r="AY116" s="7" t="str">
        <f>IFERROR(__xludf.DUMMYFUNCTION("GoogleTranslate(C116, ""en"", ""ro"")"),"vineri")</f>
        <v>vineri</v>
      </c>
      <c r="AZ116" s="7" t="str">
        <f>IFERROR(__xludf.DUMMYFUNCTION("GoogleTranslate(C116, ""en"", ""ru"")"),"Пт")</f>
        <v>Пт</v>
      </c>
      <c r="BA116" s="7" t="str">
        <f>IFERROR(__xludf.DUMMYFUNCTION("GoogleTranslate(C116, ""en"", ""sr"")"),"пет")</f>
        <v>пет</v>
      </c>
      <c r="BB116" s="7" t="str">
        <f>IFERROR(__xludf.DUMMYFUNCTION("GoogleTranslate(C116, ""en"", ""si"")"),"සිකු")</f>
        <v>සිකු</v>
      </c>
      <c r="BC116" s="7" t="str">
        <f>IFERROR(__xludf.DUMMYFUNCTION("GoogleTranslate(C116, ""en"", ""sk"")"),"Pia")</f>
        <v>Pia</v>
      </c>
      <c r="BD116" s="7" t="str">
        <f>IFERROR(__xludf.DUMMYFUNCTION("GoogleTranslate(C116, ""en"", ""sl"")"),"pet")</f>
        <v>pet</v>
      </c>
      <c r="BE116" s="7" t="str">
        <f>IFERROR(__xludf.DUMMYFUNCTION("GoogleTranslate(C116, ""en"", ""es"")"),"Vie")</f>
        <v>Vie</v>
      </c>
      <c r="BF116" s="7" t="str">
        <f>IFERROR(__xludf.DUMMYFUNCTION("GoogleTranslate(C116, ""en"", ""sw"")"),"Ijumaa")</f>
        <v>Ijumaa</v>
      </c>
      <c r="BG116" s="7" t="str">
        <f>IFERROR(__xludf.DUMMYFUNCTION("GoogleTranslate(C116, ""en"", ""sv"")"),"fre")</f>
        <v>fre</v>
      </c>
      <c r="BH116" s="7" t="str">
        <f>IFERROR(__xludf.DUMMYFUNCTION("GoogleTranslate(C116, ""en"", ""te"")"),"శుక్ర")</f>
        <v>శుక్ర</v>
      </c>
      <c r="BI116" s="7" t="str">
        <f>IFERROR(__xludf.DUMMYFUNCTION("GoogleTranslate(C116, ""en"", ""th"")"),"ศุกร์")</f>
        <v>ศุกร์</v>
      </c>
      <c r="BJ116" s="7" t="str">
        <f>IFERROR(__xludf.DUMMYFUNCTION("GoogleTranslate(C116, ""en"", ""tr"")"),"Cuma")</f>
        <v>Cuma</v>
      </c>
      <c r="BK116" s="7" t="str">
        <f>IFERROR(__xludf.DUMMYFUNCTION("GoogleTranslate(C116, ""en"", ""uk"")"),"пт")</f>
        <v>пт</v>
      </c>
      <c r="BL116" s="7" t="str">
        <f>IFERROR(__xludf.DUMMYFUNCTION("GoogleTranslate(C116, ""en"", ""zu"")"),"NgoLwesihlanu")</f>
        <v>NgoLwesihlanu</v>
      </c>
    </row>
    <row r="117">
      <c r="A117" s="5" t="str">
        <f t="shared" si="1"/>
        <v>Sat</v>
      </c>
      <c r="B117" s="6" t="s">
        <v>174</v>
      </c>
      <c r="C117" s="5" t="str">
        <f t="shared" si="2"/>
        <v>Sat</v>
      </c>
      <c r="D117" s="7" t="str">
        <f>IFERROR(__xludf.DUMMYFUNCTION("GoogleTranslate(C117, ""en"", ""es"")"),"Se sentó")</f>
        <v>Se sentó</v>
      </c>
      <c r="E117" s="7" t="str">
        <f>IFERROR(__xludf.DUMMYFUNCTION("GoogleTranslate(C117, ""en"", ""ar"")"),"قعد")</f>
        <v>قعد</v>
      </c>
      <c r="F117" s="7" t="str">
        <f>IFERROR(__xludf.DUMMYFUNCTION("GoogleTranslate(C117, ""en"", ""hy"")"),"Շաբ")</f>
        <v>Շաբ</v>
      </c>
      <c r="G117" s="7" t="str">
        <f>IFERROR(__xludf.DUMMYFUNCTION("GoogleTranslate(C117, ""en"", ""vi"")"),"Đã ngồi")</f>
        <v>Đã ngồi</v>
      </c>
      <c r="H117" s="7" t="str">
        <f>IFERROR(__xludf.DUMMYFUNCTION("GoogleTranslate(C117, ""en"", ""az"")"),"şənbə")</f>
        <v>şənbə</v>
      </c>
      <c r="I117" s="7" t="str">
        <f>IFERROR(__xludf.DUMMYFUNCTION("GoogleTranslate(C117, ""en"", ""eu"")"),"Lar")</f>
        <v>Lar</v>
      </c>
      <c r="J117" s="7" t="str">
        <f>IFERROR(__xludf.DUMMYFUNCTION("GoogleTranslate(C117, ""en"", ""be"")"),"сб")</f>
        <v>сб</v>
      </c>
      <c r="K117" s="7" t="str">
        <f>IFERROR(__xludf.DUMMYFUNCTION("GoogleTranslate(C117, ""en"", ""bn"")"),"শনি")</f>
        <v>শনি</v>
      </c>
      <c r="L117" s="7" t="str">
        <f>IFERROR(__xludf.DUMMYFUNCTION("GoogleTranslate(C117, ""en"", ""bg"")"),"сб")</f>
        <v>сб</v>
      </c>
      <c r="M117" s="7" t="str">
        <f>IFERROR(__xludf.DUMMYFUNCTION("GoogleTranslate(C117, ""en"", ""my"")"),"ထိုင်")</f>
        <v>ထိုင်</v>
      </c>
      <c r="N117" s="7" t="str">
        <f>IFERROR(__xludf.DUMMYFUNCTION("GoogleTranslate(C117, ""en"", ""ca"")"),"ds")</f>
        <v>ds</v>
      </c>
      <c r="O117" s="7" t="str">
        <f>IFERROR(__xludf.DUMMYFUNCTION("GoogleTranslate(C117, ""en"", ""zh-cn"")"),"星期六")</f>
        <v>星期六</v>
      </c>
      <c r="P117" s="7" t="str">
        <f>IFERROR(__xludf.DUMMYFUNCTION("GoogleTranslate(C117, ""en"", ""zh-TW"")"),"星期六")</f>
        <v>星期六</v>
      </c>
      <c r="Q117" s="7" t="str">
        <f>IFERROR(__xludf.DUMMYFUNCTION("GoogleTranslate(C117, ""en"", ""hr"")"),"sub")</f>
        <v>sub</v>
      </c>
      <c r="R117" s="7" t="str">
        <f>IFERROR(__xludf.DUMMYFUNCTION("GoogleTranslate(C117, ""en"", ""cs"")"),"sobota")</f>
        <v>sobota</v>
      </c>
      <c r="S117" s="7" t="str">
        <f>IFERROR(__xludf.DUMMYFUNCTION("GoogleTranslate(C117, ""en"", ""da"")"),"Lør")</f>
        <v>Lør</v>
      </c>
      <c r="T117" s="7" t="str">
        <f>IFERROR(__xludf.DUMMYFUNCTION("GoogleTranslate(C117, ""en"", ""nl"")"),"Zat")</f>
        <v>Zat</v>
      </c>
      <c r="U117" s="7" t="str">
        <f>IFERROR(__xludf.DUMMYFUNCTION("GoogleTranslate(C117, ""en"", ""et"")"),"laup")</f>
        <v>laup</v>
      </c>
      <c r="V117" s="5" t="str">
        <f t="shared" si="3"/>
        <v>Sat</v>
      </c>
      <c r="W117" s="7" t="str">
        <f>IFERROR(__xludf.DUMMYFUNCTION("GoogleTranslate(C117, ""en"", ""fi"")"),"la")</f>
        <v>la</v>
      </c>
      <c r="X117" s="7" t="str">
        <f>IFERROR(__xludf.DUMMYFUNCTION("GoogleTranslate(C117, ""en"", ""fr"")"),"Assis")</f>
        <v>Assis</v>
      </c>
      <c r="Y117" s="7" t="str">
        <f>IFERROR(__xludf.DUMMYFUNCTION("GoogleTranslate(C117, ""en"", ""de"")"),"Sa")</f>
        <v>Sa</v>
      </c>
      <c r="Z117" s="7" t="str">
        <f>IFERROR(__xludf.DUMMYFUNCTION("GoogleTranslate(C117, ""en"", ""el"")"),"Σάβ")</f>
        <v>Σάβ</v>
      </c>
      <c r="AA117" s="7" t="str">
        <f>IFERROR(__xludf.DUMMYFUNCTION("GoogleTranslate(C117, ""en"", ""iw"")"),"שבת")</f>
        <v>שבת</v>
      </c>
      <c r="AB117" s="7" t="str">
        <f>IFERROR(__xludf.DUMMYFUNCTION("GoogleTranslate(C117, ""en"", ""hi"")"),"बैठा")</f>
        <v>बैठा</v>
      </c>
      <c r="AC117" s="7" t="str">
        <f>IFERROR(__xludf.DUMMYFUNCTION("GoogleTranslate(C117, ""en"", ""hu"")"),"Ült")</f>
        <v>Ült</v>
      </c>
      <c r="AD117" s="7" t="str">
        <f>IFERROR(__xludf.DUMMYFUNCTION("GoogleTranslate(C117, ""en"", ""is"")"),"lau")</f>
        <v>lau</v>
      </c>
      <c r="AE117" s="7" t="str">
        <f>IFERROR(__xludf.DUMMYFUNCTION("GoogleTranslate(C117, ""en"", ""id"")"),"Duduk")</f>
        <v>Duduk</v>
      </c>
      <c r="AF117" s="7" t="str">
        <f>IFERROR(__xludf.DUMMYFUNCTION("GoogleTranslate(C117, ""en"", ""in"")"),"Duduk")</f>
        <v>Duduk</v>
      </c>
      <c r="AG117" s="7" t="str">
        <f>IFERROR(__xludf.DUMMYFUNCTION("GoogleTranslate(C117, ""en"", ""it"")"),"Sab")</f>
        <v>Sab</v>
      </c>
      <c r="AH117" s="7" t="str">
        <f>IFERROR(__xludf.DUMMYFUNCTION("GoogleTranslate(C117, ""en"", ""ja"")"),"土")</f>
        <v>土</v>
      </c>
      <c r="AI117" s="7" t="str">
        <f>IFERROR(__xludf.DUMMYFUNCTION("GoogleTranslate(C117, ""en"", ""kn"")"),"ಶನಿ")</f>
        <v>ಶನಿ</v>
      </c>
      <c r="AJ117" s="7" t="str">
        <f>IFERROR(__xludf.DUMMYFUNCTION("GoogleTranslate(C117, ""en"", ""km"")"),"សៅរ៍")</f>
        <v>សៅរ៍</v>
      </c>
      <c r="AK117" s="7" t="str">
        <f>IFERROR(__xludf.DUMMYFUNCTION("GoogleTranslate(C117, ""en"", ""ko"")"),"앉았다")</f>
        <v>앉았다</v>
      </c>
      <c r="AL117" s="7" t="str">
        <f>IFERROR(__xludf.DUMMYFUNCTION("GoogleTranslate(C117, ""en"", ""lo"")"),"ເສົາ")</f>
        <v>ເສົາ</v>
      </c>
      <c r="AM117" s="7" t="str">
        <f>IFERROR(__xludf.DUMMYFUNCTION("GoogleTranslate(C117, ""en"", ""lv"")"),"sestdien")</f>
        <v>sestdien</v>
      </c>
      <c r="AN117" s="7" t="str">
        <f>IFERROR(__xludf.DUMMYFUNCTION("GoogleTranslate(C117, ""en"", ""lt"")"),"Šešt")</f>
        <v>Šešt</v>
      </c>
      <c r="AO117" s="7" t="str">
        <f>IFERROR(__xludf.DUMMYFUNCTION("GoogleTranslate(C117, ""en"", ""mk"")"),"Саб")</f>
        <v>Саб</v>
      </c>
      <c r="AP117" s="7" t="str">
        <f>IFERROR(__xludf.DUMMYFUNCTION("GoogleTranslate(C117, ""en"", ""ms"")"),"Sab")</f>
        <v>Sab</v>
      </c>
      <c r="AQ117" s="7" t="str">
        <f>IFERROR(__xludf.DUMMYFUNCTION("GoogleTranslate(C117, ""en"", ""ml"")"),"ശനി")</f>
        <v>ശനി</v>
      </c>
      <c r="AR117" s="7" t="str">
        <f>IFERROR(__xludf.DUMMYFUNCTION("GoogleTranslate(C117, ""en"", ""mr"")"),"शनि")</f>
        <v>शनि</v>
      </c>
      <c r="AS117" s="7" t="str">
        <f>IFERROR(__xludf.DUMMYFUNCTION("GoogleTranslate(C117, ""en"", ""mn"")"),"Бямба")</f>
        <v>Бямба</v>
      </c>
      <c r="AT117" s="7" t="str">
        <f>IFERROR(__xludf.DUMMYFUNCTION("GoogleTranslate(C117, ""en"", ""ne"")"),"शनि")</f>
        <v>शनि</v>
      </c>
      <c r="AU117" s="7" t="str">
        <f>IFERROR(__xludf.DUMMYFUNCTION("GoogleTranslate(C117, ""en"", ""nb"")"),"Lør")</f>
        <v>Lør</v>
      </c>
      <c r="AV117" s="7" t="str">
        <f>IFERROR(__xludf.DUMMYFUNCTION("GoogleTranslate(C117, ""en"", ""fa"")"),"نشست")</f>
        <v>نشست</v>
      </c>
      <c r="AW117" s="7" t="str">
        <f>IFERROR(__xludf.DUMMYFUNCTION("GoogleTranslate(C117, ""en"", ""pl"")"),"sob")</f>
        <v>sob</v>
      </c>
      <c r="AX117" s="7" t="str">
        <f>IFERROR(__xludf.DUMMYFUNCTION("GoogleTranslate(C117, ""en"", ""pt"")"),"Sentado")</f>
        <v>Sentado</v>
      </c>
      <c r="AY117" s="7" t="str">
        <f>IFERROR(__xludf.DUMMYFUNCTION("GoogleTranslate(C117, ""en"", ""ro"")"),"sat")</f>
        <v>sat</v>
      </c>
      <c r="AZ117" s="7" t="str">
        <f>IFERROR(__xludf.DUMMYFUNCTION("GoogleTranslate(C117, ""en"", ""ru"")"),"Суббота")</f>
        <v>Суббота</v>
      </c>
      <c r="BA117" s="7" t="str">
        <f>IFERROR(__xludf.DUMMYFUNCTION("GoogleTranslate(C117, ""en"", ""sr"")"),"Сат")</f>
        <v>Сат</v>
      </c>
      <c r="BB117" s="7" t="str">
        <f>IFERROR(__xludf.DUMMYFUNCTION("GoogleTranslate(C117, ""en"", ""si"")"),"සෙනසුරාදා")</f>
        <v>සෙනසුරාදා</v>
      </c>
      <c r="BC117" s="7" t="str">
        <f>IFERROR(__xludf.DUMMYFUNCTION("GoogleTranslate(C117, ""en"", ""sk"")"),"So")</f>
        <v>So</v>
      </c>
      <c r="BD117" s="7" t="str">
        <f>IFERROR(__xludf.DUMMYFUNCTION("GoogleTranslate(C117, ""en"", ""sl"")"),"sob")</f>
        <v>sob</v>
      </c>
      <c r="BE117" s="7" t="str">
        <f>IFERROR(__xludf.DUMMYFUNCTION("GoogleTranslate(C117, ""en"", ""es"")"),"Se sentó")</f>
        <v>Se sentó</v>
      </c>
      <c r="BF117" s="7" t="str">
        <f>IFERROR(__xludf.DUMMYFUNCTION("GoogleTranslate(C117, ""en"", ""sw"")"),"Sat")</f>
        <v>Sat</v>
      </c>
      <c r="BG117" s="7" t="str">
        <f>IFERROR(__xludf.DUMMYFUNCTION("GoogleTranslate(C117, ""en"", ""sv"")"),"lö")</f>
        <v>lö</v>
      </c>
      <c r="BH117" s="7" t="str">
        <f>IFERROR(__xludf.DUMMYFUNCTION("GoogleTranslate(C117, ""en"", ""te"")"),"శని")</f>
        <v>శని</v>
      </c>
      <c r="BI117" s="7" t="str">
        <f>IFERROR(__xludf.DUMMYFUNCTION("GoogleTranslate(C117, ""en"", ""th"")"),"นั่ง")</f>
        <v>นั่ง</v>
      </c>
      <c r="BJ117" s="7" t="str">
        <f>IFERROR(__xludf.DUMMYFUNCTION("GoogleTranslate(C117, ""en"", ""tr"")"),"Doygunluk")</f>
        <v>Doygunluk</v>
      </c>
      <c r="BK117" s="7" t="str">
        <f>IFERROR(__xludf.DUMMYFUNCTION("GoogleTranslate(C117, ""en"", ""uk"")"),"сб")</f>
        <v>сб</v>
      </c>
      <c r="BL117" s="7" t="str">
        <f>IFERROR(__xludf.DUMMYFUNCTION("GoogleTranslate(C117, ""en"", ""zu"")"),"Sat")</f>
        <v>Sat</v>
      </c>
    </row>
    <row r="118">
      <c r="A118" s="5" t="str">
        <f t="shared" si="1"/>
        <v>Sun</v>
      </c>
      <c r="B118" s="6" t="s">
        <v>175</v>
      </c>
      <c r="C118" s="5" t="str">
        <f t="shared" si="2"/>
        <v>Sun</v>
      </c>
      <c r="D118" s="7" t="str">
        <f>IFERROR(__xludf.DUMMYFUNCTION("GoogleTranslate(C118, ""en"", ""es"")"),"Sol")</f>
        <v>Sol</v>
      </c>
      <c r="E118" s="7" t="str">
        <f>IFERROR(__xludf.DUMMYFUNCTION("GoogleTranslate(C118, ""en"", ""ar"")"),"شمس")</f>
        <v>شمس</v>
      </c>
      <c r="F118" s="7" t="str">
        <f>IFERROR(__xludf.DUMMYFUNCTION("GoogleTranslate(C118, ""en"", ""hy"")"),"Արև")</f>
        <v>Արև</v>
      </c>
      <c r="G118" s="7" t="str">
        <f>IFERROR(__xludf.DUMMYFUNCTION("GoogleTranslate(C118, ""en"", ""vi"")"),"Mặt trời")</f>
        <v>Mặt trời</v>
      </c>
      <c r="H118" s="7" t="str">
        <f>IFERROR(__xludf.DUMMYFUNCTION("GoogleTranslate(C118, ""en"", ""az"")"),"Günəş")</f>
        <v>Günəş</v>
      </c>
      <c r="I118" s="7" t="str">
        <f>IFERROR(__xludf.DUMMYFUNCTION("GoogleTranslate(C118, ""en"", ""eu"")"),"Eguzkia")</f>
        <v>Eguzkia</v>
      </c>
      <c r="J118" s="7" t="str">
        <f>IFERROR(__xludf.DUMMYFUNCTION("GoogleTranslate(C118, ""en"", ""be"")"),"Сонца")</f>
        <v>Сонца</v>
      </c>
      <c r="K118" s="7" t="str">
        <f>IFERROR(__xludf.DUMMYFUNCTION("GoogleTranslate(C118, ""en"", ""bn"")"),"সূর্য")</f>
        <v>সূর্য</v>
      </c>
      <c r="L118" s="7" t="str">
        <f>IFERROR(__xludf.DUMMYFUNCTION("GoogleTranslate(C118, ""en"", ""bg"")"),"слънце")</f>
        <v>слънце</v>
      </c>
      <c r="M118" s="7" t="str">
        <f>IFERROR(__xludf.DUMMYFUNCTION("GoogleTranslate(C118, ""en"", ""my"")"),"နေမင်း")</f>
        <v>နေမင်း</v>
      </c>
      <c r="N118" s="7" t="str">
        <f>IFERROR(__xludf.DUMMYFUNCTION("GoogleTranslate(C118, ""en"", ""ca"")"),"Sol")</f>
        <v>Sol</v>
      </c>
      <c r="O118" s="7" t="str">
        <f>IFERROR(__xludf.DUMMYFUNCTION("GoogleTranslate(C118, ""en"", ""zh-cn"")"),"太阳")</f>
        <v>太阳</v>
      </c>
      <c r="P118" s="7" t="str">
        <f>IFERROR(__xludf.DUMMYFUNCTION("GoogleTranslate(C118, ""en"", ""zh-TW"")"),"太陽")</f>
        <v>太陽</v>
      </c>
      <c r="Q118" s="7" t="str">
        <f>IFERROR(__xludf.DUMMYFUNCTION("GoogleTranslate(C118, ""en"", ""hr"")"),"Sunce")</f>
        <v>Sunce</v>
      </c>
      <c r="R118" s="7" t="str">
        <f>IFERROR(__xludf.DUMMYFUNCTION("GoogleTranslate(C118, ""en"", ""cs"")"),"Slunce")</f>
        <v>Slunce</v>
      </c>
      <c r="S118" s="7" t="str">
        <f>IFERROR(__xludf.DUMMYFUNCTION("GoogleTranslate(C118, ""en"", ""da"")"),"Sol")</f>
        <v>Sol</v>
      </c>
      <c r="T118" s="7" t="str">
        <f>IFERROR(__xludf.DUMMYFUNCTION("GoogleTranslate(C118, ""en"", ""nl"")"),"Zon")</f>
        <v>Zon</v>
      </c>
      <c r="U118" s="7" t="str">
        <f>IFERROR(__xludf.DUMMYFUNCTION("GoogleTranslate(C118, ""en"", ""et"")"),"Päike")</f>
        <v>Päike</v>
      </c>
      <c r="V118" s="5" t="str">
        <f t="shared" si="3"/>
        <v>Sun</v>
      </c>
      <c r="W118" s="7" t="str">
        <f>IFERROR(__xludf.DUMMYFUNCTION("GoogleTranslate(C118, ""en"", ""fi"")"),"Aurinko")</f>
        <v>Aurinko</v>
      </c>
      <c r="X118" s="7" t="str">
        <f>IFERROR(__xludf.DUMMYFUNCTION("GoogleTranslate(C118, ""en"", ""fr"")"),"Soleil")</f>
        <v>Soleil</v>
      </c>
      <c r="Y118" s="7" t="str">
        <f>IFERROR(__xludf.DUMMYFUNCTION("GoogleTranslate(C118, ""en"", ""de"")"),"Sonne")</f>
        <v>Sonne</v>
      </c>
      <c r="Z118" s="7" t="str">
        <f>IFERROR(__xludf.DUMMYFUNCTION("GoogleTranslate(C118, ""en"", ""el"")"),"Ήλιος")</f>
        <v>Ήλιος</v>
      </c>
      <c r="AA118" s="7" t="str">
        <f>IFERROR(__xludf.DUMMYFUNCTION("GoogleTranslate(C118, ""en"", ""iw"")"),"שֶׁמֶש")</f>
        <v>שֶׁמֶש</v>
      </c>
      <c r="AB118" s="7" t="str">
        <f>IFERROR(__xludf.DUMMYFUNCTION("GoogleTranslate(C118, ""en"", ""hi"")"),"सूरज")</f>
        <v>सूरज</v>
      </c>
      <c r="AC118" s="7" t="str">
        <f>IFERROR(__xludf.DUMMYFUNCTION("GoogleTranslate(C118, ""en"", ""hu"")"),"Nap")</f>
        <v>Nap</v>
      </c>
      <c r="AD118" s="7" t="str">
        <f>IFERROR(__xludf.DUMMYFUNCTION("GoogleTranslate(C118, ""en"", ""is"")"),"Sun")</f>
        <v>Sun</v>
      </c>
      <c r="AE118" s="7" t="str">
        <f>IFERROR(__xludf.DUMMYFUNCTION("GoogleTranslate(C118, ""en"", ""id"")"),"Matahari")</f>
        <v>Matahari</v>
      </c>
      <c r="AF118" s="7" t="str">
        <f>IFERROR(__xludf.DUMMYFUNCTION("GoogleTranslate(C118, ""en"", ""in"")"),"Matahari")</f>
        <v>Matahari</v>
      </c>
      <c r="AG118" s="7" t="str">
        <f>IFERROR(__xludf.DUMMYFUNCTION("GoogleTranslate(C118, ""en"", ""it"")"),"Sole")</f>
        <v>Sole</v>
      </c>
      <c r="AH118" s="7" t="str">
        <f>IFERROR(__xludf.DUMMYFUNCTION("GoogleTranslate(C118, ""en"", ""ja"")"),"太陽")</f>
        <v>太陽</v>
      </c>
      <c r="AI118" s="7" t="str">
        <f>IFERROR(__xludf.DUMMYFUNCTION("GoogleTranslate(C118, ""en"", ""kn"")"),"ಸೂರ್ಯ")</f>
        <v>ಸೂರ್ಯ</v>
      </c>
      <c r="AJ118" s="7" t="str">
        <f>IFERROR(__xludf.DUMMYFUNCTION("GoogleTranslate(C118, ""en"", ""km"")"),"ព្រះអាទិត្យ")</f>
        <v>ព្រះអាទិត្យ</v>
      </c>
      <c r="AK118" s="7" t="str">
        <f>IFERROR(__xludf.DUMMYFUNCTION("GoogleTranslate(C118, ""en"", ""ko"")"),"해")</f>
        <v>해</v>
      </c>
      <c r="AL118" s="7" t="str">
        <f>IFERROR(__xludf.DUMMYFUNCTION("GoogleTranslate(C118, ""en"", ""lo"")"),"ຕາເວັນ")</f>
        <v>ຕາເວັນ</v>
      </c>
      <c r="AM118" s="7" t="str">
        <f>IFERROR(__xludf.DUMMYFUNCTION("GoogleTranslate(C118, ""en"", ""lv"")"),"Sv")</f>
        <v>Sv</v>
      </c>
      <c r="AN118" s="7" t="str">
        <f>IFERROR(__xludf.DUMMYFUNCTION("GoogleTranslate(C118, ""en"", ""lt"")"),"Saulė")</f>
        <v>Saulė</v>
      </c>
      <c r="AO118" s="7" t="str">
        <f>IFERROR(__xludf.DUMMYFUNCTION("GoogleTranslate(C118, ""en"", ""mk"")"),"Сонцето")</f>
        <v>Сонцето</v>
      </c>
      <c r="AP118" s="7" t="str">
        <f>IFERROR(__xludf.DUMMYFUNCTION("GoogleTranslate(C118, ""en"", ""ms"")"),"Matahari")</f>
        <v>Matahari</v>
      </c>
      <c r="AQ118" s="7" t="str">
        <f>IFERROR(__xludf.DUMMYFUNCTION("GoogleTranslate(C118, ""en"", ""ml"")"),"സൂര്യൻ")</f>
        <v>സൂര്യൻ</v>
      </c>
      <c r="AR118" s="7" t="str">
        <f>IFERROR(__xludf.DUMMYFUNCTION("GoogleTranslate(C118, ""en"", ""mr"")"),"रवि")</f>
        <v>रवि</v>
      </c>
      <c r="AS118" s="7" t="str">
        <f>IFERROR(__xludf.DUMMYFUNCTION("GoogleTranslate(C118, ""en"", ""mn"")"),"Нар")</f>
        <v>Нар</v>
      </c>
      <c r="AT118" s="7" t="str">
        <f>IFERROR(__xludf.DUMMYFUNCTION("GoogleTranslate(C118, ""en"", ""ne"")"),"सूर्य")</f>
        <v>सूर्य</v>
      </c>
      <c r="AU118" s="7" t="str">
        <f>IFERROR(__xludf.DUMMYFUNCTION("GoogleTranslate(C118, ""en"", ""nb"")"),"Sol")</f>
        <v>Sol</v>
      </c>
      <c r="AV118" s="7" t="str">
        <f>IFERROR(__xludf.DUMMYFUNCTION("GoogleTranslate(C118, ""en"", ""fa"")"),"خورشید")</f>
        <v>خورشید</v>
      </c>
      <c r="AW118" s="7" t="str">
        <f>IFERROR(__xludf.DUMMYFUNCTION("GoogleTranslate(C118, ""en"", ""pl"")"),"Słoneczny")</f>
        <v>Słoneczny</v>
      </c>
      <c r="AX118" s="7" t="str">
        <f>IFERROR(__xludf.DUMMYFUNCTION("GoogleTranslate(C118, ""en"", ""pt"")"),"Sol")</f>
        <v>Sol</v>
      </c>
      <c r="AY118" s="7" t="str">
        <f>IFERROR(__xludf.DUMMYFUNCTION("GoogleTranslate(C118, ""en"", ""ro"")"),"Soare")</f>
        <v>Soare</v>
      </c>
      <c r="AZ118" s="7" t="str">
        <f>IFERROR(__xludf.DUMMYFUNCTION("GoogleTranslate(C118, ""en"", ""ru"")"),"Солнце")</f>
        <v>Солнце</v>
      </c>
      <c r="BA118" s="7" t="str">
        <f>IFERROR(__xludf.DUMMYFUNCTION("GoogleTranslate(C118, ""en"", ""sr"")"),"Сун")</f>
        <v>Сун</v>
      </c>
      <c r="BB118" s="7" t="str">
        <f>IFERROR(__xludf.DUMMYFUNCTION("GoogleTranslate(C118, ""en"", ""si"")"),"හිරු")</f>
        <v>හිරු</v>
      </c>
      <c r="BC118" s="7" t="str">
        <f>IFERROR(__xludf.DUMMYFUNCTION("GoogleTranslate(C118, ""en"", ""sk"")"),"Slnko")</f>
        <v>Slnko</v>
      </c>
      <c r="BD118" s="7" t="str">
        <f>IFERROR(__xludf.DUMMYFUNCTION("GoogleTranslate(C118, ""en"", ""sl"")"),"sonce")</f>
        <v>sonce</v>
      </c>
      <c r="BE118" s="7" t="str">
        <f>IFERROR(__xludf.DUMMYFUNCTION("GoogleTranslate(C118, ""en"", ""es"")"),"Sol")</f>
        <v>Sol</v>
      </c>
      <c r="BF118" s="7" t="str">
        <f>IFERROR(__xludf.DUMMYFUNCTION("GoogleTranslate(C118, ""en"", ""sw"")"),"Jua")</f>
        <v>Jua</v>
      </c>
      <c r="BG118" s="7" t="str">
        <f>IFERROR(__xludf.DUMMYFUNCTION("GoogleTranslate(C118, ""en"", ""sv"")"),"Sol")</f>
        <v>Sol</v>
      </c>
      <c r="BH118" s="7" t="str">
        <f>IFERROR(__xludf.DUMMYFUNCTION("GoogleTranslate(C118, ""en"", ""te"")"),"సూర్యుడు")</f>
        <v>సూర్యుడు</v>
      </c>
      <c r="BI118" s="7" t="str">
        <f>IFERROR(__xludf.DUMMYFUNCTION("GoogleTranslate(C118, ""en"", ""th"")"),"ดวงอาทิตย์")</f>
        <v>ดวงอาทิตย์</v>
      </c>
      <c r="BJ118" s="7" t="str">
        <f>IFERROR(__xludf.DUMMYFUNCTION("GoogleTranslate(C118, ""en"", ""tr"")"),"Güneş")</f>
        <v>Güneş</v>
      </c>
      <c r="BK118" s="7" t="str">
        <f>IFERROR(__xludf.DUMMYFUNCTION("GoogleTranslate(C118, ""en"", ""uk"")"),"сонце")</f>
        <v>сонце</v>
      </c>
      <c r="BL118" s="7" t="str">
        <f>IFERROR(__xludf.DUMMYFUNCTION("GoogleTranslate(C118, ""en"", ""zu"")"),"Ilanga")</f>
        <v>Ilanga</v>
      </c>
    </row>
    <row r="119">
      <c r="A119" s="5" t="str">
        <f t="shared" si="1"/>
        <v>Uv_index_{name}_next_{number}_days.</v>
      </c>
      <c r="B119" s="6" t="s">
        <v>166</v>
      </c>
      <c r="C119" s="5" t="str">
        <f t="shared" si="2"/>
        <v>Uv index {name} next {number} days.</v>
      </c>
      <c r="D119" s="7" t="str">
        <f>IFERROR(__xludf.DUMMYFUNCTION("GoogleTranslate(C119, ""en"", ""es"")"),"Índice ultravioleta {nombre} los próximos {número} días.")</f>
        <v>Índice ultravioleta {nombre} los próximos {número} días.</v>
      </c>
      <c r="E119" s="7" t="str">
        <f>IFERROR(__xludf.DUMMYFUNCTION("GoogleTranslate(C119, ""en"", ""ar"")"),"مؤشر الأشعة فوق البنفسجية {name} الأيام الـ {number} القادمة.")</f>
        <v>مؤشر الأشعة فوق البنفسجية {name} الأيام الـ {number} القادمة.</v>
      </c>
      <c r="F119" s="7" t="str">
        <f>IFERROR(__xludf.DUMMYFUNCTION("GoogleTranslate(C119, ""en"", ""hy"")"),"Ուլտրամանուշակագույն ինդեքս {name} հաջորդ {number} օրերին:")</f>
        <v>Ուլտրամանուշակագույն ինդեքս {name} հաջորդ {number} օրերին:</v>
      </c>
      <c r="G119" s="7" t="str">
        <f>IFERROR(__xludf.DUMMYFUNCTION("GoogleTranslate(C119, ""en"", ""vi"")"),"Chỉ số UV {name} ngày {number} ngày tới.")</f>
        <v>Chỉ số UV {name} ngày {number} ngày tới.</v>
      </c>
      <c r="H119" s="7" t="str">
        <f>IFERROR(__xludf.DUMMYFUNCTION("GoogleTranslate(C119, ""en"", ""az"")"),"Uv indeksi {name} növbəti {number} gün.")</f>
        <v>Uv indeksi {name} növbəti {number} gün.</v>
      </c>
      <c r="I119" s="7" t="str">
        <f>IFERROR(__xludf.DUMMYFUNCTION("GoogleTranslate(C119, ""en"", ""eu"")"),"Uv indizea {name} hurrengo {number} egunetan.")</f>
        <v>Uv indizea {name} hurrengo {number} egunetan.</v>
      </c>
      <c r="J119" s="7" t="str">
        <f>IFERROR(__xludf.DUMMYFUNCTION("GoogleTranslate(C119, ""en"", ""be"")"),"Ультрафіялетавы індэкс {імя} у наступныя {number} дзён.")</f>
        <v>Ультрафіялетавы індэкс {імя} у наступныя {number} дзён.</v>
      </c>
      <c r="K119" s="7" t="str">
        <f>IFERROR(__xludf.DUMMYFUNCTION("GoogleTranslate(C119, ""en"", ""bn"")"),"Uv সূচক {name} পরবর্তী {number} দিন।")</f>
        <v>Uv সূচক {name} পরবর্তী {number} দিন।</v>
      </c>
      <c r="L119" s="7" t="str">
        <f>IFERROR(__xludf.DUMMYFUNCTION("GoogleTranslate(C119, ""en"", ""bg"")"),"Uv индекс {name} следващите {number} дни.")</f>
        <v>Uv индекс {name} следващите {number} дни.</v>
      </c>
      <c r="M119" s="7" t="str">
        <f>IFERROR(__xludf.DUMMYFUNCTION("GoogleTranslate(C119, ""en"", ""my"")"),"Uv အညွှန်း {name} နောက် {number} ရက်။")</f>
        <v>Uv အညွှန်း {name} နောက် {number} ရက်။</v>
      </c>
      <c r="N119" s="7" t="str">
        <f>IFERROR(__xludf.DUMMYFUNCTION("GoogleTranslate(C119, ""en"", ""ca"")"),"Índex UV {name} propers {number} dies.")</f>
        <v>Índex UV {name} propers {number} dies.</v>
      </c>
      <c r="O119" s="7" t="str">
        <f>IFERROR(__xludf.DUMMYFUNCTION("GoogleTranslate(C119, ""en"", ""zh-cn"")"),"接下来 {number} 天的紫外线指数 {name}。")</f>
        <v>接下来 {number} 天的紫外线指数 {name}。</v>
      </c>
      <c r="P119" s="7" t="str">
        <f>IFERROR(__xludf.DUMMYFUNCTION("GoogleTranslate(C119, ""en"", ""zh-TW"")"),"接下來 {number} 天的紫外線指數 {name}。")</f>
        <v>接下來 {number} 天的紫外線指數 {name}。</v>
      </c>
      <c r="Q119" s="7" t="str">
        <f>IFERROR(__xludf.DUMMYFUNCTION("GoogleTranslate(C119, ""en"", ""hr"")"),"Uv indeks {name} sljedećih {number} dana.")</f>
        <v>Uv indeks {name} sljedećih {number} dana.</v>
      </c>
      <c r="R119" s="7" t="str">
        <f>IFERROR(__xludf.DUMMYFUNCTION("GoogleTranslate(C119, ""en"", ""cs"")"),"UV index {name} příštích {number} dnů.")</f>
        <v>UV index {name} příštích {number} dnů.</v>
      </c>
      <c r="S119" s="7" t="str">
        <f>IFERROR(__xludf.DUMMYFUNCTION("GoogleTranslate(C119, ""en"", ""da"")"),"Uv-indeks {name} næste {number} dage.")</f>
        <v>Uv-indeks {name} næste {number} dage.</v>
      </c>
      <c r="T119" s="7" t="str">
        <f>IFERROR(__xludf.DUMMYFUNCTION("GoogleTranslate(C119, ""en"", ""nl"")"),"UV-index {naam} komende {aantal} dagen.")</f>
        <v>UV-index {naam} komende {aantal} dagen.</v>
      </c>
      <c r="U119" s="7" t="str">
        <f>IFERROR(__xludf.DUMMYFUNCTION("GoogleTranslate(C119, ""en"", ""et"")"),"UV-indeks {name} järgmise {number} päeva jooksul.")</f>
        <v>UV-indeks {name} järgmise {number} päeva jooksul.</v>
      </c>
      <c r="V119" s="5" t="str">
        <f t="shared" si="3"/>
        <v>Uv index {name} next {number} days.</v>
      </c>
      <c r="W119" s="7" t="str">
        <f>IFERROR(__xludf.DUMMYFUNCTION("GoogleTranslate(C119, ""en"", ""fi"")"),"UV-indeksi {name} seuraavat {number} päivää.")</f>
        <v>UV-indeksi {name} seuraavat {number} päivää.</v>
      </c>
      <c r="X119" s="7" t="str">
        <f>IFERROR(__xludf.DUMMYFUNCTION("GoogleTranslate(C119, ""en"", ""fr"")"),"Index UV {nom} prochains {nombre} jours.")</f>
        <v>Index UV {nom} prochains {nombre} jours.</v>
      </c>
      <c r="Y119" s="7" t="str">
        <f>IFERROR(__xludf.DUMMYFUNCTION("GoogleTranslate(C119, ""en"", ""de"")"),"UV-Index {Name} nächste {Anzahl} Tage.")</f>
        <v>UV-Index {Name} nächste {Anzahl} Tage.</v>
      </c>
      <c r="Z119" s="7" t="str">
        <f>IFERROR(__xludf.DUMMYFUNCTION("GoogleTranslate(C119, ""en"", ""el"")"),"Δείκτης UV {name} επόμενες {number} ημέρες.")</f>
        <v>Δείκτης UV {name} επόμενες {number} ημέρες.</v>
      </c>
      <c r="AA119" s="7" t="str">
        <f>IFERROR(__xludf.DUMMYFUNCTION("GoogleTranslate(C119, ""en"", ""iw"")"),"אינדקס UV {name} ב-{number} הימים הבאים.")</f>
        <v>אינדקס UV {name} ב-{number} הימים הבאים.</v>
      </c>
      <c r="AB119" s="7" t="str">
        <f>IFERROR(__xludf.DUMMYFUNCTION("GoogleTranslate(C119, ""en"", ""hi"")"),"यूवी सूचकांक {नाम} अगले {संख्या} दिन।")</f>
        <v>यूवी सूचकांक {नाम} अगले {संख्या} दिन।</v>
      </c>
      <c r="AC119" s="7" t="str">
        <f>IFERROR(__xludf.DUMMYFUNCTION("GoogleTranslate(C119, ""en"", ""hu"")"),"UV-index {name} következő {number} napon.")</f>
        <v>UV-index {name} következő {number} napon.</v>
      </c>
      <c r="AD119" s="7" t="str">
        <f>IFERROR(__xludf.DUMMYFUNCTION("GoogleTranslate(C119, ""en"", ""is"")"),"UV vísitala {name} næstu {number} daga.")</f>
        <v>UV vísitala {name} næstu {number} daga.</v>
      </c>
      <c r="AE119" s="7" t="str">
        <f>IFERROR(__xludf.DUMMYFUNCTION("GoogleTranslate(C119, ""en"", ""id"")"),"Indeks UV {name} {number} hari ke depan.")</f>
        <v>Indeks UV {name} {number} hari ke depan.</v>
      </c>
      <c r="AF119" s="7" t="str">
        <f>IFERROR(__xludf.DUMMYFUNCTION("GoogleTranslate(C119, ""en"", ""in"")"),"Indeks UV {name} {number} hari ke depan.")</f>
        <v>Indeks UV {name} {number} hari ke depan.</v>
      </c>
      <c r="AG119" s="7" t="str">
        <f>IFERROR(__xludf.DUMMYFUNCTION("GoogleTranslate(C119, ""en"", ""it"")"),"Indice Uv {nome} prossimi {numero} giorni.")</f>
        <v>Indice Uv {nome} prossimi {numero} giorni.</v>
      </c>
      <c r="AH119" s="7" t="str">
        <f>IFERROR(__xludf.DUMMYFUNCTION("GoogleTranslate(C119, ""en"", ""ja"")"),"今後の {number} 日間の紫外線インデックス {name}。")</f>
        <v>今後の {number} 日間の紫外線インデックス {name}。</v>
      </c>
      <c r="AI119" s="7" t="str">
        <f>IFERROR(__xludf.DUMMYFUNCTION("GoogleTranslate(C119, ""en"", ""kn"")"),"ಯುವಿ ಸೂಚ್ಯಂಕ {name} ಮುಂದಿನ {number} ದಿನಗಳು.")</f>
        <v>ಯುವಿ ಸೂಚ್ಯಂಕ {name} ಮುಂದಿನ {number} ದಿನಗಳು.</v>
      </c>
      <c r="AJ119" s="7" t="str">
        <f>IFERROR(__xludf.DUMMYFUNCTION("GoogleTranslate(C119, ""en"", ""km"")"),"Uv index {name} បន្ទាប់ {number} ថ្ងៃ")</f>
        <v>Uv index {name} បន្ទាប់ {number} ថ្ងៃ</v>
      </c>
      <c r="AK119" s="7" t="str">
        <f>IFERROR(__xludf.DUMMYFUNCTION("GoogleTranslate(C119, ""en"", ""ko"")"),"자외선 지수 {name} 다음 {number}일.")</f>
        <v>자외선 지수 {name} 다음 {number}일.</v>
      </c>
      <c r="AL119" s="7" t="str">
        <f>IFERROR(__xludf.DUMMYFUNCTION("GoogleTranslate(C119, ""en"", ""lo"")"),"Uv index {name} ຕໍ່ໄປ {number} ມື້.")</f>
        <v>Uv index {name} ຕໍ່ໄປ {number} ມື້.</v>
      </c>
      <c r="AM119" s="7" t="str">
        <f>IFERROR(__xludf.DUMMYFUNCTION("GoogleTranslate(C119, ""en"", ""lv"")"),"UV indekss {name} nākamās {number} dienas.")</f>
        <v>UV indekss {name} nākamās {number} dienas.</v>
      </c>
      <c r="AN119" s="7" t="str">
        <f>IFERROR(__xludf.DUMMYFUNCTION("GoogleTranslate(C119, ""en"", ""lt"")"),"UV indeksas {name} kitas {number} d.")</f>
        <v>UV indeksas {name} kitas {number} d.</v>
      </c>
      <c r="AO119" s="7" t="str">
        <f>IFERROR(__xludf.DUMMYFUNCTION("GoogleTranslate(C119, ""en"", ""mk"")"),"УВ индекс {name} следните {number} дена.")</f>
        <v>УВ индекс {name} следните {number} дена.</v>
      </c>
      <c r="AP119" s="7" t="str">
        <f>IFERROR(__xludf.DUMMYFUNCTION("GoogleTranslate(C119, ""en"", ""ms"")"),"Indeks UV {nama} {number} hari berikutnya.")</f>
        <v>Indeks UV {nama} {number} hari berikutnya.</v>
      </c>
      <c r="AQ119" s="7" t="str">
        <f>IFERROR(__xludf.DUMMYFUNCTION("GoogleTranslate(C119, ""en"", ""ml"")"),"Uv സൂചിക {name} അടുത്ത {number} ദിവസങ്ങളിൽ.")</f>
        <v>Uv സൂചിക {name} അടുത്ത {number} ദിവസങ്ങളിൽ.</v>
      </c>
      <c r="AR119" s="7" t="str">
        <f>IFERROR(__xludf.DUMMYFUNCTION("GoogleTranslate(C119, ""en"", ""mr"")"),"Uv अनुक्रमणिका {name} पुढील {number} दिवस.")</f>
        <v>Uv अनुक्रमणिका {name} पुढील {number} दिवस.</v>
      </c>
      <c r="AS119" s="7" t="str">
        <f>IFERROR(__xludf.DUMMYFUNCTION("GoogleTranslate(C119, ""en"", ""mn"")"),"UV индекс {name} дараагийн {number} өдөр.")</f>
        <v>UV индекс {name} дараагийн {number} өдөр.</v>
      </c>
      <c r="AT119" s="7" t="str">
        <f>IFERROR(__xludf.DUMMYFUNCTION("GoogleTranslate(C119, ""en"", ""ne"")"),"Uv अनुक्रमणिका {name} अर्को {number} दिन।")</f>
        <v>Uv अनुक्रमणिका {name} अर्को {number} दिन।</v>
      </c>
      <c r="AU119" s="7" t="str">
        <f>IFERROR(__xludf.DUMMYFUNCTION("GoogleTranslate(C119, ""en"", ""nb"")"),"Uv-indeks {name} neste {number} dager.")</f>
        <v>Uv-indeks {name} neste {number} dager.</v>
      </c>
      <c r="AV119" s="7" t="str">
        <f>IFERROR(__xludf.DUMMYFUNCTION("GoogleTranslate(C119, ""en"", ""fa"")"),"شاخص UV {name} {number} روز آینده.")</f>
        <v>شاخص UV {name} {number} روز آینده.</v>
      </c>
      <c r="AW119" s="7" t="str">
        <f>IFERROR(__xludf.DUMMYFUNCTION("GoogleTranslate(C119, ""en"", ""pl"")"),"Indeks UV {name} następne {number} dni.")</f>
        <v>Indeks UV {name} następne {number} dni.</v>
      </c>
      <c r="AX119" s="7" t="str">
        <f>IFERROR(__xludf.DUMMYFUNCTION("GoogleTranslate(C119, ""en"", ""pt"")"),"Índice UV {nome} nos próximos {número} dias.")</f>
        <v>Índice UV {nome} nos próximos {número} dias.</v>
      </c>
      <c r="AY119" s="7" t="str">
        <f>IFERROR(__xludf.DUMMYFUNCTION("GoogleTranslate(C119, ""en"", ""ro"")"),"Index UV {name} următoarele {number} zile.")</f>
        <v>Index UV {name} următoarele {number} zile.</v>
      </c>
      <c r="AZ119" s="7" t="str">
        <f>IFERROR(__xludf.DUMMYFUNCTION("GoogleTranslate(C119, ""en"", ""ru"")"),"УФ-индекс {name} в ближайшие {number} дней.")</f>
        <v>УФ-индекс {name} в ближайшие {number} дней.</v>
      </c>
      <c r="BA119" s="7" t="str">
        <f>IFERROR(__xludf.DUMMYFUNCTION("GoogleTranslate(C119, ""en"", ""sr"")"),"Ув индекс {наме} следећих {нумбер} дана.")</f>
        <v>Ув индекс {наме} следећих {нумбер} дана.</v>
      </c>
      <c r="BB119" s="7" t="str">
        <f>IFERROR(__xludf.DUMMYFUNCTION("GoogleTranslate(C119, ""en"", ""si"")"),"Uv දර්ශකය {name} ඉදිරි දින {number}.")</f>
        <v>Uv දර්ශකය {name} ඉදිරි දින {number}.</v>
      </c>
      <c r="BC119" s="7" t="str">
        <f>IFERROR(__xludf.DUMMYFUNCTION("GoogleTranslate(C119, ""en"", ""sk"")"),"UV index {name} nasledujúcich {number} dní.")</f>
        <v>UV index {name} nasledujúcich {number} dní.</v>
      </c>
      <c r="BD119" s="7" t="str">
        <f>IFERROR(__xludf.DUMMYFUNCTION("GoogleTranslate(C119, ""en"", ""sl"")"),"Uv indeks {name} naslednjih {number} dni.")</f>
        <v>Uv indeks {name} naslednjih {number} dni.</v>
      </c>
      <c r="BE119" s="7" t="str">
        <f>IFERROR(__xludf.DUMMYFUNCTION("GoogleTranslate(C119, ""en"", ""es"")"),"Índice ultravioleta {nombre} los próximos {número} días.")</f>
        <v>Índice ultravioleta {nombre} los próximos {número} días.</v>
      </c>
      <c r="BF119" s="7" t="str">
        <f>IFERROR(__xludf.DUMMYFUNCTION("GoogleTranslate(C119, ""en"", ""sw"")"),"Uv index {name} siku {number} zijazo.")</f>
        <v>Uv index {name} siku {number} zijazo.</v>
      </c>
      <c r="BG119" s="7" t="str">
        <f>IFERROR(__xludf.DUMMYFUNCTION("GoogleTranslate(C119, ""en"", ""sv"")"),"Uv-index {name} nästa {number} dagar.")</f>
        <v>Uv-index {name} nästa {number} dagar.</v>
      </c>
      <c r="BH119" s="7" t="str">
        <f>IFERROR(__xludf.DUMMYFUNCTION("GoogleTranslate(C119, ""en"", ""te"")"),"Uv సూచిక {name} తదుపరి {number} రోజులు.")</f>
        <v>Uv సూచిక {name} తదుపరి {number} రోజులు.</v>
      </c>
      <c r="BI119" s="7" t="str">
        <f>IFERROR(__xludf.DUMMYFUNCTION("GoogleTranslate(C119, ""en"", ""th"")"),"ดัชนีรังสียูวี {name} ถัดไป {number} วัน")</f>
        <v>ดัชนีรังสียูวี {name} ถัดไป {number} วัน</v>
      </c>
      <c r="BJ119" s="7" t="str">
        <f>IFERROR(__xludf.DUMMYFUNCTION("GoogleTranslate(C119, ""en"", ""tr"")"),"UV indeksi {name} önümüzdeki {number} gün.")</f>
        <v>UV indeksi {name} önümüzdeki {number} gün.</v>
      </c>
      <c r="BK119" s="7" t="str">
        <f>IFERROR(__xludf.DUMMYFUNCTION("GoogleTranslate(C119, ""en"", ""uk"")"),"УФ-індекс {name} наступні {number} днів.")</f>
        <v>УФ-індекс {name} наступні {number} днів.</v>
      </c>
      <c r="BL119" s="7" t="str">
        <f>IFERROR(__xludf.DUMMYFUNCTION("GoogleTranslate(C119, ""en"", ""zu"")"),"Inkomba ye-Uv {name} ezinsukwini ezingu-{number} ezilandelayo.")</f>
        <v>Inkomba ye-Uv {name} ezinsukwini ezingu-{number} ezilandelayo.</v>
      </c>
    </row>
    <row r="120">
      <c r="A120" s="5" t="str">
        <f t="shared" si="1"/>
        <v>{name}_weather_radar</v>
      </c>
      <c r="B120" s="6" t="s">
        <v>176</v>
      </c>
      <c r="C120" s="5" t="str">
        <f t="shared" si="2"/>
        <v>{name} weather radar</v>
      </c>
      <c r="D120" s="7" t="str">
        <f>IFERROR(__xludf.DUMMYFUNCTION("GoogleTranslate(C120, ""en"", ""es"")"),"{nombre} radar meteorológico")</f>
        <v>{nombre} radar meteorológico</v>
      </c>
      <c r="E120" s="7" t="str">
        <f>IFERROR(__xludf.DUMMYFUNCTION("GoogleTranslate(C120, ""en"", ""ar"")"),"{الاسم} رادار الطقس")</f>
        <v>{الاسم} رادار الطقس</v>
      </c>
      <c r="F120" s="7" t="str">
        <f>IFERROR(__xludf.DUMMYFUNCTION("GoogleTranslate(C120, ""en"", ""hy"")"),"{name} եղանակի ռադար")</f>
        <v>{name} եղանակի ռադար</v>
      </c>
      <c r="G120" s="7" t="str">
        <f>IFERROR(__xludf.DUMMYFUNCTION("GoogleTranslate(C120, ""en"", ""vi"")"),"{name} radar thời tiết")</f>
        <v>{name} radar thời tiết</v>
      </c>
      <c r="H120" s="7" t="str">
        <f>IFERROR(__xludf.DUMMYFUNCTION("GoogleTranslate(C120, ""en"", ""az"")"),"{name} hava radarı")</f>
        <v>{name} hava radarı</v>
      </c>
      <c r="I120" s="7" t="str">
        <f>IFERROR(__xludf.DUMMYFUNCTION("GoogleTranslate(C120, ""en"", ""eu"")"),"{name} eguraldi radarra")</f>
        <v>{name} eguraldi radarra</v>
      </c>
      <c r="J120" s="7" t="str">
        <f>IFERROR(__xludf.DUMMYFUNCTION("GoogleTranslate(C120, ""en"", ""be"")"),"метэарадар {name}")</f>
        <v>метэарадар {name}</v>
      </c>
      <c r="K120" s="7" t="str">
        <f>IFERROR(__xludf.DUMMYFUNCTION("GoogleTranslate(C120, ""en"", ""bn"")"),"{name} আবহাওয়ার রাডার")</f>
        <v>{name} আবহাওয়ার রাডার</v>
      </c>
      <c r="L120" s="7" t="str">
        <f>IFERROR(__xludf.DUMMYFUNCTION("GoogleTranslate(C120, ""en"", ""bg"")"),"{name} метеорологичен радар")</f>
        <v>{name} метеорологичен радар</v>
      </c>
      <c r="M120" s="7" t="str">
        <f>IFERROR(__xludf.DUMMYFUNCTION("GoogleTranslate(C120, ""en"", ""my"")"),"{name} မိုးလေဝသ ရေဒါ")</f>
        <v>{name} မိုးလေဝသ ရေဒါ</v>
      </c>
      <c r="N120" s="7" t="str">
        <f>IFERROR(__xludf.DUMMYFUNCTION("GoogleTranslate(C120, ""en"", ""ca"")"),"Radar meteorològic de {name}")</f>
        <v>Radar meteorològic de {name}</v>
      </c>
      <c r="O120" s="7" t="str">
        <f>IFERROR(__xludf.DUMMYFUNCTION("GoogleTranslate(C120, ""en"", ""zh-cn"")"),"{name} 天气雷达")</f>
        <v>{name} 天气雷达</v>
      </c>
      <c r="P120" s="7" t="str">
        <f>IFERROR(__xludf.DUMMYFUNCTION("GoogleTranslate(C120, ""en"", ""zh-TW"")"),"{name} 天氣雷達")</f>
        <v>{name} 天氣雷達</v>
      </c>
      <c r="Q120" s="7" t="str">
        <f>IFERROR(__xludf.DUMMYFUNCTION("GoogleTranslate(C120, ""en"", ""hr"")"),"{name} vremenski radar")</f>
        <v>{name} vremenski radar</v>
      </c>
      <c r="R120" s="7" t="str">
        <f>IFERROR(__xludf.DUMMYFUNCTION("GoogleTranslate(C120, ""en"", ""cs"")"),"{name} meteorologický radar")</f>
        <v>{name} meteorologický radar</v>
      </c>
      <c r="S120" s="7" t="str">
        <f>IFERROR(__xludf.DUMMYFUNCTION("GoogleTranslate(C120, ""en"", ""da"")"),"{name} vejrradar")</f>
        <v>{name} vejrradar</v>
      </c>
      <c r="T120" s="7" t="str">
        <f>IFERROR(__xludf.DUMMYFUNCTION("GoogleTranslate(C120, ""en"", ""nl"")"),"{naam} weerradar")</f>
        <v>{naam} weerradar</v>
      </c>
      <c r="U120" s="7" t="str">
        <f>IFERROR(__xludf.DUMMYFUNCTION("GoogleTranslate(C120, ""en"", ""et"")"),"{name} ilmaradar")</f>
        <v>{name} ilmaradar</v>
      </c>
      <c r="V120" s="5" t="str">
        <f t="shared" si="3"/>
        <v>{name} weather radar</v>
      </c>
      <c r="W120" s="7" t="str">
        <f>IFERROR(__xludf.DUMMYFUNCTION("GoogleTranslate(C120, ""en"", ""fi"")"),"{name} säätutka")</f>
        <v>{name} säätutka</v>
      </c>
      <c r="X120" s="7" t="str">
        <f>IFERROR(__xludf.DUMMYFUNCTION("GoogleTranslate(C120, ""en"", ""fr"")"),"Radar météorologique {nom}")</f>
        <v>Radar météorologique {nom}</v>
      </c>
      <c r="Y120" s="7" t="str">
        <f>IFERROR(__xludf.DUMMYFUNCTION("GoogleTranslate(C120, ""en"", ""de"")"),"{name} Wetterradar")</f>
        <v>{name} Wetterradar</v>
      </c>
      <c r="Z120" s="7" t="str">
        <f>IFERROR(__xludf.DUMMYFUNCTION("GoogleTranslate(C120, ""en"", ""el"")"),"Ραντάρ καιρού {name}")</f>
        <v>Ραντάρ καιρού {name}</v>
      </c>
      <c r="AA120" s="7" t="str">
        <f>IFERROR(__xludf.DUMMYFUNCTION("GoogleTranslate(C120, ""en"", ""iw"")"),"רדאר מזג האוויר של {name}")</f>
        <v>רדאר מזג האוויר של {name}</v>
      </c>
      <c r="AB120" s="7" t="str">
        <f>IFERROR(__xludf.DUMMYFUNCTION("GoogleTranslate(C120, ""en"", ""hi"")"),"{नाम} मौसम रडार")</f>
        <v>{नाम} मौसम रडार</v>
      </c>
      <c r="AC120" s="7" t="str">
        <f>IFERROR(__xludf.DUMMYFUNCTION("GoogleTranslate(C120, ""en"", ""hu"")"),"{name} időjárási radar")</f>
        <v>{name} időjárási radar</v>
      </c>
      <c r="AD120" s="7" t="str">
        <f>IFERROR(__xludf.DUMMYFUNCTION("GoogleTranslate(C120, ""en"", ""is"")"),"{name} veðurratsjá")</f>
        <v>{name} veðurratsjá</v>
      </c>
      <c r="AE120" s="7" t="str">
        <f>IFERROR(__xludf.DUMMYFUNCTION("GoogleTranslate(C120, ""en"", ""id"")"),"radar cuaca {name}")</f>
        <v>radar cuaca {name}</v>
      </c>
      <c r="AF120" s="7" t="str">
        <f>IFERROR(__xludf.DUMMYFUNCTION("GoogleTranslate(C120, ""en"", ""in"")"),"radar cuaca {name}")</f>
        <v>radar cuaca {name}</v>
      </c>
      <c r="AG120" s="7" t="str">
        <f>IFERROR(__xludf.DUMMYFUNCTION("GoogleTranslate(C120, ""en"", ""it"")"),"radar meteorologico {nome}")</f>
        <v>radar meteorologico {nome}</v>
      </c>
      <c r="AH120" s="7" t="str">
        <f>IFERROR(__xludf.DUMMYFUNCTION("GoogleTranslate(C120, ""en"", ""ja"")"),"{名前}の気象レーダー")</f>
        <v>{名前}の気象レーダー</v>
      </c>
      <c r="AI120" s="7" t="str">
        <f>IFERROR(__xludf.DUMMYFUNCTION("GoogleTranslate(C120, ""en"", ""kn"")"),"{name} ಹವಾಮಾನ ರೇಡಾರ್")</f>
        <v>{name} ಹವಾಮಾನ ರೇಡಾರ್</v>
      </c>
      <c r="AJ120" s="7" t="str">
        <f>IFERROR(__xludf.DUMMYFUNCTION("GoogleTranslate(C120, ""en"", ""km"")"),"{name} រ៉ាដាអាកាសធាតុ")</f>
        <v>{name} រ៉ាដាអាកាសធាតុ</v>
      </c>
      <c r="AK120" s="7" t="str">
        <f>IFERROR(__xludf.DUMMYFUNCTION("GoogleTranslate(C120, ""en"", ""ko"")"),"{name} 기상 레이더")</f>
        <v>{name} 기상 레이더</v>
      </c>
      <c r="AL120" s="7" t="str">
        <f>IFERROR(__xludf.DUMMYFUNCTION("GoogleTranslate(C120, ""en"", ""lo"")"),"{name} ເຣດາສະພາບອາກາດ")</f>
        <v>{name} ເຣດາສະພາບອາກາດ</v>
      </c>
      <c r="AM120" s="7" t="str">
        <f>IFERROR(__xludf.DUMMYFUNCTION("GoogleTranslate(C120, ""en"", ""lv"")"),"{name} laika radars")</f>
        <v>{name} laika radars</v>
      </c>
      <c r="AN120" s="7" t="str">
        <f>IFERROR(__xludf.DUMMYFUNCTION("GoogleTranslate(C120, ""en"", ""lt"")"),"{name} orų radaras")</f>
        <v>{name} orų radaras</v>
      </c>
      <c r="AO120" s="7" t="str">
        <f>IFERROR(__xludf.DUMMYFUNCTION("GoogleTranslate(C120, ""en"", ""mk"")"),"{name} временски радар")</f>
        <v>{name} временски радар</v>
      </c>
      <c r="AP120" s="7" t="str">
        <f>IFERROR(__xludf.DUMMYFUNCTION("GoogleTranslate(C120, ""en"", ""ms"")"),"radar cuaca {name}.")</f>
        <v>radar cuaca {name}.</v>
      </c>
      <c r="AQ120" s="7" t="str">
        <f>IFERROR(__xludf.DUMMYFUNCTION("GoogleTranslate(C120, ""en"", ""ml"")"),"{name} കാലാവസ്ഥ റഡാർ")</f>
        <v>{name} കാലാവസ്ഥ റഡാർ</v>
      </c>
      <c r="AR120" s="7" t="str">
        <f>IFERROR(__xludf.DUMMYFUNCTION("GoogleTranslate(C120, ""en"", ""mr"")"),"{name} हवामान रडार")</f>
        <v>{name} हवामान रडार</v>
      </c>
      <c r="AS120" s="7" t="str">
        <f>IFERROR(__xludf.DUMMYFUNCTION("GoogleTranslate(C120, ""en"", ""mn"")"),"{name} цаг агаарын радар")</f>
        <v>{name} цаг агаарын радар</v>
      </c>
      <c r="AT120" s="7" t="str">
        <f>IFERROR(__xludf.DUMMYFUNCTION("GoogleTranslate(C120, ""en"", ""ne"")"),"{name} मौसम रडार")</f>
        <v>{name} मौसम रडार</v>
      </c>
      <c r="AU120" s="7" t="str">
        <f>IFERROR(__xludf.DUMMYFUNCTION("GoogleTranslate(C120, ""en"", ""nb"")"),"{name} værradar")</f>
        <v>{name} værradar</v>
      </c>
      <c r="AV120" s="7" t="str">
        <f>IFERROR(__xludf.DUMMYFUNCTION("GoogleTranslate(C120, ""en"", ""fa"")"),"رادار هواشناسی {name}")</f>
        <v>رادار هواشناسی {name}</v>
      </c>
      <c r="AW120" s="7" t="str">
        <f>IFERROR(__xludf.DUMMYFUNCTION("GoogleTranslate(C120, ""en"", ""pl"")"),"Radar pogodowy {name}")</f>
        <v>Radar pogodowy {name}</v>
      </c>
      <c r="AX120" s="7" t="str">
        <f>IFERROR(__xludf.DUMMYFUNCTION("GoogleTranslate(C120, ""en"", ""pt"")"),"{nome} radar meteorológico")</f>
        <v>{nome} radar meteorológico</v>
      </c>
      <c r="AY120" s="7" t="str">
        <f>IFERROR(__xludf.DUMMYFUNCTION("GoogleTranslate(C120, ""en"", ""ro"")"),"radar meteo {name}")</f>
        <v>radar meteo {name}</v>
      </c>
      <c r="AZ120" s="7" t="str">
        <f>IFERROR(__xludf.DUMMYFUNCTION("GoogleTranslate(C120, ""en"", ""ru"")"),"{имя} метеорологический радар")</f>
        <v>{имя} метеорологический радар</v>
      </c>
      <c r="BA120" s="7" t="str">
        <f>IFERROR(__xludf.DUMMYFUNCTION("GoogleTranslate(C120, ""en"", ""sr"")"),"{наме} временски радар")</f>
        <v>{наме} временски радар</v>
      </c>
      <c r="BB120" s="7" t="str">
        <f>IFERROR(__xludf.DUMMYFUNCTION("GoogleTranslate(C120, ""en"", ""si"")"),"{name} කාලගුණ රේඩාර්")</f>
        <v>{name} කාලගුණ රේඩාර්</v>
      </c>
      <c r="BC120" s="7" t="str">
        <f>IFERROR(__xludf.DUMMYFUNCTION("GoogleTranslate(C120, ""en"", ""sk"")"),"{name} meteorologický radar")</f>
        <v>{name} meteorologický radar</v>
      </c>
      <c r="BD120" s="7" t="str">
        <f>IFERROR(__xludf.DUMMYFUNCTION("GoogleTranslate(C120, ""en"", ""sl"")"),"{name} vremenski radar")</f>
        <v>{name} vremenski radar</v>
      </c>
      <c r="BE120" s="7" t="str">
        <f>IFERROR(__xludf.DUMMYFUNCTION("GoogleTranslate(C120, ""en"", ""es"")"),"{nombre} radar meteorológico")</f>
        <v>{nombre} radar meteorológico</v>
      </c>
      <c r="BF120" s="7" t="str">
        <f>IFERROR(__xludf.DUMMYFUNCTION("GoogleTranslate(C120, ""en"", ""sw"")"),"{name} rada ya hali ya hewa")</f>
        <v>{name} rada ya hali ya hewa</v>
      </c>
      <c r="BG120" s="7" t="str">
        <f>IFERROR(__xludf.DUMMYFUNCTION("GoogleTranslate(C120, ""en"", ""sv"")"),"{name} väderradar")</f>
        <v>{name} väderradar</v>
      </c>
      <c r="BH120" s="7" t="str">
        <f>IFERROR(__xludf.DUMMYFUNCTION("GoogleTranslate(C120, ""en"", ""te"")"),"{name} వాతావరణ రాడార్")</f>
        <v>{name} వాతావరణ రాడార్</v>
      </c>
      <c r="BI120" s="7" t="str">
        <f>IFERROR(__xludf.DUMMYFUNCTION("GoogleTranslate(C120, ""en"", ""th"")"),"เรดาร์ตรวจอากาศ {name}")</f>
        <v>เรดาร์ตรวจอากาศ {name}</v>
      </c>
      <c r="BJ120" s="7" t="str">
        <f>IFERROR(__xludf.DUMMYFUNCTION("GoogleTranslate(C120, ""en"", ""tr"")"),"{name} hava durumu radarı")</f>
        <v>{name} hava durumu radarı</v>
      </c>
      <c r="BK120" s="7" t="str">
        <f>IFERROR(__xludf.DUMMYFUNCTION("GoogleTranslate(C120, ""en"", ""uk"")"),"метеорологічний радар {name}")</f>
        <v>метеорологічний радар {name}</v>
      </c>
      <c r="BL120" s="7" t="str">
        <f>IFERROR(__xludf.DUMMYFUNCTION("GoogleTranslate(C120, ""en"", ""zu"")"),"{name} irada yesimo sezulu")</f>
        <v>{name} irada yesimo sezulu</v>
      </c>
    </row>
    <row r="121">
      <c r="A121" s="5" t="str">
        <f t="shared" si="1"/>
        <v>Rain</v>
      </c>
      <c r="B121" s="6" t="s">
        <v>177</v>
      </c>
      <c r="C121" s="5" t="str">
        <f t="shared" si="2"/>
        <v>Rain</v>
      </c>
      <c r="D121" s="7" t="str">
        <f>IFERROR(__xludf.DUMMYFUNCTION("GoogleTranslate(C121, ""en"", ""es"")"),"Lluvia")</f>
        <v>Lluvia</v>
      </c>
      <c r="E121" s="7" t="str">
        <f>IFERROR(__xludf.DUMMYFUNCTION("GoogleTranslate(C121, ""en"", ""ar"")"),"مطر")</f>
        <v>مطر</v>
      </c>
      <c r="F121" s="7" t="str">
        <f>IFERROR(__xludf.DUMMYFUNCTION("GoogleTranslate(C121, ""en"", ""hy"")"),"Անձրև")</f>
        <v>Անձրև</v>
      </c>
      <c r="G121" s="7" t="str">
        <f>IFERROR(__xludf.DUMMYFUNCTION("GoogleTranslate(C121, ""en"", ""vi"")"),"Cơn mưa")</f>
        <v>Cơn mưa</v>
      </c>
      <c r="H121" s="7" t="str">
        <f>IFERROR(__xludf.DUMMYFUNCTION("GoogleTranslate(C121, ""en"", ""az"")"),"Yağış")</f>
        <v>Yağış</v>
      </c>
      <c r="I121" s="7" t="str">
        <f>IFERROR(__xludf.DUMMYFUNCTION("GoogleTranslate(C121, ""en"", ""eu"")"),"Euria")</f>
        <v>Euria</v>
      </c>
      <c r="J121" s="7" t="str">
        <f>IFERROR(__xludf.DUMMYFUNCTION("GoogleTranslate(C121, ""en"", ""be"")"),"Дождж")</f>
        <v>Дождж</v>
      </c>
      <c r="K121" s="7" t="str">
        <f>IFERROR(__xludf.DUMMYFUNCTION("GoogleTranslate(C121, ""en"", ""bn"")"),"বৃষ্টি")</f>
        <v>বৃষ্টি</v>
      </c>
      <c r="L121" s="7" t="str">
        <f>IFERROR(__xludf.DUMMYFUNCTION("GoogleTranslate(C121, ""en"", ""bg"")"),"дъжд")</f>
        <v>дъжд</v>
      </c>
      <c r="M121" s="7" t="str">
        <f>IFERROR(__xludf.DUMMYFUNCTION("GoogleTranslate(C121, ""en"", ""my"")"),"မိုး")</f>
        <v>မိုး</v>
      </c>
      <c r="N121" s="7" t="str">
        <f>IFERROR(__xludf.DUMMYFUNCTION("GoogleTranslate(C121, ""en"", ""ca"")"),"Pluja")</f>
        <v>Pluja</v>
      </c>
      <c r="O121" s="7" t="str">
        <f>IFERROR(__xludf.DUMMYFUNCTION("GoogleTranslate(C121, ""en"", ""zh-cn"")"),"雨")</f>
        <v>雨</v>
      </c>
      <c r="P121" s="7" t="str">
        <f>IFERROR(__xludf.DUMMYFUNCTION("GoogleTranslate(C121, ""en"", ""zh-TW"")"),"雨")</f>
        <v>雨</v>
      </c>
      <c r="Q121" s="7" t="str">
        <f>IFERROR(__xludf.DUMMYFUNCTION("GoogleTranslate(C121, ""en"", ""hr"")"),"Kiša")</f>
        <v>Kiša</v>
      </c>
      <c r="R121" s="7" t="str">
        <f>IFERROR(__xludf.DUMMYFUNCTION("GoogleTranslate(C121, ""en"", ""cs"")"),"Déšť")</f>
        <v>Déšť</v>
      </c>
      <c r="S121" s="7" t="str">
        <f>IFERROR(__xludf.DUMMYFUNCTION("GoogleTranslate(C121, ""en"", ""da"")"),"Regn")</f>
        <v>Regn</v>
      </c>
      <c r="T121" s="7" t="str">
        <f>IFERROR(__xludf.DUMMYFUNCTION("GoogleTranslate(C121, ""en"", ""nl"")"),"Regen")</f>
        <v>Regen</v>
      </c>
      <c r="U121" s="7" t="str">
        <f>IFERROR(__xludf.DUMMYFUNCTION("GoogleTranslate(C121, ""en"", ""et"")"),"Vihma")</f>
        <v>Vihma</v>
      </c>
      <c r="V121" s="5" t="str">
        <f t="shared" si="3"/>
        <v>Rain</v>
      </c>
      <c r="W121" s="7" t="str">
        <f>IFERROR(__xludf.DUMMYFUNCTION("GoogleTranslate(C121, ""en"", ""fi"")"),"Sade")</f>
        <v>Sade</v>
      </c>
      <c r="X121" s="7" t="str">
        <f>IFERROR(__xludf.DUMMYFUNCTION("GoogleTranslate(C121, ""en"", ""fr"")"),"Pluie")</f>
        <v>Pluie</v>
      </c>
      <c r="Y121" s="7" t="str">
        <f>IFERROR(__xludf.DUMMYFUNCTION("GoogleTranslate(C121, ""en"", ""de"")"),"Regen")</f>
        <v>Regen</v>
      </c>
      <c r="Z121" s="7" t="str">
        <f>IFERROR(__xludf.DUMMYFUNCTION("GoogleTranslate(C121, ""en"", ""el"")"),"Βροχή")</f>
        <v>Βροχή</v>
      </c>
      <c r="AA121" s="7" t="str">
        <f>IFERROR(__xludf.DUMMYFUNCTION("GoogleTranslate(C121, ""en"", ""iw"")"),"גֶשֶׁם")</f>
        <v>גֶשֶׁם</v>
      </c>
      <c r="AB121" s="7" t="str">
        <f>IFERROR(__xludf.DUMMYFUNCTION("GoogleTranslate(C121, ""en"", ""hi"")"),"बारिश")</f>
        <v>बारिश</v>
      </c>
      <c r="AC121" s="7" t="str">
        <f>IFERROR(__xludf.DUMMYFUNCTION("GoogleTranslate(C121, ""en"", ""hu"")"),"Eső")</f>
        <v>Eső</v>
      </c>
      <c r="AD121" s="7" t="str">
        <f>IFERROR(__xludf.DUMMYFUNCTION("GoogleTranslate(C121, ""en"", ""is"")"),"Rigning")</f>
        <v>Rigning</v>
      </c>
      <c r="AE121" s="7" t="str">
        <f>IFERROR(__xludf.DUMMYFUNCTION("GoogleTranslate(C121, ""en"", ""id"")"),"Hujan")</f>
        <v>Hujan</v>
      </c>
      <c r="AF121" s="7" t="str">
        <f>IFERROR(__xludf.DUMMYFUNCTION("GoogleTranslate(C121, ""en"", ""in"")"),"Hujan")</f>
        <v>Hujan</v>
      </c>
      <c r="AG121" s="7" t="str">
        <f>IFERROR(__xludf.DUMMYFUNCTION("GoogleTranslate(C121, ""en"", ""it"")"),"Piovere")</f>
        <v>Piovere</v>
      </c>
      <c r="AH121" s="7" t="str">
        <f>IFERROR(__xludf.DUMMYFUNCTION("GoogleTranslate(C121, ""en"", ""ja"")"),"雨")</f>
        <v>雨</v>
      </c>
      <c r="AI121" s="7" t="str">
        <f>IFERROR(__xludf.DUMMYFUNCTION("GoogleTranslate(C121, ""en"", ""kn"")"),"ಮಳೆ")</f>
        <v>ಮಳೆ</v>
      </c>
      <c r="AJ121" s="7" t="str">
        <f>IFERROR(__xludf.DUMMYFUNCTION("GoogleTranslate(C121, ""en"", ""km"")"),"ភ្លៀង")</f>
        <v>ភ្លៀង</v>
      </c>
      <c r="AK121" s="7" t="str">
        <f>IFERROR(__xludf.DUMMYFUNCTION("GoogleTranslate(C121, ""en"", ""ko"")"),"비")</f>
        <v>비</v>
      </c>
      <c r="AL121" s="7" t="str">
        <f>IFERROR(__xludf.DUMMYFUNCTION("GoogleTranslate(C121, ""en"", ""lo"")"),"ຝົນ")</f>
        <v>ຝົນ</v>
      </c>
      <c r="AM121" s="7" t="str">
        <f>IFERROR(__xludf.DUMMYFUNCTION("GoogleTranslate(C121, ""en"", ""lv"")"),"Lietus")</f>
        <v>Lietus</v>
      </c>
      <c r="AN121" s="7" t="str">
        <f>IFERROR(__xludf.DUMMYFUNCTION("GoogleTranslate(C121, ""en"", ""lt"")"),"Lietus")</f>
        <v>Lietus</v>
      </c>
      <c r="AO121" s="7" t="str">
        <f>IFERROR(__xludf.DUMMYFUNCTION("GoogleTranslate(C121, ""en"", ""mk"")"),"Дожд")</f>
        <v>Дожд</v>
      </c>
      <c r="AP121" s="7" t="str">
        <f>IFERROR(__xludf.DUMMYFUNCTION("GoogleTranslate(C121, ""en"", ""ms"")"),"hujan")</f>
        <v>hujan</v>
      </c>
      <c r="AQ121" s="7" t="str">
        <f>IFERROR(__xludf.DUMMYFUNCTION("GoogleTranslate(C121, ""en"", ""ml"")"),"മഴ")</f>
        <v>മഴ</v>
      </c>
      <c r="AR121" s="7" t="str">
        <f>IFERROR(__xludf.DUMMYFUNCTION("GoogleTranslate(C121, ""en"", ""mr"")"),"पाऊस")</f>
        <v>पाऊस</v>
      </c>
      <c r="AS121" s="7" t="str">
        <f>IFERROR(__xludf.DUMMYFUNCTION("GoogleTranslate(C121, ""en"", ""mn"")"),"Бороо")</f>
        <v>Бороо</v>
      </c>
      <c r="AT121" s="7" t="str">
        <f>IFERROR(__xludf.DUMMYFUNCTION("GoogleTranslate(C121, ""en"", ""ne"")"),"वर्षा")</f>
        <v>वर्षा</v>
      </c>
      <c r="AU121" s="7" t="str">
        <f>IFERROR(__xludf.DUMMYFUNCTION("GoogleTranslate(C121, ""en"", ""nb"")"),"Regn")</f>
        <v>Regn</v>
      </c>
      <c r="AV121" s="7" t="str">
        <f>IFERROR(__xludf.DUMMYFUNCTION("GoogleTranslate(C121, ""en"", ""fa"")"),"باران")</f>
        <v>باران</v>
      </c>
      <c r="AW121" s="7" t="str">
        <f>IFERROR(__xludf.DUMMYFUNCTION("GoogleTranslate(C121, ""en"", ""pl"")"),"Deszcz")</f>
        <v>Deszcz</v>
      </c>
      <c r="AX121" s="7" t="str">
        <f>IFERROR(__xludf.DUMMYFUNCTION("GoogleTranslate(C121, ""en"", ""pt"")"),"Chuva")</f>
        <v>Chuva</v>
      </c>
      <c r="AY121" s="7" t="str">
        <f>IFERROR(__xludf.DUMMYFUNCTION("GoogleTranslate(C121, ""en"", ""ro"")"),"Ploaie")</f>
        <v>Ploaie</v>
      </c>
      <c r="AZ121" s="7" t="str">
        <f>IFERROR(__xludf.DUMMYFUNCTION("GoogleTranslate(C121, ""en"", ""ru"")"),"Дождь")</f>
        <v>Дождь</v>
      </c>
      <c r="BA121" s="7" t="str">
        <f>IFERROR(__xludf.DUMMYFUNCTION("GoogleTranslate(C121, ""en"", ""sr"")"),"Киша")</f>
        <v>Киша</v>
      </c>
      <c r="BB121" s="7" t="str">
        <f>IFERROR(__xludf.DUMMYFUNCTION("GoogleTranslate(C121, ""en"", ""si"")"),"වැස්ස")</f>
        <v>වැස්ස</v>
      </c>
      <c r="BC121" s="7" t="str">
        <f>IFERROR(__xludf.DUMMYFUNCTION("GoogleTranslate(C121, ""en"", ""sk"")"),"Dážď")</f>
        <v>Dážď</v>
      </c>
      <c r="BD121" s="7" t="str">
        <f>IFERROR(__xludf.DUMMYFUNCTION("GoogleTranslate(C121, ""en"", ""sl"")"),"dež")</f>
        <v>dež</v>
      </c>
      <c r="BE121" s="7" t="str">
        <f>IFERROR(__xludf.DUMMYFUNCTION("GoogleTranslate(C121, ""en"", ""es"")"),"Lluvia")</f>
        <v>Lluvia</v>
      </c>
      <c r="BF121" s="7" t="str">
        <f>IFERROR(__xludf.DUMMYFUNCTION("GoogleTranslate(C121, ""en"", ""sw"")"),"Mvua")</f>
        <v>Mvua</v>
      </c>
      <c r="BG121" s="7" t="str">
        <f>IFERROR(__xludf.DUMMYFUNCTION("GoogleTranslate(C121, ""en"", ""sv"")"),"Regn")</f>
        <v>Regn</v>
      </c>
      <c r="BH121" s="7" t="str">
        <f>IFERROR(__xludf.DUMMYFUNCTION("GoogleTranslate(C121, ""en"", ""te"")"),"వర్షం")</f>
        <v>వర్షం</v>
      </c>
      <c r="BI121" s="7" t="str">
        <f>IFERROR(__xludf.DUMMYFUNCTION("GoogleTranslate(C121, ""en"", ""th"")"),"ฝน")</f>
        <v>ฝน</v>
      </c>
      <c r="BJ121" s="7" t="str">
        <f>IFERROR(__xludf.DUMMYFUNCTION("GoogleTranslate(C121, ""en"", ""tr"")"),"Yağmur")</f>
        <v>Yağmur</v>
      </c>
      <c r="BK121" s="7" t="str">
        <f>IFERROR(__xludf.DUMMYFUNCTION("GoogleTranslate(C121, ""en"", ""uk"")"),"Дощ")</f>
        <v>Дощ</v>
      </c>
      <c r="BL121" s="7" t="str">
        <f>IFERROR(__xludf.DUMMYFUNCTION("GoogleTranslate(C121, ""en"", ""zu"")"),"Imvula")</f>
        <v>Imvula</v>
      </c>
    </row>
    <row r="122">
      <c r="A122" s="5" t="str">
        <f t="shared" si="1"/>
        <v>Cloudy</v>
      </c>
      <c r="B122" s="6" t="s">
        <v>178</v>
      </c>
      <c r="C122" s="5" t="str">
        <f t="shared" si="2"/>
        <v>Cloudy</v>
      </c>
      <c r="D122" s="7" t="str">
        <f>IFERROR(__xludf.DUMMYFUNCTION("GoogleTranslate(C122, ""en"", ""es"")"),"Nublado")</f>
        <v>Nublado</v>
      </c>
      <c r="E122" s="7" t="str">
        <f>IFERROR(__xludf.DUMMYFUNCTION("GoogleTranslate(C122, ""en"", ""ar"")"),"غائم")</f>
        <v>غائم</v>
      </c>
      <c r="F122" s="7" t="str">
        <f>IFERROR(__xludf.DUMMYFUNCTION("GoogleTranslate(C122, ""en"", ""hy"")"),"Ամպամած")</f>
        <v>Ամպամած</v>
      </c>
      <c r="G122" s="7" t="str">
        <f>IFERROR(__xludf.DUMMYFUNCTION("GoogleTranslate(C122, ""en"", ""vi"")"),"Nhiều mây")</f>
        <v>Nhiều mây</v>
      </c>
      <c r="H122" s="7" t="str">
        <f>IFERROR(__xludf.DUMMYFUNCTION("GoogleTranslate(C122, ""en"", ""az"")"),"buludlu")</f>
        <v>buludlu</v>
      </c>
      <c r="I122" s="7" t="str">
        <f>IFERROR(__xludf.DUMMYFUNCTION("GoogleTranslate(C122, ""en"", ""eu"")"),"Hodeitsu")</f>
        <v>Hodeitsu</v>
      </c>
      <c r="J122" s="7" t="str">
        <f>IFERROR(__xludf.DUMMYFUNCTION("GoogleTranslate(C122, ""en"", ""be"")"),"Воблачна")</f>
        <v>Воблачна</v>
      </c>
      <c r="K122" s="7" t="str">
        <f>IFERROR(__xludf.DUMMYFUNCTION("GoogleTranslate(C122, ""en"", ""bn"")"),"মেঘলা")</f>
        <v>মেঘলা</v>
      </c>
      <c r="L122" s="7" t="str">
        <f>IFERROR(__xludf.DUMMYFUNCTION("GoogleTranslate(C122, ""en"", ""bg"")"),"Облачно")</f>
        <v>Облачно</v>
      </c>
      <c r="M122" s="7" t="str">
        <f>IFERROR(__xludf.DUMMYFUNCTION("GoogleTranslate(C122, ""en"", ""my"")"),"တိမ်ထူတယ်။")</f>
        <v>တိမ်ထူတယ်။</v>
      </c>
      <c r="N122" s="7" t="str">
        <f>IFERROR(__xludf.DUMMYFUNCTION("GoogleTranslate(C122, ""en"", ""ca"")"),"Ennuvolat")</f>
        <v>Ennuvolat</v>
      </c>
      <c r="O122" s="7" t="str">
        <f>IFERROR(__xludf.DUMMYFUNCTION("GoogleTranslate(C122, ""en"", ""zh-cn"")"),"多云")</f>
        <v>多云</v>
      </c>
      <c r="P122" s="7" t="str">
        <f>IFERROR(__xludf.DUMMYFUNCTION("GoogleTranslate(C122, ""en"", ""zh-TW"")"),"多雲")</f>
        <v>多雲</v>
      </c>
      <c r="Q122" s="7" t="str">
        <f>IFERROR(__xludf.DUMMYFUNCTION("GoogleTranslate(C122, ""en"", ""hr"")"),"Oblačno")</f>
        <v>Oblačno</v>
      </c>
      <c r="R122" s="7" t="str">
        <f>IFERROR(__xludf.DUMMYFUNCTION("GoogleTranslate(C122, ""en"", ""cs"")"),"Zataženo")</f>
        <v>Zataženo</v>
      </c>
      <c r="S122" s="7" t="str">
        <f>IFERROR(__xludf.DUMMYFUNCTION("GoogleTranslate(C122, ""en"", ""da"")"),"Overskyet")</f>
        <v>Overskyet</v>
      </c>
      <c r="T122" s="7" t="str">
        <f>IFERROR(__xludf.DUMMYFUNCTION("GoogleTranslate(C122, ""en"", ""nl"")"),"Bewolkt")</f>
        <v>Bewolkt</v>
      </c>
      <c r="U122" s="7" t="str">
        <f>IFERROR(__xludf.DUMMYFUNCTION("GoogleTranslate(C122, ""en"", ""et"")"),"Pilves ilm")</f>
        <v>Pilves ilm</v>
      </c>
      <c r="V122" s="5" t="str">
        <f t="shared" si="3"/>
        <v>Cloudy</v>
      </c>
      <c r="W122" s="7" t="str">
        <f>IFERROR(__xludf.DUMMYFUNCTION("GoogleTranslate(C122, ""en"", ""fi"")"),"Pilvinen")</f>
        <v>Pilvinen</v>
      </c>
      <c r="X122" s="7" t="str">
        <f>IFERROR(__xludf.DUMMYFUNCTION("GoogleTranslate(C122, ""en"", ""fr"")"),"Nuageux")</f>
        <v>Nuageux</v>
      </c>
      <c r="Y122" s="7" t="str">
        <f>IFERROR(__xludf.DUMMYFUNCTION("GoogleTranslate(C122, ""en"", ""de"")"),"Wolkig")</f>
        <v>Wolkig</v>
      </c>
      <c r="Z122" s="7" t="str">
        <f>IFERROR(__xludf.DUMMYFUNCTION("GoogleTranslate(C122, ""en"", ""el"")"),"Νεφελώδης")</f>
        <v>Νεφελώδης</v>
      </c>
      <c r="AA122" s="7" t="str">
        <f>IFERROR(__xludf.DUMMYFUNCTION("GoogleTranslate(C122, ""en"", ""iw"")"),"מְעוּנָן")</f>
        <v>מְעוּנָן</v>
      </c>
      <c r="AB122" s="7" t="str">
        <f>IFERROR(__xludf.DUMMYFUNCTION("GoogleTranslate(C122, ""en"", ""hi"")"),"बादलों से घिरा")</f>
        <v>बादलों से घिरा</v>
      </c>
      <c r="AC122" s="7" t="str">
        <f>IFERROR(__xludf.DUMMYFUNCTION("GoogleTranslate(C122, ""en"", ""hu"")"),"Felhős")</f>
        <v>Felhős</v>
      </c>
      <c r="AD122" s="7" t="str">
        <f>IFERROR(__xludf.DUMMYFUNCTION("GoogleTranslate(C122, ""en"", ""is"")"),"Skýjað")</f>
        <v>Skýjað</v>
      </c>
      <c r="AE122" s="7" t="str">
        <f>IFERROR(__xludf.DUMMYFUNCTION("GoogleTranslate(C122, ""en"", ""id"")"),"Berawan")</f>
        <v>Berawan</v>
      </c>
      <c r="AF122" s="7" t="str">
        <f>IFERROR(__xludf.DUMMYFUNCTION("GoogleTranslate(C122, ""en"", ""in"")"),"Berawan")</f>
        <v>Berawan</v>
      </c>
      <c r="AG122" s="7" t="str">
        <f>IFERROR(__xludf.DUMMYFUNCTION("GoogleTranslate(C122, ""en"", ""it"")"),"Nuvoloso")</f>
        <v>Nuvoloso</v>
      </c>
      <c r="AH122" s="7" t="str">
        <f>IFERROR(__xludf.DUMMYFUNCTION("GoogleTranslate(C122, ""en"", ""ja"")"),"曇り")</f>
        <v>曇り</v>
      </c>
      <c r="AI122" s="7" t="str">
        <f>IFERROR(__xludf.DUMMYFUNCTION("GoogleTranslate(C122, ""en"", ""kn"")"),"ಮೋಡ ಕವಿದಿದೆ")</f>
        <v>ಮೋಡ ಕವಿದಿದೆ</v>
      </c>
      <c r="AJ122" s="7" t="str">
        <f>IFERROR(__xludf.DUMMYFUNCTION("GoogleTranslate(C122, ""en"", ""km"")"),"ពពក")</f>
        <v>ពពក</v>
      </c>
      <c r="AK122" s="7" t="str">
        <f>IFERROR(__xludf.DUMMYFUNCTION("GoogleTranslate(C122, ""en"", ""ko"")"),"흐린")</f>
        <v>흐린</v>
      </c>
      <c r="AL122" s="7" t="str">
        <f>IFERROR(__xludf.DUMMYFUNCTION("GoogleTranslate(C122, ""en"", ""lo"")"),"ມີເມກ")</f>
        <v>ມີເມກ</v>
      </c>
      <c r="AM122" s="7" t="str">
        <f>IFERROR(__xludf.DUMMYFUNCTION("GoogleTranslate(C122, ""en"", ""lv"")"),"Mākoņains")</f>
        <v>Mākoņains</v>
      </c>
      <c r="AN122" s="7" t="str">
        <f>IFERROR(__xludf.DUMMYFUNCTION("GoogleTranslate(C122, ""en"", ""lt"")"),"Debesuota")</f>
        <v>Debesuota</v>
      </c>
      <c r="AO122" s="7" t="str">
        <f>IFERROR(__xludf.DUMMYFUNCTION("GoogleTranslate(C122, ""en"", ""mk"")"),"Облачно")</f>
        <v>Облачно</v>
      </c>
      <c r="AP122" s="7" t="str">
        <f>IFERROR(__xludf.DUMMYFUNCTION("GoogleTranslate(C122, ""en"", ""ms"")"),"mendung")</f>
        <v>mendung</v>
      </c>
      <c r="AQ122" s="7" t="str">
        <f>IFERROR(__xludf.DUMMYFUNCTION("GoogleTranslate(C122, ""en"", ""ml"")"),"മേഘാവൃതമായ")</f>
        <v>മേഘാവൃതമായ</v>
      </c>
      <c r="AR122" s="7" t="str">
        <f>IFERROR(__xludf.DUMMYFUNCTION("GoogleTranslate(C122, ""en"", ""mr"")"),"ढगाळ")</f>
        <v>ढगाळ</v>
      </c>
      <c r="AS122" s="7" t="str">
        <f>IFERROR(__xludf.DUMMYFUNCTION("GoogleTranslate(C122, ""en"", ""mn"")"),"Үүлэрхэг")</f>
        <v>Үүлэрхэг</v>
      </c>
      <c r="AT122" s="7" t="str">
        <f>IFERROR(__xludf.DUMMYFUNCTION("GoogleTranslate(C122, ""en"", ""ne"")"),"बादल छ")</f>
        <v>बादल छ</v>
      </c>
      <c r="AU122" s="7" t="str">
        <f>IFERROR(__xludf.DUMMYFUNCTION("GoogleTranslate(C122, ""en"", ""nb"")"),"Skyet")</f>
        <v>Skyet</v>
      </c>
      <c r="AV122" s="7" t="str">
        <f>IFERROR(__xludf.DUMMYFUNCTION("GoogleTranslate(C122, ""en"", ""fa"")"),"ابری")</f>
        <v>ابری</v>
      </c>
      <c r="AW122" s="7" t="str">
        <f>IFERROR(__xludf.DUMMYFUNCTION("GoogleTranslate(C122, ""en"", ""pl"")"),"Mętny")</f>
        <v>Mętny</v>
      </c>
      <c r="AX122" s="7" t="str">
        <f>IFERROR(__xludf.DUMMYFUNCTION("GoogleTranslate(C122, ""en"", ""pt"")"),"Nublado")</f>
        <v>Nublado</v>
      </c>
      <c r="AY122" s="7" t="str">
        <f>IFERROR(__xludf.DUMMYFUNCTION("GoogleTranslate(C122, ""en"", ""ro"")"),"Noros")</f>
        <v>Noros</v>
      </c>
      <c r="AZ122" s="7" t="str">
        <f>IFERROR(__xludf.DUMMYFUNCTION("GoogleTranslate(C122, ""en"", ""ru"")"),"Облачно")</f>
        <v>Облачно</v>
      </c>
      <c r="BA122" s="7" t="str">
        <f>IFERROR(__xludf.DUMMYFUNCTION("GoogleTranslate(C122, ""en"", ""sr"")"),"Облачно")</f>
        <v>Облачно</v>
      </c>
      <c r="BB122" s="7" t="str">
        <f>IFERROR(__xludf.DUMMYFUNCTION("GoogleTranslate(C122, ""en"", ""si"")"),"වළාකුළු පිරි")</f>
        <v>වළාකුළු පිරි</v>
      </c>
      <c r="BC122" s="7" t="str">
        <f>IFERROR(__xludf.DUMMYFUNCTION("GoogleTranslate(C122, ""en"", ""sk"")"),"Zamračené")</f>
        <v>Zamračené</v>
      </c>
      <c r="BD122" s="7" t="str">
        <f>IFERROR(__xludf.DUMMYFUNCTION("GoogleTranslate(C122, ""en"", ""sl"")"),"Oblačno")</f>
        <v>Oblačno</v>
      </c>
      <c r="BE122" s="7" t="str">
        <f>IFERROR(__xludf.DUMMYFUNCTION("GoogleTranslate(C122, ""en"", ""es"")"),"Nublado")</f>
        <v>Nublado</v>
      </c>
      <c r="BF122" s="7" t="str">
        <f>IFERROR(__xludf.DUMMYFUNCTION("GoogleTranslate(C122, ""en"", ""sw"")"),"Mawingu")</f>
        <v>Mawingu</v>
      </c>
      <c r="BG122" s="7" t="str">
        <f>IFERROR(__xludf.DUMMYFUNCTION("GoogleTranslate(C122, ""en"", ""sv"")"),"Molnig")</f>
        <v>Molnig</v>
      </c>
      <c r="BH122" s="7" t="str">
        <f>IFERROR(__xludf.DUMMYFUNCTION("GoogleTranslate(C122, ""en"", ""te"")"),"మేఘావృతం")</f>
        <v>మేఘావృతం</v>
      </c>
      <c r="BI122" s="7" t="str">
        <f>IFERROR(__xludf.DUMMYFUNCTION("GoogleTranslate(C122, ""en"", ""th"")"),"เมฆมาก")</f>
        <v>เมฆมาก</v>
      </c>
      <c r="BJ122" s="7" t="str">
        <f>IFERROR(__xludf.DUMMYFUNCTION("GoogleTranslate(C122, ""en"", ""tr"")"),"Bulutlu")</f>
        <v>Bulutlu</v>
      </c>
      <c r="BK122" s="7" t="str">
        <f>IFERROR(__xludf.DUMMYFUNCTION("GoogleTranslate(C122, ""en"", ""uk"")"),"Хмарно")</f>
        <v>Хмарно</v>
      </c>
      <c r="BL122" s="7" t="str">
        <f>IFERROR(__xludf.DUMMYFUNCTION("GoogleTranslate(C122, ""en"", ""zu"")"),"Liguqubele")</f>
        <v>Liguqubele</v>
      </c>
    </row>
    <row r="123">
      <c r="A123" s="5" t="str">
        <f t="shared" si="1"/>
        <v>Snow</v>
      </c>
      <c r="B123" s="6" t="s">
        <v>179</v>
      </c>
      <c r="C123" s="5" t="str">
        <f t="shared" si="2"/>
        <v>Snow</v>
      </c>
      <c r="D123" s="7" t="str">
        <f>IFERROR(__xludf.DUMMYFUNCTION("GoogleTranslate(C123, ""en"", ""es"")"),"Nieve")</f>
        <v>Nieve</v>
      </c>
      <c r="E123" s="7" t="str">
        <f>IFERROR(__xludf.DUMMYFUNCTION("GoogleTranslate(C123, ""en"", ""ar"")"),"ثلج")</f>
        <v>ثلج</v>
      </c>
      <c r="F123" s="7" t="str">
        <f>IFERROR(__xludf.DUMMYFUNCTION("GoogleTranslate(C123, ""en"", ""hy"")"),"Ձյուն")</f>
        <v>Ձյուն</v>
      </c>
      <c r="G123" s="7" t="str">
        <f>IFERROR(__xludf.DUMMYFUNCTION("GoogleTranslate(C123, ""en"", ""vi"")"),"Tuyết")</f>
        <v>Tuyết</v>
      </c>
      <c r="H123" s="7" t="str">
        <f>IFERROR(__xludf.DUMMYFUNCTION("GoogleTranslate(C123, ""en"", ""az"")"),"qar")</f>
        <v>qar</v>
      </c>
      <c r="I123" s="7" t="str">
        <f>IFERROR(__xludf.DUMMYFUNCTION("GoogleTranslate(C123, ""en"", ""eu"")"),"Elurra")</f>
        <v>Elurra</v>
      </c>
      <c r="J123" s="7" t="str">
        <f>IFERROR(__xludf.DUMMYFUNCTION("GoogleTranslate(C123, ""en"", ""be"")"),"Снег")</f>
        <v>Снег</v>
      </c>
      <c r="K123" s="7" t="str">
        <f>IFERROR(__xludf.DUMMYFUNCTION("GoogleTranslate(C123, ""en"", ""bn"")"),"তুষার")</f>
        <v>তুষার</v>
      </c>
      <c r="L123" s="7" t="str">
        <f>IFERROR(__xludf.DUMMYFUNCTION("GoogleTranslate(C123, ""en"", ""bg"")"),"сняг")</f>
        <v>сняг</v>
      </c>
      <c r="M123" s="7" t="str">
        <f>IFERROR(__xludf.DUMMYFUNCTION("GoogleTranslate(C123, ""en"", ""my"")"),"နှင်း")</f>
        <v>နှင်း</v>
      </c>
      <c r="N123" s="7" t="str">
        <f>IFERROR(__xludf.DUMMYFUNCTION("GoogleTranslate(C123, ""en"", ""ca"")"),"Neu")</f>
        <v>Neu</v>
      </c>
      <c r="O123" s="7" t="str">
        <f>IFERROR(__xludf.DUMMYFUNCTION("GoogleTranslate(C123, ""en"", ""zh-cn"")"),"雪")</f>
        <v>雪</v>
      </c>
      <c r="P123" s="7" t="str">
        <f>IFERROR(__xludf.DUMMYFUNCTION("GoogleTranslate(C123, ""en"", ""zh-TW"")"),"雪")</f>
        <v>雪</v>
      </c>
      <c r="Q123" s="7" t="str">
        <f>IFERROR(__xludf.DUMMYFUNCTION("GoogleTranslate(C123, ""en"", ""hr"")"),"Snijeg")</f>
        <v>Snijeg</v>
      </c>
      <c r="R123" s="7" t="str">
        <f>IFERROR(__xludf.DUMMYFUNCTION("GoogleTranslate(C123, ""en"", ""cs"")"),"Sněžení")</f>
        <v>Sněžení</v>
      </c>
      <c r="S123" s="7" t="str">
        <f>IFERROR(__xludf.DUMMYFUNCTION("GoogleTranslate(C123, ""en"", ""da"")"),"Sne")</f>
        <v>Sne</v>
      </c>
      <c r="T123" s="7" t="str">
        <f>IFERROR(__xludf.DUMMYFUNCTION("GoogleTranslate(C123, ""en"", ""nl"")"),"Sneeuw")</f>
        <v>Sneeuw</v>
      </c>
      <c r="U123" s="7" t="str">
        <f>IFERROR(__xludf.DUMMYFUNCTION("GoogleTranslate(C123, ""en"", ""et"")"),"Lumi")</f>
        <v>Lumi</v>
      </c>
      <c r="V123" s="5" t="str">
        <f t="shared" si="3"/>
        <v>Snow</v>
      </c>
      <c r="W123" s="7" t="str">
        <f>IFERROR(__xludf.DUMMYFUNCTION("GoogleTranslate(C123, ""en"", ""fi"")"),"Lumi")</f>
        <v>Lumi</v>
      </c>
      <c r="X123" s="7" t="str">
        <f>IFERROR(__xludf.DUMMYFUNCTION("GoogleTranslate(C123, ""en"", ""fr"")"),"Neige")</f>
        <v>Neige</v>
      </c>
      <c r="Y123" s="7" t="str">
        <f>IFERROR(__xludf.DUMMYFUNCTION("GoogleTranslate(C123, ""en"", ""de"")"),"Schnee")</f>
        <v>Schnee</v>
      </c>
      <c r="Z123" s="7" t="str">
        <f>IFERROR(__xludf.DUMMYFUNCTION("GoogleTranslate(C123, ""en"", ""el"")"),"Χιόνι")</f>
        <v>Χιόνι</v>
      </c>
      <c r="AA123" s="7" t="str">
        <f>IFERROR(__xludf.DUMMYFUNCTION("GoogleTranslate(C123, ""en"", ""iw"")"),"שֶׁלֶג")</f>
        <v>שֶׁלֶג</v>
      </c>
      <c r="AB123" s="7" t="str">
        <f>IFERROR(__xludf.DUMMYFUNCTION("GoogleTranslate(C123, ""en"", ""hi"")"),"बर्फ")</f>
        <v>बर्फ</v>
      </c>
      <c r="AC123" s="7" t="str">
        <f>IFERROR(__xludf.DUMMYFUNCTION("GoogleTranslate(C123, ""en"", ""hu"")"),"Hó")</f>
        <v>Hó</v>
      </c>
      <c r="AD123" s="7" t="str">
        <f>IFERROR(__xludf.DUMMYFUNCTION("GoogleTranslate(C123, ""en"", ""is"")"),"Snjór")</f>
        <v>Snjór</v>
      </c>
      <c r="AE123" s="7" t="str">
        <f>IFERROR(__xludf.DUMMYFUNCTION("GoogleTranslate(C123, ""en"", ""id"")"),"Salju")</f>
        <v>Salju</v>
      </c>
      <c r="AF123" s="7" t="str">
        <f>IFERROR(__xludf.DUMMYFUNCTION("GoogleTranslate(C123, ""en"", ""in"")"),"Salju")</f>
        <v>Salju</v>
      </c>
      <c r="AG123" s="7" t="str">
        <f>IFERROR(__xludf.DUMMYFUNCTION("GoogleTranslate(C123, ""en"", ""it"")"),"Nevicare")</f>
        <v>Nevicare</v>
      </c>
      <c r="AH123" s="7" t="str">
        <f>IFERROR(__xludf.DUMMYFUNCTION("GoogleTranslate(C123, ""en"", ""ja"")"),"雪")</f>
        <v>雪</v>
      </c>
      <c r="AI123" s="7" t="str">
        <f>IFERROR(__xludf.DUMMYFUNCTION("GoogleTranslate(C123, ""en"", ""kn"")"),"ಹಿಮ")</f>
        <v>ಹಿಮ</v>
      </c>
      <c r="AJ123" s="7" t="str">
        <f>IFERROR(__xludf.DUMMYFUNCTION("GoogleTranslate(C123, ""en"", ""km"")"),"ព្រិល")</f>
        <v>ព្រិល</v>
      </c>
      <c r="AK123" s="7" t="str">
        <f>IFERROR(__xludf.DUMMYFUNCTION("GoogleTranslate(C123, ""en"", ""ko"")"),"눈")</f>
        <v>눈</v>
      </c>
      <c r="AL123" s="7" t="str">
        <f>IFERROR(__xludf.DUMMYFUNCTION("GoogleTranslate(C123, ""en"", ""lo"")"),"ຫິມະ")</f>
        <v>ຫິມະ</v>
      </c>
      <c r="AM123" s="7" t="str">
        <f>IFERROR(__xludf.DUMMYFUNCTION("GoogleTranslate(C123, ""en"", ""lv"")"),"Sniegs")</f>
        <v>Sniegs</v>
      </c>
      <c r="AN123" s="7" t="str">
        <f>IFERROR(__xludf.DUMMYFUNCTION("GoogleTranslate(C123, ""en"", ""lt"")"),"Sniegas")</f>
        <v>Sniegas</v>
      </c>
      <c r="AO123" s="7" t="str">
        <f>IFERROR(__xludf.DUMMYFUNCTION("GoogleTranslate(C123, ""en"", ""mk"")"),"Снег")</f>
        <v>Снег</v>
      </c>
      <c r="AP123" s="7" t="str">
        <f>IFERROR(__xludf.DUMMYFUNCTION("GoogleTranslate(C123, ""en"", ""ms"")"),"salji")</f>
        <v>salji</v>
      </c>
      <c r="AQ123" s="7" t="str">
        <f>IFERROR(__xludf.DUMMYFUNCTION("GoogleTranslate(C123, ""en"", ""ml"")"),"മഞ്ഞ്")</f>
        <v>മഞ്ഞ്</v>
      </c>
      <c r="AR123" s="7" t="str">
        <f>IFERROR(__xludf.DUMMYFUNCTION("GoogleTranslate(C123, ""en"", ""mr"")"),"बर्फ")</f>
        <v>बर्फ</v>
      </c>
      <c r="AS123" s="7" t="str">
        <f>IFERROR(__xludf.DUMMYFUNCTION("GoogleTranslate(C123, ""en"", ""mn"")"),"Цас")</f>
        <v>Цас</v>
      </c>
      <c r="AT123" s="7" t="str">
        <f>IFERROR(__xludf.DUMMYFUNCTION("GoogleTranslate(C123, ""en"", ""ne"")"),"हिउँ")</f>
        <v>हिउँ</v>
      </c>
      <c r="AU123" s="7" t="str">
        <f>IFERROR(__xludf.DUMMYFUNCTION("GoogleTranslate(C123, ""en"", ""nb"")"),"Snø")</f>
        <v>Snø</v>
      </c>
      <c r="AV123" s="7" t="str">
        <f>IFERROR(__xludf.DUMMYFUNCTION("GoogleTranslate(C123, ""en"", ""fa"")"),"برف")</f>
        <v>برف</v>
      </c>
      <c r="AW123" s="7" t="str">
        <f>IFERROR(__xludf.DUMMYFUNCTION("GoogleTranslate(C123, ""en"", ""pl"")"),"Śnieg")</f>
        <v>Śnieg</v>
      </c>
      <c r="AX123" s="7" t="str">
        <f>IFERROR(__xludf.DUMMYFUNCTION("GoogleTranslate(C123, ""en"", ""pt"")"),"Neve")</f>
        <v>Neve</v>
      </c>
      <c r="AY123" s="7" t="str">
        <f>IFERROR(__xludf.DUMMYFUNCTION("GoogleTranslate(C123, ""en"", ""ro"")"),"Zăpadă")</f>
        <v>Zăpadă</v>
      </c>
      <c r="AZ123" s="7" t="str">
        <f>IFERROR(__xludf.DUMMYFUNCTION("GoogleTranslate(C123, ""en"", ""ru"")"),"Снег")</f>
        <v>Снег</v>
      </c>
      <c r="BA123" s="7" t="str">
        <f>IFERROR(__xludf.DUMMYFUNCTION("GoogleTranslate(C123, ""en"", ""sr"")"),"Снег")</f>
        <v>Снег</v>
      </c>
      <c r="BB123" s="7" t="str">
        <f>IFERROR(__xludf.DUMMYFUNCTION("GoogleTranslate(C123, ""en"", ""si"")"),"හිම")</f>
        <v>හිම</v>
      </c>
      <c r="BC123" s="7" t="str">
        <f>IFERROR(__xludf.DUMMYFUNCTION("GoogleTranslate(C123, ""en"", ""sk"")"),"Sneh")</f>
        <v>Sneh</v>
      </c>
      <c r="BD123" s="7" t="str">
        <f>IFERROR(__xludf.DUMMYFUNCTION("GoogleTranslate(C123, ""en"", ""sl"")"),"sneg")</f>
        <v>sneg</v>
      </c>
      <c r="BE123" s="7" t="str">
        <f>IFERROR(__xludf.DUMMYFUNCTION("GoogleTranslate(C123, ""en"", ""es"")"),"Nieve")</f>
        <v>Nieve</v>
      </c>
      <c r="BF123" s="7" t="str">
        <f>IFERROR(__xludf.DUMMYFUNCTION("GoogleTranslate(C123, ""en"", ""sw"")"),"Theluji")</f>
        <v>Theluji</v>
      </c>
      <c r="BG123" s="7" t="str">
        <f>IFERROR(__xludf.DUMMYFUNCTION("GoogleTranslate(C123, ""en"", ""sv"")"),"Snö")</f>
        <v>Snö</v>
      </c>
      <c r="BH123" s="7" t="str">
        <f>IFERROR(__xludf.DUMMYFUNCTION("GoogleTranslate(C123, ""en"", ""te"")"),"మంచు")</f>
        <v>మంచు</v>
      </c>
      <c r="BI123" s="7" t="str">
        <f>IFERROR(__xludf.DUMMYFUNCTION("GoogleTranslate(C123, ""en"", ""th"")"),"หิมะ")</f>
        <v>หิมะ</v>
      </c>
      <c r="BJ123" s="7" t="str">
        <f>IFERROR(__xludf.DUMMYFUNCTION("GoogleTranslate(C123, ""en"", ""tr"")"),"Kar")</f>
        <v>Kar</v>
      </c>
      <c r="BK123" s="7" t="str">
        <f>IFERROR(__xludf.DUMMYFUNCTION("GoogleTranslate(C123, ""en"", ""uk"")"),"сніг")</f>
        <v>сніг</v>
      </c>
      <c r="BL123" s="7" t="str">
        <f>IFERROR(__xludf.DUMMYFUNCTION("GoogleTranslate(C123, ""en"", ""zu"")"),"Isithwathwa")</f>
        <v>Isithwathwa</v>
      </c>
    </row>
    <row r="124">
      <c r="A124" s="5" t="str">
        <f t="shared" si="1"/>
        <v>Speed</v>
      </c>
      <c r="B124" s="6" t="s">
        <v>180</v>
      </c>
      <c r="C124" s="5" t="str">
        <f t="shared" si="2"/>
        <v>Speed</v>
      </c>
      <c r="D124" s="7" t="str">
        <f>IFERROR(__xludf.DUMMYFUNCTION("GoogleTranslate(C124, ""en"", ""es"")"),"Velocidad")</f>
        <v>Velocidad</v>
      </c>
      <c r="E124" s="7" t="str">
        <f>IFERROR(__xludf.DUMMYFUNCTION("GoogleTranslate(C124, ""en"", ""ar"")"),"سرعة")</f>
        <v>سرعة</v>
      </c>
      <c r="F124" s="7" t="str">
        <f>IFERROR(__xludf.DUMMYFUNCTION("GoogleTranslate(C124, ""en"", ""hy"")"),"Արագություն")</f>
        <v>Արագություն</v>
      </c>
      <c r="G124" s="7" t="str">
        <f>IFERROR(__xludf.DUMMYFUNCTION("GoogleTranslate(C124, ""en"", ""vi"")"),"Tốc độ")</f>
        <v>Tốc độ</v>
      </c>
      <c r="H124" s="7" t="str">
        <f>IFERROR(__xludf.DUMMYFUNCTION("GoogleTranslate(C124, ""en"", ""az"")"),"Sürət")</f>
        <v>Sürət</v>
      </c>
      <c r="I124" s="7" t="str">
        <f>IFERROR(__xludf.DUMMYFUNCTION("GoogleTranslate(C124, ""en"", ""eu"")"),"Abiadura")</f>
        <v>Abiadura</v>
      </c>
      <c r="J124" s="7" t="str">
        <f>IFERROR(__xludf.DUMMYFUNCTION("GoogleTranslate(C124, ""en"", ""be"")"),"хуткасць")</f>
        <v>хуткасць</v>
      </c>
      <c r="K124" s="7" t="str">
        <f>IFERROR(__xludf.DUMMYFUNCTION("GoogleTranslate(C124, ""en"", ""bn"")"),"গতি")</f>
        <v>গতি</v>
      </c>
      <c r="L124" s="7" t="str">
        <f>IFERROR(__xludf.DUMMYFUNCTION("GoogleTranslate(C124, ""en"", ""bg"")"),"Скорост")</f>
        <v>Скорост</v>
      </c>
      <c r="M124" s="7" t="str">
        <f>IFERROR(__xludf.DUMMYFUNCTION("GoogleTranslate(C124, ""en"", ""my"")"),"အရှိန်")</f>
        <v>အရှိန်</v>
      </c>
      <c r="N124" s="7" t="str">
        <f>IFERROR(__xludf.DUMMYFUNCTION("GoogleTranslate(C124, ""en"", ""ca"")"),"Velocitat")</f>
        <v>Velocitat</v>
      </c>
      <c r="O124" s="7" t="str">
        <f>IFERROR(__xludf.DUMMYFUNCTION("GoogleTranslate(C124, ""en"", ""zh-cn"")"),"速度")</f>
        <v>速度</v>
      </c>
      <c r="P124" s="7" t="str">
        <f>IFERROR(__xludf.DUMMYFUNCTION("GoogleTranslate(C124, ""en"", ""zh-TW"")"),"速度")</f>
        <v>速度</v>
      </c>
      <c r="Q124" s="7" t="str">
        <f>IFERROR(__xludf.DUMMYFUNCTION("GoogleTranslate(C124, ""en"", ""hr"")"),"Ubrzati")</f>
        <v>Ubrzati</v>
      </c>
      <c r="R124" s="7" t="str">
        <f>IFERROR(__xludf.DUMMYFUNCTION("GoogleTranslate(C124, ""en"", ""cs"")"),"Rychlost")</f>
        <v>Rychlost</v>
      </c>
      <c r="S124" s="7" t="str">
        <f>IFERROR(__xludf.DUMMYFUNCTION("GoogleTranslate(C124, ""en"", ""da"")"),"Hastighed")</f>
        <v>Hastighed</v>
      </c>
      <c r="T124" s="7" t="str">
        <f>IFERROR(__xludf.DUMMYFUNCTION("GoogleTranslate(C124, ""en"", ""nl"")"),"Snelheid")</f>
        <v>Snelheid</v>
      </c>
      <c r="U124" s="7" t="str">
        <f>IFERROR(__xludf.DUMMYFUNCTION("GoogleTranslate(C124, ""en"", ""et"")"),"Kiirus")</f>
        <v>Kiirus</v>
      </c>
      <c r="V124" s="5" t="str">
        <f t="shared" si="3"/>
        <v>Speed</v>
      </c>
      <c r="W124" s="7" t="str">
        <f>IFERROR(__xludf.DUMMYFUNCTION("GoogleTranslate(C124, ""en"", ""fi"")"),"Nopeus")</f>
        <v>Nopeus</v>
      </c>
      <c r="X124" s="7" t="str">
        <f>IFERROR(__xludf.DUMMYFUNCTION("GoogleTranslate(C124, ""en"", ""fr"")"),"Vitesse")</f>
        <v>Vitesse</v>
      </c>
      <c r="Y124" s="7" t="str">
        <f>IFERROR(__xludf.DUMMYFUNCTION("GoogleTranslate(C124, ""en"", ""de"")"),"Geschwindigkeit")</f>
        <v>Geschwindigkeit</v>
      </c>
      <c r="Z124" s="7" t="str">
        <f>IFERROR(__xludf.DUMMYFUNCTION("GoogleTranslate(C124, ""en"", ""el"")"),"Ταχύτητα")</f>
        <v>Ταχύτητα</v>
      </c>
      <c r="AA124" s="7" t="str">
        <f>IFERROR(__xludf.DUMMYFUNCTION("GoogleTranslate(C124, ""en"", ""iw"")"),"מְהִירוּת")</f>
        <v>מְהִירוּת</v>
      </c>
      <c r="AB124" s="7" t="str">
        <f>IFERROR(__xludf.DUMMYFUNCTION("GoogleTranslate(C124, ""en"", ""hi"")"),"रफ़्तार")</f>
        <v>रफ़्तार</v>
      </c>
      <c r="AC124" s="7" t="str">
        <f>IFERROR(__xludf.DUMMYFUNCTION("GoogleTranslate(C124, ""en"", ""hu"")"),"Sebesség")</f>
        <v>Sebesség</v>
      </c>
      <c r="AD124" s="7" t="str">
        <f>IFERROR(__xludf.DUMMYFUNCTION("GoogleTranslate(C124, ""en"", ""is"")"),"Hraði")</f>
        <v>Hraði</v>
      </c>
      <c r="AE124" s="7" t="str">
        <f>IFERROR(__xludf.DUMMYFUNCTION("GoogleTranslate(C124, ""en"", ""id"")"),"Kecepatan")</f>
        <v>Kecepatan</v>
      </c>
      <c r="AF124" s="7" t="str">
        <f>IFERROR(__xludf.DUMMYFUNCTION("GoogleTranslate(C124, ""en"", ""in"")"),"Kecepatan")</f>
        <v>Kecepatan</v>
      </c>
      <c r="AG124" s="7" t="str">
        <f>IFERROR(__xludf.DUMMYFUNCTION("GoogleTranslate(C124, ""en"", ""it"")"),"Velocità")</f>
        <v>Velocità</v>
      </c>
      <c r="AH124" s="7" t="str">
        <f>IFERROR(__xludf.DUMMYFUNCTION("GoogleTranslate(C124, ""en"", ""ja"")"),"スピード")</f>
        <v>スピード</v>
      </c>
      <c r="AI124" s="7" t="str">
        <f>IFERROR(__xludf.DUMMYFUNCTION("GoogleTranslate(C124, ""en"", ""kn"")"),"ವೇಗ")</f>
        <v>ವೇಗ</v>
      </c>
      <c r="AJ124" s="7" t="str">
        <f>IFERROR(__xludf.DUMMYFUNCTION("GoogleTranslate(C124, ""en"", ""km"")"),"ល្បឿន")</f>
        <v>ល្បឿន</v>
      </c>
      <c r="AK124" s="7" t="str">
        <f>IFERROR(__xludf.DUMMYFUNCTION("GoogleTranslate(C124, ""en"", ""ko"")"),"속도")</f>
        <v>속도</v>
      </c>
      <c r="AL124" s="7" t="str">
        <f>IFERROR(__xludf.DUMMYFUNCTION("GoogleTranslate(C124, ""en"", ""lo"")"),"ຄວາມໄວ")</f>
        <v>ຄວາມໄວ</v>
      </c>
      <c r="AM124" s="7" t="str">
        <f>IFERROR(__xludf.DUMMYFUNCTION("GoogleTranslate(C124, ""en"", ""lv"")"),"Ātrums")</f>
        <v>Ātrums</v>
      </c>
      <c r="AN124" s="7" t="str">
        <f>IFERROR(__xludf.DUMMYFUNCTION("GoogleTranslate(C124, ""en"", ""lt"")"),"Greitis")</f>
        <v>Greitis</v>
      </c>
      <c r="AO124" s="7" t="str">
        <f>IFERROR(__xludf.DUMMYFUNCTION("GoogleTranslate(C124, ""en"", ""mk"")"),"Брзина")</f>
        <v>Брзина</v>
      </c>
      <c r="AP124" s="7" t="str">
        <f>IFERROR(__xludf.DUMMYFUNCTION("GoogleTranslate(C124, ""en"", ""ms"")"),"Kelajuan")</f>
        <v>Kelajuan</v>
      </c>
      <c r="AQ124" s="7" t="str">
        <f>IFERROR(__xludf.DUMMYFUNCTION("GoogleTranslate(C124, ""en"", ""ml"")"),"വേഗത")</f>
        <v>വേഗത</v>
      </c>
      <c r="AR124" s="7" t="str">
        <f>IFERROR(__xludf.DUMMYFUNCTION("GoogleTranslate(C124, ""en"", ""mr"")"),"गती")</f>
        <v>गती</v>
      </c>
      <c r="AS124" s="7" t="str">
        <f>IFERROR(__xludf.DUMMYFUNCTION("GoogleTranslate(C124, ""en"", ""mn"")"),"Хурд")</f>
        <v>Хурд</v>
      </c>
      <c r="AT124" s="7" t="str">
        <f>IFERROR(__xludf.DUMMYFUNCTION("GoogleTranslate(C124, ""en"", ""ne"")"),"गति")</f>
        <v>गति</v>
      </c>
      <c r="AU124" s="7" t="str">
        <f>IFERROR(__xludf.DUMMYFUNCTION("GoogleTranslate(C124, ""en"", ""nb"")"),"Fart")</f>
        <v>Fart</v>
      </c>
      <c r="AV124" s="7" t="str">
        <f>IFERROR(__xludf.DUMMYFUNCTION("GoogleTranslate(C124, ""en"", ""fa"")"),"سرعت")</f>
        <v>سرعت</v>
      </c>
      <c r="AW124" s="7" t="str">
        <f>IFERROR(__xludf.DUMMYFUNCTION("GoogleTranslate(C124, ""en"", ""pl"")"),"Prędkość")</f>
        <v>Prędkość</v>
      </c>
      <c r="AX124" s="7" t="str">
        <f>IFERROR(__xludf.DUMMYFUNCTION("GoogleTranslate(C124, ""en"", ""pt"")"),"Velocidade")</f>
        <v>Velocidade</v>
      </c>
      <c r="AY124" s="7" t="str">
        <f>IFERROR(__xludf.DUMMYFUNCTION("GoogleTranslate(C124, ""en"", ""ro"")"),"Viteză")</f>
        <v>Viteză</v>
      </c>
      <c r="AZ124" s="7" t="str">
        <f>IFERROR(__xludf.DUMMYFUNCTION("GoogleTranslate(C124, ""en"", ""ru"")"),"Скорость")</f>
        <v>Скорость</v>
      </c>
      <c r="BA124" s="7" t="str">
        <f>IFERROR(__xludf.DUMMYFUNCTION("GoogleTranslate(C124, ""en"", ""sr"")"),"Брзина")</f>
        <v>Брзина</v>
      </c>
      <c r="BB124" s="7" t="str">
        <f>IFERROR(__xludf.DUMMYFUNCTION("GoogleTranslate(C124, ""en"", ""si"")"),"වේගය")</f>
        <v>වේගය</v>
      </c>
      <c r="BC124" s="7" t="str">
        <f>IFERROR(__xludf.DUMMYFUNCTION("GoogleTranslate(C124, ""en"", ""sk"")"),"Rýchlosť")</f>
        <v>Rýchlosť</v>
      </c>
      <c r="BD124" s="7" t="str">
        <f>IFERROR(__xludf.DUMMYFUNCTION("GoogleTranslate(C124, ""en"", ""sl"")"),"Hitrost")</f>
        <v>Hitrost</v>
      </c>
      <c r="BE124" s="7" t="str">
        <f>IFERROR(__xludf.DUMMYFUNCTION("GoogleTranslate(C124, ""en"", ""es"")"),"Velocidad")</f>
        <v>Velocidad</v>
      </c>
      <c r="BF124" s="7" t="str">
        <f>IFERROR(__xludf.DUMMYFUNCTION("GoogleTranslate(C124, ""en"", ""sw"")"),"Kasi")</f>
        <v>Kasi</v>
      </c>
      <c r="BG124" s="7" t="str">
        <f>IFERROR(__xludf.DUMMYFUNCTION("GoogleTranslate(C124, ""en"", ""sv"")"),"Hastighet")</f>
        <v>Hastighet</v>
      </c>
      <c r="BH124" s="7" t="str">
        <f>IFERROR(__xludf.DUMMYFUNCTION("GoogleTranslate(C124, ""en"", ""te"")"),"వేగం")</f>
        <v>వేగం</v>
      </c>
      <c r="BI124" s="7" t="str">
        <f>IFERROR(__xludf.DUMMYFUNCTION("GoogleTranslate(C124, ""en"", ""th"")"),"ความเร็ว")</f>
        <v>ความเร็ว</v>
      </c>
      <c r="BJ124" s="7" t="str">
        <f>IFERROR(__xludf.DUMMYFUNCTION("GoogleTranslate(C124, ""en"", ""tr"")"),"Hız")</f>
        <v>Hız</v>
      </c>
      <c r="BK124" s="7" t="str">
        <f>IFERROR(__xludf.DUMMYFUNCTION("GoogleTranslate(C124, ""en"", ""uk"")"),"швидкість")</f>
        <v>швидкість</v>
      </c>
      <c r="BL124" s="7" t="str">
        <f>IFERROR(__xludf.DUMMYFUNCTION("GoogleTranslate(C124, ""en"", ""zu"")"),"Isivinini")</f>
        <v>Isivinini</v>
      </c>
    </row>
    <row r="125">
      <c r="A125" s="5" t="str">
        <f t="shared" si="1"/>
        <v>Good</v>
      </c>
      <c r="B125" s="6" t="s">
        <v>181</v>
      </c>
      <c r="C125" s="5" t="str">
        <f t="shared" si="2"/>
        <v>Good</v>
      </c>
      <c r="D125" s="7" t="str">
        <f>IFERROR(__xludf.DUMMYFUNCTION("GoogleTranslate(C125, ""en"", ""es"")"),"Bien")</f>
        <v>Bien</v>
      </c>
      <c r="E125" s="7" t="str">
        <f>IFERROR(__xludf.DUMMYFUNCTION("GoogleTranslate(C125, ""en"", ""ar"")"),"جيد")</f>
        <v>جيد</v>
      </c>
      <c r="F125" s="7" t="str">
        <f>IFERROR(__xludf.DUMMYFUNCTION("GoogleTranslate(C125, ""en"", ""hy"")"),"Լավ")</f>
        <v>Լավ</v>
      </c>
      <c r="G125" s="7" t="str">
        <f>IFERROR(__xludf.DUMMYFUNCTION("GoogleTranslate(C125, ""en"", ""vi"")"),"Tốt")</f>
        <v>Tốt</v>
      </c>
      <c r="H125" s="7" t="str">
        <f>IFERROR(__xludf.DUMMYFUNCTION("GoogleTranslate(C125, ""en"", ""az"")"),"Yaxşı")</f>
        <v>Yaxşı</v>
      </c>
      <c r="I125" s="7" t="str">
        <f>IFERROR(__xludf.DUMMYFUNCTION("GoogleTranslate(C125, ""en"", ""eu"")"),"Ona")</f>
        <v>Ona</v>
      </c>
      <c r="J125" s="7" t="str">
        <f>IFERROR(__xludf.DUMMYFUNCTION("GoogleTranslate(C125, ""en"", ""be"")"),"Добра")</f>
        <v>Добра</v>
      </c>
      <c r="K125" s="7" t="str">
        <f>IFERROR(__xludf.DUMMYFUNCTION("GoogleTranslate(C125, ""en"", ""bn"")"),"ভাল")</f>
        <v>ভাল</v>
      </c>
      <c r="L125" s="7" t="str">
        <f>IFERROR(__xludf.DUMMYFUNCTION("GoogleTranslate(C125, ""en"", ""bg"")"),"добре")</f>
        <v>добре</v>
      </c>
      <c r="M125" s="7" t="str">
        <f>IFERROR(__xludf.DUMMYFUNCTION("GoogleTranslate(C125, ""en"", ""my"")"),"ကောင်းတယ်။")</f>
        <v>ကောင်းတယ်။</v>
      </c>
      <c r="N125" s="7" t="str">
        <f>IFERROR(__xludf.DUMMYFUNCTION("GoogleTranslate(C125, ""en"", ""ca"")"),"Bé")</f>
        <v>Bé</v>
      </c>
      <c r="O125" s="7" t="str">
        <f>IFERROR(__xludf.DUMMYFUNCTION("GoogleTranslate(C125, ""en"", ""zh-cn"")"),"好的")</f>
        <v>好的</v>
      </c>
      <c r="P125" s="7" t="str">
        <f>IFERROR(__xludf.DUMMYFUNCTION("GoogleTranslate(C125, ""en"", ""zh-TW"")"),"好的")</f>
        <v>好的</v>
      </c>
      <c r="Q125" s="7" t="str">
        <f>IFERROR(__xludf.DUMMYFUNCTION("GoogleTranslate(C125, ""en"", ""hr"")"),"Dobro")</f>
        <v>Dobro</v>
      </c>
      <c r="R125" s="7" t="str">
        <f>IFERROR(__xludf.DUMMYFUNCTION("GoogleTranslate(C125, ""en"", ""cs"")"),"Dobrý")</f>
        <v>Dobrý</v>
      </c>
      <c r="S125" s="7" t="str">
        <f>IFERROR(__xludf.DUMMYFUNCTION("GoogleTranslate(C125, ""en"", ""da"")"),"God")</f>
        <v>God</v>
      </c>
      <c r="T125" s="7" t="str">
        <f>IFERROR(__xludf.DUMMYFUNCTION("GoogleTranslate(C125, ""en"", ""nl"")"),"Goed")</f>
        <v>Goed</v>
      </c>
      <c r="U125" s="7" t="str">
        <f>IFERROR(__xludf.DUMMYFUNCTION("GoogleTranslate(C125, ""en"", ""et"")"),"Hea")</f>
        <v>Hea</v>
      </c>
      <c r="V125" s="5" t="str">
        <f t="shared" si="3"/>
        <v>Good</v>
      </c>
      <c r="W125" s="7" t="str">
        <f>IFERROR(__xludf.DUMMYFUNCTION("GoogleTranslate(C125, ""en"", ""fi"")"),"Hyvä")</f>
        <v>Hyvä</v>
      </c>
      <c r="X125" s="7" t="str">
        <f>IFERROR(__xludf.DUMMYFUNCTION("GoogleTranslate(C125, ""en"", ""fr"")"),"Bien")</f>
        <v>Bien</v>
      </c>
      <c r="Y125" s="7" t="str">
        <f>IFERROR(__xludf.DUMMYFUNCTION("GoogleTranslate(C125, ""en"", ""de"")"),"Gut")</f>
        <v>Gut</v>
      </c>
      <c r="Z125" s="7" t="str">
        <f>IFERROR(__xludf.DUMMYFUNCTION("GoogleTranslate(C125, ""en"", ""el"")"),"Καλός")</f>
        <v>Καλός</v>
      </c>
      <c r="AA125" s="7" t="str">
        <f>IFERROR(__xludf.DUMMYFUNCTION("GoogleTranslate(C125, ""en"", ""iw"")"),"טוֹב")</f>
        <v>טוֹב</v>
      </c>
      <c r="AB125" s="7" t="str">
        <f>IFERROR(__xludf.DUMMYFUNCTION("GoogleTranslate(C125, ""en"", ""hi"")"),"अच्छा")</f>
        <v>अच्छा</v>
      </c>
      <c r="AC125" s="7" t="str">
        <f>IFERROR(__xludf.DUMMYFUNCTION("GoogleTranslate(C125, ""en"", ""hu"")"),"Jó")</f>
        <v>Jó</v>
      </c>
      <c r="AD125" s="7" t="str">
        <f>IFERROR(__xludf.DUMMYFUNCTION("GoogleTranslate(C125, ""en"", ""is"")"),"Gott")</f>
        <v>Gott</v>
      </c>
      <c r="AE125" s="7" t="str">
        <f>IFERROR(__xludf.DUMMYFUNCTION("GoogleTranslate(C125, ""en"", ""id"")"),"Bagus")</f>
        <v>Bagus</v>
      </c>
      <c r="AF125" s="7" t="str">
        <f>IFERROR(__xludf.DUMMYFUNCTION("GoogleTranslate(C125, ""en"", ""in"")"),"Bagus")</f>
        <v>Bagus</v>
      </c>
      <c r="AG125" s="7" t="str">
        <f>IFERROR(__xludf.DUMMYFUNCTION("GoogleTranslate(C125, ""en"", ""it"")"),"Bene")</f>
        <v>Bene</v>
      </c>
      <c r="AH125" s="7" t="str">
        <f>IFERROR(__xludf.DUMMYFUNCTION("GoogleTranslate(C125, ""en"", ""ja"")"),"良い")</f>
        <v>良い</v>
      </c>
      <c r="AI125" s="7" t="str">
        <f>IFERROR(__xludf.DUMMYFUNCTION("GoogleTranslate(C125, ""en"", ""kn"")"),"ಒಳ್ಳೆಯದು")</f>
        <v>ಒಳ್ಳೆಯದು</v>
      </c>
      <c r="AJ125" s="7" t="str">
        <f>IFERROR(__xludf.DUMMYFUNCTION("GoogleTranslate(C125, ""en"", ""km"")"),"ល្អ")</f>
        <v>ល្អ</v>
      </c>
      <c r="AK125" s="7" t="str">
        <f>IFERROR(__xludf.DUMMYFUNCTION("GoogleTranslate(C125, ""en"", ""ko"")"),"좋은")</f>
        <v>좋은</v>
      </c>
      <c r="AL125" s="7" t="str">
        <f>IFERROR(__xludf.DUMMYFUNCTION("GoogleTranslate(C125, ""en"", ""lo"")"),"ດີ")</f>
        <v>ດີ</v>
      </c>
      <c r="AM125" s="7" t="str">
        <f>IFERROR(__xludf.DUMMYFUNCTION("GoogleTranslate(C125, ""en"", ""lv"")"),"Labi")</f>
        <v>Labi</v>
      </c>
      <c r="AN125" s="7" t="str">
        <f>IFERROR(__xludf.DUMMYFUNCTION("GoogleTranslate(C125, ""en"", ""lt"")"),"Geras")</f>
        <v>Geras</v>
      </c>
      <c r="AO125" s="7" t="str">
        <f>IFERROR(__xludf.DUMMYFUNCTION("GoogleTranslate(C125, ""en"", ""mk"")"),"Добро")</f>
        <v>Добро</v>
      </c>
      <c r="AP125" s="7" t="str">
        <f>IFERROR(__xludf.DUMMYFUNCTION("GoogleTranslate(C125, ""en"", ""ms"")"),"bagus")</f>
        <v>bagus</v>
      </c>
      <c r="AQ125" s="7" t="str">
        <f>IFERROR(__xludf.DUMMYFUNCTION("GoogleTranslate(C125, ""en"", ""ml"")"),"നല്ലത്")</f>
        <v>നല്ലത്</v>
      </c>
      <c r="AR125" s="7" t="str">
        <f>IFERROR(__xludf.DUMMYFUNCTION("GoogleTranslate(C125, ""en"", ""mr"")"),"चांगले")</f>
        <v>चांगले</v>
      </c>
      <c r="AS125" s="7" t="str">
        <f>IFERROR(__xludf.DUMMYFUNCTION("GoogleTranslate(C125, ""en"", ""mn"")"),"Сайн байна")</f>
        <v>Сайн байна</v>
      </c>
      <c r="AT125" s="7" t="str">
        <f>IFERROR(__xludf.DUMMYFUNCTION("GoogleTranslate(C125, ""en"", ""ne"")"),"राम्रो")</f>
        <v>राम्रो</v>
      </c>
      <c r="AU125" s="7" t="str">
        <f>IFERROR(__xludf.DUMMYFUNCTION("GoogleTranslate(C125, ""en"", ""nb"")"),"God")</f>
        <v>God</v>
      </c>
      <c r="AV125" s="7" t="str">
        <f>IFERROR(__xludf.DUMMYFUNCTION("GoogleTranslate(C125, ""en"", ""fa"")"),"خوب")</f>
        <v>خوب</v>
      </c>
      <c r="AW125" s="7" t="str">
        <f>IFERROR(__xludf.DUMMYFUNCTION("GoogleTranslate(C125, ""en"", ""pl"")"),"Dobry")</f>
        <v>Dobry</v>
      </c>
      <c r="AX125" s="7" t="str">
        <f>IFERROR(__xludf.DUMMYFUNCTION("GoogleTranslate(C125, ""en"", ""pt"")"),"Bom")</f>
        <v>Bom</v>
      </c>
      <c r="AY125" s="7" t="str">
        <f>IFERROR(__xludf.DUMMYFUNCTION("GoogleTranslate(C125, ""en"", ""ro"")"),"Bun")</f>
        <v>Bun</v>
      </c>
      <c r="AZ125" s="7" t="str">
        <f>IFERROR(__xludf.DUMMYFUNCTION("GoogleTranslate(C125, ""en"", ""ru"")"),"Хороший")</f>
        <v>Хороший</v>
      </c>
      <c r="BA125" s="7" t="str">
        <f>IFERROR(__xludf.DUMMYFUNCTION("GoogleTranslate(C125, ""en"", ""sr"")"),"Добро")</f>
        <v>Добро</v>
      </c>
      <c r="BB125" s="7" t="str">
        <f>IFERROR(__xludf.DUMMYFUNCTION("GoogleTranslate(C125, ""en"", ""si"")"),"හොඳයි")</f>
        <v>හොඳයි</v>
      </c>
      <c r="BC125" s="7" t="str">
        <f>IFERROR(__xludf.DUMMYFUNCTION("GoogleTranslate(C125, ""en"", ""sk"")"),"Dobre")</f>
        <v>Dobre</v>
      </c>
      <c r="BD125" s="7" t="str">
        <f>IFERROR(__xludf.DUMMYFUNCTION("GoogleTranslate(C125, ""en"", ""sl"")"),"Dobro")</f>
        <v>Dobro</v>
      </c>
      <c r="BE125" s="7" t="str">
        <f>IFERROR(__xludf.DUMMYFUNCTION("GoogleTranslate(C125, ""en"", ""es"")"),"Bien")</f>
        <v>Bien</v>
      </c>
      <c r="BF125" s="7" t="str">
        <f>IFERROR(__xludf.DUMMYFUNCTION("GoogleTranslate(C125, ""en"", ""sw"")"),"Nzuri")</f>
        <v>Nzuri</v>
      </c>
      <c r="BG125" s="7" t="str">
        <f>IFERROR(__xludf.DUMMYFUNCTION("GoogleTranslate(C125, ""en"", ""sv"")"),"Bra")</f>
        <v>Bra</v>
      </c>
      <c r="BH125" s="7" t="str">
        <f>IFERROR(__xludf.DUMMYFUNCTION("GoogleTranslate(C125, ""en"", ""te"")"),"బాగుంది")</f>
        <v>బాగుంది</v>
      </c>
      <c r="BI125" s="7" t="str">
        <f>IFERROR(__xludf.DUMMYFUNCTION("GoogleTranslate(C125, ""en"", ""th"")"),"ดี")</f>
        <v>ดี</v>
      </c>
      <c r="BJ125" s="7" t="str">
        <f>IFERROR(__xludf.DUMMYFUNCTION("GoogleTranslate(C125, ""en"", ""tr"")"),"İyi")</f>
        <v>İyi</v>
      </c>
      <c r="BK125" s="7" t="str">
        <f>IFERROR(__xludf.DUMMYFUNCTION("GoogleTranslate(C125, ""en"", ""uk"")"),"добре")</f>
        <v>добре</v>
      </c>
      <c r="BL125" s="7" t="str">
        <f>IFERROR(__xludf.DUMMYFUNCTION("GoogleTranslate(C125, ""en"", ""zu"")"),"Kuhle")</f>
        <v>Kuhle</v>
      </c>
    </row>
    <row r="126">
      <c r="A126" s="5" t="str">
        <f t="shared" si="1"/>
        <v>Moderate</v>
      </c>
      <c r="B126" s="6" t="s">
        <v>182</v>
      </c>
      <c r="C126" s="5" t="str">
        <f t="shared" si="2"/>
        <v>Moderate</v>
      </c>
      <c r="D126" s="7" t="str">
        <f>IFERROR(__xludf.DUMMYFUNCTION("GoogleTranslate(C126, ""en"", ""es"")"),"Moderado")</f>
        <v>Moderado</v>
      </c>
      <c r="E126" s="7" t="str">
        <f>IFERROR(__xludf.DUMMYFUNCTION("GoogleTranslate(C126, ""en"", ""ar"")"),"معتدل")</f>
        <v>معتدل</v>
      </c>
      <c r="F126" s="7" t="str">
        <f>IFERROR(__xludf.DUMMYFUNCTION("GoogleTranslate(C126, ""en"", ""hy"")"),"Չափավոր")</f>
        <v>Չափավոր</v>
      </c>
      <c r="G126" s="7" t="str">
        <f>IFERROR(__xludf.DUMMYFUNCTION("GoogleTranslate(C126, ""en"", ""vi"")"),"Vừa phải")</f>
        <v>Vừa phải</v>
      </c>
      <c r="H126" s="7" t="str">
        <f>IFERROR(__xludf.DUMMYFUNCTION("GoogleTranslate(C126, ""en"", ""az"")"),"Orta")</f>
        <v>Orta</v>
      </c>
      <c r="I126" s="7" t="str">
        <f>IFERROR(__xludf.DUMMYFUNCTION("GoogleTranslate(C126, ""en"", ""eu"")"),"Moderatua")</f>
        <v>Moderatua</v>
      </c>
      <c r="J126" s="7" t="str">
        <f>IFERROR(__xludf.DUMMYFUNCTION("GoogleTranslate(C126, ""en"", ""be"")"),"Умераны")</f>
        <v>Умераны</v>
      </c>
      <c r="K126" s="7" t="str">
        <f>IFERROR(__xludf.DUMMYFUNCTION("GoogleTranslate(C126, ""en"", ""bn"")"),"পরিমিত")</f>
        <v>পরিমিত</v>
      </c>
      <c r="L126" s="7" t="str">
        <f>IFERROR(__xludf.DUMMYFUNCTION("GoogleTranslate(C126, ""en"", ""bg"")"),"Умерен")</f>
        <v>Умерен</v>
      </c>
      <c r="M126" s="7" t="str">
        <f>IFERROR(__xludf.DUMMYFUNCTION("GoogleTranslate(C126, ""en"", ""my"")"),"တော်ရုံတန်ရုံ")</f>
        <v>တော်ရုံတန်ရုံ</v>
      </c>
      <c r="N126" s="7" t="str">
        <f>IFERROR(__xludf.DUMMYFUNCTION("GoogleTranslate(C126, ""en"", ""ca"")"),"Moderat")</f>
        <v>Moderat</v>
      </c>
      <c r="O126" s="7" t="str">
        <f>IFERROR(__xludf.DUMMYFUNCTION("GoogleTranslate(C126, ""en"", ""zh-cn"")"),"缓和")</f>
        <v>缓和</v>
      </c>
      <c r="P126" s="7" t="str">
        <f>IFERROR(__xludf.DUMMYFUNCTION("GoogleTranslate(C126, ""en"", ""zh-TW"")"),"緩和")</f>
        <v>緩和</v>
      </c>
      <c r="Q126" s="7" t="str">
        <f>IFERROR(__xludf.DUMMYFUNCTION("GoogleTranslate(C126, ""en"", ""hr"")"),"Umjereno")</f>
        <v>Umjereno</v>
      </c>
      <c r="R126" s="7" t="str">
        <f>IFERROR(__xludf.DUMMYFUNCTION("GoogleTranslate(C126, ""en"", ""cs"")"),"Mírný")</f>
        <v>Mírný</v>
      </c>
      <c r="S126" s="7" t="str">
        <f>IFERROR(__xludf.DUMMYFUNCTION("GoogleTranslate(C126, ""en"", ""da"")"),"Moderat")</f>
        <v>Moderat</v>
      </c>
      <c r="T126" s="7" t="str">
        <f>IFERROR(__xludf.DUMMYFUNCTION("GoogleTranslate(C126, ""en"", ""nl"")"),"Gematigd")</f>
        <v>Gematigd</v>
      </c>
      <c r="U126" s="7" t="str">
        <f>IFERROR(__xludf.DUMMYFUNCTION("GoogleTranslate(C126, ""en"", ""et"")"),"Mõõdukas")</f>
        <v>Mõõdukas</v>
      </c>
      <c r="V126" s="5" t="str">
        <f t="shared" si="3"/>
        <v>Moderate</v>
      </c>
      <c r="W126" s="7" t="str">
        <f>IFERROR(__xludf.DUMMYFUNCTION("GoogleTranslate(C126, ""en"", ""fi"")"),"Kohtalainen")</f>
        <v>Kohtalainen</v>
      </c>
      <c r="X126" s="7" t="str">
        <f>IFERROR(__xludf.DUMMYFUNCTION("GoogleTranslate(C126, ""en"", ""fr"")"),"Modéré")</f>
        <v>Modéré</v>
      </c>
      <c r="Y126" s="7" t="str">
        <f>IFERROR(__xludf.DUMMYFUNCTION("GoogleTranslate(C126, ""en"", ""de"")"),"Mäßig")</f>
        <v>Mäßig</v>
      </c>
      <c r="Z126" s="7" t="str">
        <f>IFERROR(__xludf.DUMMYFUNCTION("GoogleTranslate(C126, ""en"", ""el"")"),"Μέτριος")</f>
        <v>Μέτριος</v>
      </c>
      <c r="AA126" s="7" t="str">
        <f>IFERROR(__xludf.DUMMYFUNCTION("GoogleTranslate(C126, ""en"", ""iw"")"),"לְמַתֵן")</f>
        <v>לְמַתֵן</v>
      </c>
      <c r="AB126" s="7" t="str">
        <f>IFERROR(__xludf.DUMMYFUNCTION("GoogleTranslate(C126, ""en"", ""hi"")"),"मध्यम")</f>
        <v>मध्यम</v>
      </c>
      <c r="AC126" s="7" t="str">
        <f>IFERROR(__xludf.DUMMYFUNCTION("GoogleTranslate(C126, ""en"", ""hu"")"),"Mérsékelt")</f>
        <v>Mérsékelt</v>
      </c>
      <c r="AD126" s="7" t="str">
        <f>IFERROR(__xludf.DUMMYFUNCTION("GoogleTranslate(C126, ""en"", ""is"")"),"Í meðallagi")</f>
        <v>Í meðallagi</v>
      </c>
      <c r="AE126" s="7" t="str">
        <f>IFERROR(__xludf.DUMMYFUNCTION("GoogleTranslate(C126, ""en"", ""id"")"),"Sedang")</f>
        <v>Sedang</v>
      </c>
      <c r="AF126" s="7" t="str">
        <f>IFERROR(__xludf.DUMMYFUNCTION("GoogleTranslate(C126, ""en"", ""in"")"),"Sedang")</f>
        <v>Sedang</v>
      </c>
      <c r="AG126" s="7" t="str">
        <f>IFERROR(__xludf.DUMMYFUNCTION("GoogleTranslate(C126, ""en"", ""it"")"),"Moderare")</f>
        <v>Moderare</v>
      </c>
      <c r="AH126" s="7" t="str">
        <f>IFERROR(__xludf.DUMMYFUNCTION("GoogleTranslate(C126, ""en"", ""ja"")"),"適度")</f>
        <v>適度</v>
      </c>
      <c r="AI126" s="7" t="str">
        <f>IFERROR(__xludf.DUMMYFUNCTION("GoogleTranslate(C126, ""en"", ""kn"")"),"ಮಧ್ಯಮ")</f>
        <v>ಮಧ್ಯಮ</v>
      </c>
      <c r="AJ126" s="7" t="str">
        <f>IFERROR(__xludf.DUMMYFUNCTION("GoogleTranslate(C126, ""en"", ""km"")"),"មធ្យម")</f>
        <v>មធ្យម</v>
      </c>
      <c r="AK126" s="7" t="str">
        <f>IFERROR(__xludf.DUMMYFUNCTION("GoogleTranslate(C126, ""en"", ""ko"")"),"보통의")</f>
        <v>보통의</v>
      </c>
      <c r="AL126" s="7" t="str">
        <f>IFERROR(__xludf.DUMMYFUNCTION("GoogleTranslate(C126, ""en"", ""lo"")"),"ປານກາງ")</f>
        <v>ປານກາງ</v>
      </c>
      <c r="AM126" s="7" t="str">
        <f>IFERROR(__xludf.DUMMYFUNCTION("GoogleTranslate(C126, ""en"", ""lv"")"),"Mērens")</f>
        <v>Mērens</v>
      </c>
      <c r="AN126" s="7" t="str">
        <f>IFERROR(__xludf.DUMMYFUNCTION("GoogleTranslate(C126, ""en"", ""lt"")"),"Vidutinis")</f>
        <v>Vidutinis</v>
      </c>
      <c r="AO126" s="7" t="str">
        <f>IFERROR(__xludf.DUMMYFUNCTION("GoogleTranslate(C126, ""en"", ""mk"")"),"Умерено")</f>
        <v>Умерено</v>
      </c>
      <c r="AP126" s="7" t="str">
        <f>IFERROR(__xludf.DUMMYFUNCTION("GoogleTranslate(C126, ""en"", ""ms"")"),"Sederhana")</f>
        <v>Sederhana</v>
      </c>
      <c r="AQ126" s="7" t="str">
        <f>IFERROR(__xludf.DUMMYFUNCTION("GoogleTranslate(C126, ""en"", ""ml"")"),"മിതത്വം")</f>
        <v>മിതത്വം</v>
      </c>
      <c r="AR126" s="7" t="str">
        <f>IFERROR(__xludf.DUMMYFUNCTION("GoogleTranslate(C126, ""en"", ""mr"")"),"मध्यम")</f>
        <v>मध्यम</v>
      </c>
      <c r="AS126" s="7" t="str">
        <f>IFERROR(__xludf.DUMMYFUNCTION("GoogleTranslate(C126, ""en"", ""mn"")"),"Дунд зэрэг")</f>
        <v>Дунд зэрэг</v>
      </c>
      <c r="AT126" s="7" t="str">
        <f>IFERROR(__xludf.DUMMYFUNCTION("GoogleTranslate(C126, ""en"", ""ne"")"),"मध्यम")</f>
        <v>मध्यम</v>
      </c>
      <c r="AU126" s="7" t="str">
        <f>IFERROR(__xludf.DUMMYFUNCTION("GoogleTranslate(C126, ""en"", ""nb"")"),"Moderat")</f>
        <v>Moderat</v>
      </c>
      <c r="AV126" s="7" t="str">
        <f>IFERROR(__xludf.DUMMYFUNCTION("GoogleTranslate(C126, ""en"", ""fa"")"),"متوسط")</f>
        <v>متوسط</v>
      </c>
      <c r="AW126" s="7" t="str">
        <f>IFERROR(__xludf.DUMMYFUNCTION("GoogleTranslate(C126, ""en"", ""pl"")"),"Umiarkowany")</f>
        <v>Umiarkowany</v>
      </c>
      <c r="AX126" s="7" t="str">
        <f>IFERROR(__xludf.DUMMYFUNCTION("GoogleTranslate(C126, ""en"", ""pt"")"),"Moderado")</f>
        <v>Moderado</v>
      </c>
      <c r="AY126" s="7" t="str">
        <f>IFERROR(__xludf.DUMMYFUNCTION("GoogleTranslate(C126, ""en"", ""ro"")"),"Moderat")</f>
        <v>Moderat</v>
      </c>
      <c r="AZ126" s="7" t="str">
        <f>IFERROR(__xludf.DUMMYFUNCTION("GoogleTranslate(C126, ""en"", ""ru"")"),"Умеренный")</f>
        <v>Умеренный</v>
      </c>
      <c r="BA126" s="7" t="str">
        <f>IFERROR(__xludf.DUMMYFUNCTION("GoogleTranslate(C126, ""en"", ""sr"")"),"Умерено")</f>
        <v>Умерено</v>
      </c>
      <c r="BB126" s="7" t="str">
        <f>IFERROR(__xludf.DUMMYFUNCTION("GoogleTranslate(C126, ""en"", ""si"")"),"මධ්යස්ථ")</f>
        <v>මධ්යස්ථ</v>
      </c>
      <c r="BC126" s="7" t="str">
        <f>IFERROR(__xludf.DUMMYFUNCTION("GoogleTranslate(C126, ""en"", ""sk"")"),"Mierne")</f>
        <v>Mierne</v>
      </c>
      <c r="BD126" s="7" t="str">
        <f>IFERROR(__xludf.DUMMYFUNCTION("GoogleTranslate(C126, ""en"", ""sl"")"),"Zmerno")</f>
        <v>Zmerno</v>
      </c>
      <c r="BE126" s="7" t="str">
        <f>IFERROR(__xludf.DUMMYFUNCTION("GoogleTranslate(C126, ""en"", ""es"")"),"Moderado")</f>
        <v>Moderado</v>
      </c>
      <c r="BF126" s="7" t="str">
        <f>IFERROR(__xludf.DUMMYFUNCTION("GoogleTranslate(C126, ""en"", ""sw"")"),"Wastani")</f>
        <v>Wastani</v>
      </c>
      <c r="BG126" s="7" t="str">
        <f>IFERROR(__xludf.DUMMYFUNCTION("GoogleTranslate(C126, ""en"", ""sv"")"),"Måttlig")</f>
        <v>Måttlig</v>
      </c>
      <c r="BH126" s="7" t="str">
        <f>IFERROR(__xludf.DUMMYFUNCTION("GoogleTranslate(C126, ""en"", ""te"")"),"మితమైన")</f>
        <v>మితమైన</v>
      </c>
      <c r="BI126" s="7" t="str">
        <f>IFERROR(__xludf.DUMMYFUNCTION("GoogleTranslate(C126, ""en"", ""th"")"),"ปานกลาง")</f>
        <v>ปานกลาง</v>
      </c>
      <c r="BJ126" s="7" t="str">
        <f>IFERROR(__xludf.DUMMYFUNCTION("GoogleTranslate(C126, ""en"", ""tr"")"),"Ilıman")</f>
        <v>Ilıman</v>
      </c>
      <c r="BK126" s="7" t="str">
        <f>IFERROR(__xludf.DUMMYFUNCTION("GoogleTranslate(C126, ""en"", ""uk"")"),"Помірний")</f>
        <v>Помірний</v>
      </c>
      <c r="BL126" s="7" t="str">
        <f>IFERROR(__xludf.DUMMYFUNCTION("GoogleTranslate(C126, ""en"", ""zu"")"),"Kuphakathi")</f>
        <v>Kuphakathi</v>
      </c>
    </row>
    <row r="127">
      <c r="A127" s="5" t="str">
        <f t="shared" si="1"/>
        <v>Unhealthy_for_Sensitive_Groups</v>
      </c>
      <c r="B127" s="6" t="s">
        <v>183</v>
      </c>
      <c r="C127" s="5" t="str">
        <f t="shared" si="2"/>
        <v>Unhealthy for Sensitive Groups</v>
      </c>
      <c r="D127" s="7" t="str">
        <f>IFERROR(__xludf.DUMMYFUNCTION("GoogleTranslate(C127, ""en"", ""es"")"),"No saludable para grupos sensibles")</f>
        <v>No saludable para grupos sensibles</v>
      </c>
      <c r="E127" s="7" t="str">
        <f>IFERROR(__xludf.DUMMYFUNCTION("GoogleTranslate(C127, ""en"", ""ar"")"),"غير صحي للمجموعات الحساسة")</f>
        <v>غير صحي للمجموعات الحساسة</v>
      </c>
      <c r="F127" s="7" t="str">
        <f>IFERROR(__xludf.DUMMYFUNCTION("GoogleTranslate(C127, ""en"", ""hy"")"),"Անառողջ զգայուն խմբերի համար")</f>
        <v>Անառողջ զգայուն խմբերի համար</v>
      </c>
      <c r="G127" s="7" t="str">
        <f>IFERROR(__xludf.DUMMYFUNCTION("GoogleTranslate(C127, ""en"", ""vi"")"),"Không lành mạnh cho các nhóm nhạy cảm")</f>
        <v>Không lành mạnh cho các nhóm nhạy cảm</v>
      </c>
      <c r="H127" s="7" t="str">
        <f>IFERROR(__xludf.DUMMYFUNCTION("GoogleTranslate(C127, ""en"", ""az"")"),"Həssas Qruplar üçün Sağlam deyil")</f>
        <v>Həssas Qruplar üçün Sağlam deyil</v>
      </c>
      <c r="I127" s="7" t="str">
        <f>IFERROR(__xludf.DUMMYFUNCTION("GoogleTranslate(C127, ""en"", ""eu"")"),"Osasungaitza talde sentikorrentzat")</f>
        <v>Osasungaitza talde sentikorrentzat</v>
      </c>
      <c r="J127" s="7" t="str">
        <f>IFERROR(__xludf.DUMMYFUNCTION("GoogleTranslate(C127, ""en"", ""be"")"),"Нездарова для адчувальных груп")</f>
        <v>Нездарова для адчувальных груп</v>
      </c>
      <c r="K127" s="7" t="str">
        <f>IFERROR(__xludf.DUMMYFUNCTION("GoogleTranslate(C127, ""en"", ""bn"")"),"সংবেদনশীল গোষ্ঠীর জন্য অস্বাস্থ্যকর")</f>
        <v>সংবেদনশীল গোষ্ঠীর জন্য অস্বাস্থ্যকর</v>
      </c>
      <c r="L127" s="7" t="str">
        <f>IFERROR(__xludf.DUMMYFUNCTION("GoogleTranslate(C127, ""en"", ""bg"")"),"Нездравословно за чувствителни групи")</f>
        <v>Нездравословно за чувствителни групи</v>
      </c>
      <c r="M127" s="7" t="str">
        <f>IFERROR(__xludf.DUMMYFUNCTION("GoogleTranslate(C127, ""en"", ""my"")"),"Sensitive အဖွဲ့များအတွက် ကျန်းမာရေးနှင့် မညီညွတ်ပါ။")</f>
        <v>Sensitive အဖွဲ့များအတွက် ကျန်းမာရေးနှင့် မညီညွတ်ပါ။</v>
      </c>
      <c r="N127" s="7" t="str">
        <f>IFERROR(__xludf.DUMMYFUNCTION("GoogleTranslate(C127, ""en"", ""ca"")"),"Poc saludable per a grups sensibles")</f>
        <v>Poc saludable per a grups sensibles</v>
      </c>
      <c r="O127" s="7" t="str">
        <f>IFERROR(__xludf.DUMMYFUNCTION("GoogleTranslate(C127, ""en"", ""zh-cn"")"),"对敏感群体不健康")</f>
        <v>对敏感群体不健康</v>
      </c>
      <c r="P127" s="7" t="str">
        <f>IFERROR(__xludf.DUMMYFUNCTION("GoogleTranslate(C127, ""en"", ""zh-TW"")"),"對敏感群體不健康")</f>
        <v>對敏感群體不健康</v>
      </c>
      <c r="Q127" s="7" t="str">
        <f>IFERROR(__xludf.DUMMYFUNCTION("GoogleTranslate(C127, ""en"", ""hr"")"),"Nezdravo za osjetljive skupine")</f>
        <v>Nezdravo za osjetljive skupine</v>
      </c>
      <c r="R127" s="7" t="str">
        <f>IFERROR(__xludf.DUMMYFUNCTION("GoogleTranslate(C127, ""en"", ""cs"")"),"Nezdravé pro citlivé skupiny")</f>
        <v>Nezdravé pro citlivé skupiny</v>
      </c>
      <c r="S127" s="7" t="str">
        <f>IFERROR(__xludf.DUMMYFUNCTION("GoogleTranslate(C127, ""en"", ""da"")"),"Usundt for følsomme grupper")</f>
        <v>Usundt for følsomme grupper</v>
      </c>
      <c r="T127" s="7" t="str">
        <f>IFERROR(__xludf.DUMMYFUNCTION("GoogleTranslate(C127, ""en"", ""nl"")"),"Ongezond voor gevoelige groepen")</f>
        <v>Ongezond voor gevoelige groepen</v>
      </c>
      <c r="U127" s="7" t="str">
        <f>IFERROR(__xludf.DUMMYFUNCTION("GoogleTranslate(C127, ""en"", ""et"")"),"Ebatervislik tundlikele rühmadele")</f>
        <v>Ebatervislik tundlikele rühmadele</v>
      </c>
      <c r="V127" s="5" t="str">
        <f t="shared" si="3"/>
        <v>Unhealthy for Sensitive Groups</v>
      </c>
      <c r="W127" s="7" t="str">
        <f>IFERROR(__xludf.DUMMYFUNCTION("GoogleTranslate(C127, ""en"", ""fi"")"),"Epäterveellistä herkille ryhmille")</f>
        <v>Epäterveellistä herkille ryhmille</v>
      </c>
      <c r="X127" s="7" t="str">
        <f>IFERROR(__xludf.DUMMYFUNCTION("GoogleTranslate(C127, ""en"", ""fr"")"),"Malsain pour les groupes sensibles")</f>
        <v>Malsain pour les groupes sensibles</v>
      </c>
      <c r="Y127" s="7" t="str">
        <f>IFERROR(__xludf.DUMMYFUNCTION("GoogleTranslate(C127, ""en"", ""de"")"),"Ungesund für sensible Gruppen")</f>
        <v>Ungesund für sensible Gruppen</v>
      </c>
      <c r="Z127" s="7" t="str">
        <f>IFERROR(__xludf.DUMMYFUNCTION("GoogleTranslate(C127, ""en"", ""el"")"),"Ανθυγιεινό για ευαίσθητες ομάδες")</f>
        <v>Ανθυγιεινό για ευαίσθητες ομάδες</v>
      </c>
      <c r="AA127" s="7" t="str">
        <f>IFERROR(__xludf.DUMMYFUNCTION("GoogleTranslate(C127, ""en"", ""iw"")"),"לא בריא לקבוצות רגישות")</f>
        <v>לא בריא לקבוצות רגישות</v>
      </c>
      <c r="AB127" s="7" t="str">
        <f>IFERROR(__xludf.DUMMYFUNCTION("GoogleTranslate(C127, ""en"", ""hi"")"),"संवेदनशील समूहों के लिए अस्वास्थ्यकर")</f>
        <v>संवेदनशील समूहों के लिए अस्वास्थ्यकर</v>
      </c>
      <c r="AC127" s="7" t="str">
        <f>IFERROR(__xludf.DUMMYFUNCTION("GoogleTranslate(C127, ""en"", ""hu"")"),"Egészségtelen érzékeny csoportok számára")</f>
        <v>Egészségtelen érzékeny csoportok számára</v>
      </c>
      <c r="AD127" s="7" t="str">
        <f>IFERROR(__xludf.DUMMYFUNCTION("GoogleTranslate(C127, ""en"", ""is"")"),"Óhollt fyrir viðkvæma hópa")</f>
        <v>Óhollt fyrir viðkvæma hópa</v>
      </c>
      <c r="AE127" s="7" t="str">
        <f>IFERROR(__xludf.DUMMYFUNCTION("GoogleTranslate(C127, ""en"", ""id"")"),"Tidak Sehat untuk Kelompok Sensitif")</f>
        <v>Tidak Sehat untuk Kelompok Sensitif</v>
      </c>
      <c r="AF127" s="7" t="str">
        <f>IFERROR(__xludf.DUMMYFUNCTION("GoogleTranslate(C127, ""en"", ""in"")"),"Tidak Sehat untuk Kelompok Sensitif")</f>
        <v>Tidak Sehat untuk Kelompok Sensitif</v>
      </c>
      <c r="AG127" s="7" t="str">
        <f>IFERROR(__xludf.DUMMYFUNCTION("GoogleTranslate(C127, ""en"", ""it"")"),"Malsano per i gruppi sensibili")</f>
        <v>Malsano per i gruppi sensibili</v>
      </c>
      <c r="AH127" s="7" t="str">
        <f>IFERROR(__xludf.DUMMYFUNCTION("GoogleTranslate(C127, ""en"", ""ja"")"),"敏感なグループにとっては不健康")</f>
        <v>敏感なグループにとっては不健康</v>
      </c>
      <c r="AI127" s="7" t="str">
        <f>IFERROR(__xludf.DUMMYFUNCTION("GoogleTranslate(C127, ""en"", ""kn"")"),"ಸೂಕ್ಷ್ಮ ಗುಂಪುಗಳಿಗೆ ಅನಾರೋಗ್ಯಕರ")</f>
        <v>ಸೂಕ್ಷ್ಮ ಗುಂಪುಗಳಿಗೆ ಅನಾರೋಗ್ಯಕರ</v>
      </c>
      <c r="AJ127" s="7" t="str">
        <f>IFERROR(__xludf.DUMMYFUNCTION("GoogleTranslate(C127, ""en"", ""km"")"),"មិនល្អសម្រាប់ក្រុមដែលងាយរងគ្រោះ")</f>
        <v>មិនល្អសម្រាប់ក្រុមដែលងាយរងគ្រោះ</v>
      </c>
      <c r="AK127" s="7" t="str">
        <f>IFERROR(__xludf.DUMMYFUNCTION("GoogleTranslate(C127, ""en"", ""ko"")"),"민감한 그룹에게 건강에 해로움")</f>
        <v>민감한 그룹에게 건강에 해로움</v>
      </c>
      <c r="AL127" s="7" t="str">
        <f>IFERROR(__xludf.DUMMYFUNCTION("GoogleTranslate(C127, ""en"", ""lo"")"),"ບໍ່ດີຕໍ່ກຸ່ມທີ່ລະອຽດອ່ອນ")</f>
        <v>ບໍ່ດີຕໍ່ກຸ່ມທີ່ລະອຽດອ່ອນ</v>
      </c>
      <c r="AM127" s="7" t="str">
        <f>IFERROR(__xludf.DUMMYFUNCTION("GoogleTranslate(C127, ""en"", ""lv"")"),"Neveselīgs jutīgām grupām")</f>
        <v>Neveselīgs jutīgām grupām</v>
      </c>
      <c r="AN127" s="7" t="str">
        <f>IFERROR(__xludf.DUMMYFUNCTION("GoogleTranslate(C127, ""en"", ""lt"")"),"Nesveika jautrioms grupėms")</f>
        <v>Nesveika jautrioms grupėms</v>
      </c>
      <c r="AO127" s="7" t="str">
        <f>IFERROR(__xludf.DUMMYFUNCTION("GoogleTranslate(C127, ""en"", ""mk"")"),"Нездраво за чувствителни групи")</f>
        <v>Нездраво за чувствителни групи</v>
      </c>
      <c r="AP127" s="7" t="str">
        <f>IFERROR(__xludf.DUMMYFUNCTION("GoogleTranslate(C127, ""en"", ""ms"")"),"Tidak sihat untuk Kumpulan Sensitif")</f>
        <v>Tidak sihat untuk Kumpulan Sensitif</v>
      </c>
      <c r="AQ127" s="7" t="str">
        <f>IFERROR(__xludf.DUMMYFUNCTION("GoogleTranslate(C127, ""en"", ""ml"")"),"സെൻസിറ്റീവ് ഗ്രൂപ്പുകൾക്ക് അനാരോഗ്യം")</f>
        <v>സെൻസിറ്റീവ് ഗ്രൂപ്പുകൾക്ക് അനാരോഗ്യം</v>
      </c>
      <c r="AR127" s="7" t="str">
        <f>IFERROR(__xludf.DUMMYFUNCTION("GoogleTranslate(C127, ""en"", ""mr"")"),"संवेदनशील गटांसाठी अस्वास्थ्यकर")</f>
        <v>संवेदनशील गटांसाठी अस्वास्थ्यकर</v>
      </c>
      <c r="AS127" s="7" t="str">
        <f>IFERROR(__xludf.DUMMYFUNCTION("GoogleTranslate(C127, ""en"", ""mn"")"),"Мэдрэмтгий бүлгүүдэд тохиромжгүй")</f>
        <v>Мэдрэмтгий бүлгүүдэд тохиромжгүй</v>
      </c>
      <c r="AT127" s="7" t="str">
        <f>IFERROR(__xludf.DUMMYFUNCTION("GoogleTranslate(C127, ""en"", ""ne"")"),"संवेदनशील समूहहरूको लागि अस्वस्थ")</f>
        <v>संवेदनशील समूहहरूको लागि अस्वस्थ</v>
      </c>
      <c r="AU127" s="7" t="str">
        <f>IFERROR(__xludf.DUMMYFUNCTION("GoogleTranslate(C127, ""en"", ""nb"")"),"Usunt for sensitive grupper")</f>
        <v>Usunt for sensitive grupper</v>
      </c>
      <c r="AV127" s="7" t="str">
        <f>IFERROR(__xludf.DUMMYFUNCTION("GoogleTranslate(C127, ""en"", ""fa"")"),"ناسالم برای گروه های حساس")</f>
        <v>ناسالم برای گروه های حساس</v>
      </c>
      <c r="AW127" s="7" t="str">
        <f>IFERROR(__xludf.DUMMYFUNCTION("GoogleTranslate(C127, ""en"", ""pl"")"),"Niezdrowe dla grup wrażliwych")</f>
        <v>Niezdrowe dla grup wrażliwych</v>
      </c>
      <c r="AX127" s="7" t="str">
        <f>IFERROR(__xludf.DUMMYFUNCTION("GoogleTranslate(C127, ""en"", ""pt"")"),"Não saudável para grupos sensíveis")</f>
        <v>Não saudável para grupos sensíveis</v>
      </c>
      <c r="AY127" s="7" t="str">
        <f>IFERROR(__xludf.DUMMYFUNCTION("GoogleTranslate(C127, ""en"", ""ro"")"),"Nesănătos pentru grupurile sensibile")</f>
        <v>Nesănătos pentru grupurile sensibile</v>
      </c>
      <c r="AZ127" s="7" t="str">
        <f>IFERROR(__xludf.DUMMYFUNCTION("GoogleTranslate(C127, ""en"", ""ru"")"),"Вредно для чувствительных групп")</f>
        <v>Вредно для чувствительных групп</v>
      </c>
      <c r="BA127" s="7" t="str">
        <f>IFERROR(__xludf.DUMMYFUNCTION("GoogleTranslate(C127, ""en"", ""sr"")"),"Нездраво за осетљиве групе")</f>
        <v>Нездраво за осетљиве групе</v>
      </c>
      <c r="BB127" s="7" t="str">
        <f>IFERROR(__xludf.DUMMYFUNCTION("GoogleTranslate(C127, ""en"", ""si"")"),"සංවේදී කණ්ඩායම් සඳහා සෞඛ්‍යයට අහිතකරයි")</f>
        <v>සංවේදී කණ්ඩායම් සඳහා සෞඛ්‍යයට අහිතකරයි</v>
      </c>
      <c r="BC127" s="7" t="str">
        <f>IFERROR(__xludf.DUMMYFUNCTION("GoogleTranslate(C127, ""en"", ""sk"")"),"Nezdravé pre citlivé skupiny")</f>
        <v>Nezdravé pre citlivé skupiny</v>
      </c>
      <c r="BD127" s="7" t="str">
        <f>IFERROR(__xludf.DUMMYFUNCTION("GoogleTranslate(C127, ""en"", ""sl"")"),"Nezdravo za občutljive skupine")</f>
        <v>Nezdravo za občutljive skupine</v>
      </c>
      <c r="BE127" s="7" t="str">
        <f>IFERROR(__xludf.DUMMYFUNCTION("GoogleTranslate(C127, ""en"", ""es"")"),"No saludable para grupos sensibles")</f>
        <v>No saludable para grupos sensibles</v>
      </c>
      <c r="BF127" s="7" t="str">
        <f>IFERROR(__xludf.DUMMYFUNCTION("GoogleTranslate(C127, ""en"", ""sw"")"),"Haifai kwa Vikundi Nyeti")</f>
        <v>Haifai kwa Vikundi Nyeti</v>
      </c>
      <c r="BG127" s="7" t="str">
        <f>IFERROR(__xludf.DUMMYFUNCTION("GoogleTranslate(C127, ""en"", ""sv"")"),"Ohälsosamt för känsliga grupper")</f>
        <v>Ohälsosamt för känsliga grupper</v>
      </c>
      <c r="BH127" s="7" t="str">
        <f>IFERROR(__xludf.DUMMYFUNCTION("GoogleTranslate(C127, ""en"", ""te"")"),"సున్నితమైన సమూహాలకు అనారోగ్యకరం")</f>
        <v>సున్నితమైన సమూహాలకు అనారోగ్యకరం</v>
      </c>
      <c r="BI127" s="7" t="str">
        <f>IFERROR(__xludf.DUMMYFUNCTION("GoogleTranslate(C127, ""en"", ""th"")"),"ไม่ดีต่อสุขภาพสำหรับกลุ่มที่ละเอียดอ่อน")</f>
        <v>ไม่ดีต่อสุขภาพสำหรับกลุ่มที่ละเอียดอ่อน</v>
      </c>
      <c r="BJ127" s="7" t="str">
        <f>IFERROR(__xludf.DUMMYFUNCTION("GoogleTranslate(C127, ""en"", ""tr"")"),"Hassas Gruplar için Sağlıksız")</f>
        <v>Hassas Gruplar için Sağlıksız</v>
      </c>
      <c r="BK127" s="7" t="str">
        <f>IFERROR(__xludf.DUMMYFUNCTION("GoogleTranslate(C127, ""en"", ""uk"")"),"Нездоровий для чутливих груп")</f>
        <v>Нездоровий для чутливих груп</v>
      </c>
      <c r="BL127" s="7" t="str">
        <f>IFERROR(__xludf.DUMMYFUNCTION("GoogleTranslate(C127, ""en"", ""zu"")"),"Akulungile Emaqenjini Azwelayo")</f>
        <v>Akulungile Emaqenjini Azwelayo</v>
      </c>
    </row>
    <row r="128">
      <c r="A128" s="5" t="str">
        <f t="shared" si="1"/>
        <v>Unhealthy</v>
      </c>
      <c r="B128" s="6" t="s">
        <v>184</v>
      </c>
      <c r="C128" s="5" t="str">
        <f t="shared" si="2"/>
        <v>Unhealthy</v>
      </c>
      <c r="D128" s="7" t="str">
        <f>IFERROR(__xludf.DUMMYFUNCTION("GoogleTranslate(C128, ""en"", ""es"")"),"Malsano")</f>
        <v>Malsano</v>
      </c>
      <c r="E128" s="7" t="str">
        <f>IFERROR(__xludf.DUMMYFUNCTION("GoogleTranslate(C128, ""en"", ""ar"")"),"غير صحي")</f>
        <v>غير صحي</v>
      </c>
      <c r="F128" s="7" t="str">
        <f>IFERROR(__xludf.DUMMYFUNCTION("GoogleTranslate(C128, ""en"", ""hy"")"),"Անառողջ")</f>
        <v>Անառողջ</v>
      </c>
      <c r="G128" s="7" t="str">
        <f>IFERROR(__xludf.DUMMYFUNCTION("GoogleTranslate(C128, ""en"", ""vi"")"),"Không tốt cho sức khỏe")</f>
        <v>Không tốt cho sức khỏe</v>
      </c>
      <c r="H128" s="7" t="str">
        <f>IFERROR(__xludf.DUMMYFUNCTION("GoogleTranslate(C128, ""en"", ""az"")"),"Sağlam olmayan")</f>
        <v>Sağlam olmayan</v>
      </c>
      <c r="I128" s="7" t="str">
        <f>IFERROR(__xludf.DUMMYFUNCTION("GoogleTranslate(C128, ""en"", ""eu"")"),"Osasungaitza")</f>
        <v>Osasungaitza</v>
      </c>
      <c r="J128" s="7" t="str">
        <f>IFERROR(__xludf.DUMMYFUNCTION("GoogleTranslate(C128, ""en"", ""be"")"),"Нездаровае")</f>
        <v>Нездаровае</v>
      </c>
      <c r="K128" s="7" t="str">
        <f>IFERROR(__xludf.DUMMYFUNCTION("GoogleTranslate(C128, ""en"", ""bn"")"),"অস্বাস্থ্যকর")</f>
        <v>অস্বাস্থ্যকর</v>
      </c>
      <c r="L128" s="7" t="str">
        <f>IFERROR(__xludf.DUMMYFUNCTION("GoogleTranslate(C128, ""en"", ""bg"")"),"Нездравословно")</f>
        <v>Нездравословно</v>
      </c>
      <c r="M128" s="7" t="str">
        <f>IFERROR(__xludf.DUMMYFUNCTION("GoogleTranslate(C128, ""en"", ""my"")"),"ကျန်းမာရေးနဲ့ မညီညွတ်ဘူး။")</f>
        <v>ကျန်းမာရေးနဲ့ မညီညွတ်ဘူး။</v>
      </c>
      <c r="N128" s="7" t="str">
        <f>IFERROR(__xludf.DUMMYFUNCTION("GoogleTranslate(C128, ""en"", ""ca"")"),"Poc saludable")</f>
        <v>Poc saludable</v>
      </c>
      <c r="O128" s="7" t="str">
        <f>IFERROR(__xludf.DUMMYFUNCTION("GoogleTranslate(C128, ""en"", ""zh-cn"")"),"不良")</f>
        <v>不良</v>
      </c>
      <c r="P128" s="7" t="str">
        <f>IFERROR(__xludf.DUMMYFUNCTION("GoogleTranslate(C128, ""en"", ""zh-TW"")"),"不良")</f>
        <v>不良</v>
      </c>
      <c r="Q128" s="7" t="str">
        <f>IFERROR(__xludf.DUMMYFUNCTION("GoogleTranslate(C128, ""en"", ""hr"")"),"Nezdravo")</f>
        <v>Nezdravo</v>
      </c>
      <c r="R128" s="7" t="str">
        <f>IFERROR(__xludf.DUMMYFUNCTION("GoogleTranslate(C128, ""en"", ""cs"")"),"Nezdravý")</f>
        <v>Nezdravý</v>
      </c>
      <c r="S128" s="7" t="str">
        <f>IFERROR(__xludf.DUMMYFUNCTION("GoogleTranslate(C128, ""en"", ""da"")"),"Usund")</f>
        <v>Usund</v>
      </c>
      <c r="T128" s="7" t="str">
        <f>IFERROR(__xludf.DUMMYFUNCTION("GoogleTranslate(C128, ""en"", ""nl"")"),"Ongezond")</f>
        <v>Ongezond</v>
      </c>
      <c r="U128" s="7" t="str">
        <f>IFERROR(__xludf.DUMMYFUNCTION("GoogleTranslate(C128, ""en"", ""et"")"),"Ebatervislik")</f>
        <v>Ebatervislik</v>
      </c>
      <c r="V128" s="5" t="str">
        <f t="shared" si="3"/>
        <v>Unhealthy</v>
      </c>
      <c r="W128" s="7" t="str">
        <f>IFERROR(__xludf.DUMMYFUNCTION("GoogleTranslate(C128, ""en"", ""fi"")"),"Epäterveellistä")</f>
        <v>Epäterveellistä</v>
      </c>
      <c r="X128" s="7" t="str">
        <f>IFERROR(__xludf.DUMMYFUNCTION("GoogleTranslate(C128, ""en"", ""fr"")"),"Malsain")</f>
        <v>Malsain</v>
      </c>
      <c r="Y128" s="7" t="str">
        <f>IFERROR(__xludf.DUMMYFUNCTION("GoogleTranslate(C128, ""en"", ""de"")"),"Ungesund")</f>
        <v>Ungesund</v>
      </c>
      <c r="Z128" s="7" t="str">
        <f>IFERROR(__xludf.DUMMYFUNCTION("GoogleTranslate(C128, ""en"", ""el"")"),"Ανθυγιεινός")</f>
        <v>Ανθυγιεινός</v>
      </c>
      <c r="AA128" s="7" t="str">
        <f>IFERROR(__xludf.DUMMYFUNCTION("GoogleTranslate(C128, ""en"", ""iw"")"),"חוֹלָנִי")</f>
        <v>חוֹלָנִי</v>
      </c>
      <c r="AB128" s="7" t="str">
        <f>IFERROR(__xludf.DUMMYFUNCTION("GoogleTranslate(C128, ""en"", ""hi"")"),"बीमार")</f>
        <v>बीमार</v>
      </c>
      <c r="AC128" s="7" t="str">
        <f>IFERROR(__xludf.DUMMYFUNCTION("GoogleTranslate(C128, ""en"", ""hu"")"),"Egészségtelen")</f>
        <v>Egészségtelen</v>
      </c>
      <c r="AD128" s="7" t="str">
        <f>IFERROR(__xludf.DUMMYFUNCTION("GoogleTranslate(C128, ""en"", ""is"")"),"Óhollt")</f>
        <v>Óhollt</v>
      </c>
      <c r="AE128" s="7" t="str">
        <f>IFERROR(__xludf.DUMMYFUNCTION("GoogleTranslate(C128, ""en"", ""id"")"),"Tidak sehat")</f>
        <v>Tidak sehat</v>
      </c>
      <c r="AF128" s="7" t="str">
        <f>IFERROR(__xludf.DUMMYFUNCTION("GoogleTranslate(C128, ""en"", ""in"")"),"Tidak sehat")</f>
        <v>Tidak sehat</v>
      </c>
      <c r="AG128" s="7" t="str">
        <f>IFERROR(__xludf.DUMMYFUNCTION("GoogleTranslate(C128, ""en"", ""it"")"),"Malsano")</f>
        <v>Malsano</v>
      </c>
      <c r="AH128" s="7" t="str">
        <f>IFERROR(__xludf.DUMMYFUNCTION("GoogleTranslate(C128, ""en"", ""ja"")"),"不健康")</f>
        <v>不健康</v>
      </c>
      <c r="AI128" s="7" t="str">
        <f>IFERROR(__xludf.DUMMYFUNCTION("GoogleTranslate(C128, ""en"", ""kn"")"),"ಅನಾರೋಗ್ಯಕರ")</f>
        <v>ಅನಾರೋಗ್ಯಕರ</v>
      </c>
      <c r="AJ128" s="7" t="str">
        <f>IFERROR(__xludf.DUMMYFUNCTION("GoogleTranslate(C128, ""en"", ""km"")"),"មិនមានសុខភាពល្អ")</f>
        <v>មិនមានសុខភាពល្អ</v>
      </c>
      <c r="AK128" s="7" t="str">
        <f>IFERROR(__xludf.DUMMYFUNCTION("GoogleTranslate(C128, ""en"", ""ko"")"),"위험한")</f>
        <v>위험한</v>
      </c>
      <c r="AL128" s="7" t="str">
        <f>IFERROR(__xludf.DUMMYFUNCTION("GoogleTranslate(C128, ""en"", ""lo"")"),"ບໍ່ມີສຸຂະພາບດີ")</f>
        <v>ບໍ່ມີສຸຂະພາບດີ</v>
      </c>
      <c r="AM128" s="7" t="str">
        <f>IFERROR(__xludf.DUMMYFUNCTION("GoogleTranslate(C128, ""en"", ""lv"")"),"Neveselīgs")</f>
        <v>Neveselīgs</v>
      </c>
      <c r="AN128" s="7" t="str">
        <f>IFERROR(__xludf.DUMMYFUNCTION("GoogleTranslate(C128, ""en"", ""lt"")"),"Nesveika")</f>
        <v>Nesveika</v>
      </c>
      <c r="AO128" s="7" t="str">
        <f>IFERROR(__xludf.DUMMYFUNCTION("GoogleTranslate(C128, ""en"", ""mk"")"),"Нездраво")</f>
        <v>Нездраво</v>
      </c>
      <c r="AP128" s="7" t="str">
        <f>IFERROR(__xludf.DUMMYFUNCTION("GoogleTranslate(C128, ""en"", ""ms"")"),"tak sihat")</f>
        <v>tak sihat</v>
      </c>
      <c r="AQ128" s="7" t="str">
        <f>IFERROR(__xludf.DUMMYFUNCTION("GoogleTranslate(C128, ""en"", ""ml"")"),"അനാരോഗ്യം")</f>
        <v>അനാരോഗ്യം</v>
      </c>
      <c r="AR128" s="7" t="str">
        <f>IFERROR(__xludf.DUMMYFUNCTION("GoogleTranslate(C128, ""en"", ""mr"")"),"अस्वस्थ")</f>
        <v>अस्वस्थ</v>
      </c>
      <c r="AS128" s="7" t="str">
        <f>IFERROR(__xludf.DUMMYFUNCTION("GoogleTranslate(C128, ""en"", ""mn"")"),"Эрүүл бус")</f>
        <v>Эрүүл бус</v>
      </c>
      <c r="AT128" s="7" t="str">
        <f>IFERROR(__xludf.DUMMYFUNCTION("GoogleTranslate(C128, ""en"", ""ne"")"),"अस्वस्थ")</f>
        <v>अस्वस्थ</v>
      </c>
      <c r="AU128" s="7" t="str">
        <f>IFERROR(__xludf.DUMMYFUNCTION("GoogleTranslate(C128, ""en"", ""nb"")"),"Usunn")</f>
        <v>Usunn</v>
      </c>
      <c r="AV128" s="7" t="str">
        <f>IFERROR(__xludf.DUMMYFUNCTION("GoogleTranslate(C128, ""en"", ""fa"")"),"ناسالم")</f>
        <v>ناسالم</v>
      </c>
      <c r="AW128" s="7" t="str">
        <f>IFERROR(__xludf.DUMMYFUNCTION("GoogleTranslate(C128, ""en"", ""pl"")"),"Niezdrowy")</f>
        <v>Niezdrowy</v>
      </c>
      <c r="AX128" s="7" t="str">
        <f>IFERROR(__xludf.DUMMYFUNCTION("GoogleTranslate(C128, ""en"", ""pt"")"),"Insalubre")</f>
        <v>Insalubre</v>
      </c>
      <c r="AY128" s="7" t="str">
        <f>IFERROR(__xludf.DUMMYFUNCTION("GoogleTranslate(C128, ""en"", ""ro"")"),"Nesănătos")</f>
        <v>Nesănătos</v>
      </c>
      <c r="AZ128" s="7" t="str">
        <f>IFERROR(__xludf.DUMMYFUNCTION("GoogleTranslate(C128, ""en"", ""ru"")"),"Нездоровый")</f>
        <v>Нездоровый</v>
      </c>
      <c r="BA128" s="7" t="str">
        <f>IFERROR(__xludf.DUMMYFUNCTION("GoogleTranslate(C128, ""en"", ""sr"")"),"Нездраво")</f>
        <v>Нездраво</v>
      </c>
      <c r="BB128" s="7" t="str">
        <f>IFERROR(__xludf.DUMMYFUNCTION("GoogleTranslate(C128, ""en"", ""si"")"),"සෞඛ්යයට අහිතකරයි")</f>
        <v>සෞඛ්යයට අහිතකරයි</v>
      </c>
      <c r="BC128" s="7" t="str">
        <f>IFERROR(__xludf.DUMMYFUNCTION("GoogleTranslate(C128, ""en"", ""sk"")"),"Nezdravé")</f>
        <v>Nezdravé</v>
      </c>
      <c r="BD128" s="7" t="str">
        <f>IFERROR(__xludf.DUMMYFUNCTION("GoogleTranslate(C128, ""en"", ""sl"")"),"Nezdravo")</f>
        <v>Nezdravo</v>
      </c>
      <c r="BE128" s="7" t="str">
        <f>IFERROR(__xludf.DUMMYFUNCTION("GoogleTranslate(C128, ""en"", ""es"")"),"Malsano")</f>
        <v>Malsano</v>
      </c>
      <c r="BF128" s="7" t="str">
        <f>IFERROR(__xludf.DUMMYFUNCTION("GoogleTranslate(C128, ""en"", ""sw"")"),"Asiye na afya")</f>
        <v>Asiye na afya</v>
      </c>
      <c r="BG128" s="7" t="str">
        <f>IFERROR(__xludf.DUMMYFUNCTION("GoogleTranslate(C128, ""en"", ""sv"")"),"Ohälsosam")</f>
        <v>Ohälsosam</v>
      </c>
      <c r="BH128" s="7" t="str">
        <f>IFERROR(__xludf.DUMMYFUNCTION("GoogleTranslate(C128, ""en"", ""te"")"),"అనారోగ్యకరమైనది")</f>
        <v>అనారోగ్యకరమైనది</v>
      </c>
      <c r="BI128" s="7" t="str">
        <f>IFERROR(__xludf.DUMMYFUNCTION("GoogleTranslate(C128, ""en"", ""th"")"),"ไม่ดีต่อสุขภาพ")</f>
        <v>ไม่ดีต่อสุขภาพ</v>
      </c>
      <c r="BJ128" s="7" t="str">
        <f>IFERROR(__xludf.DUMMYFUNCTION("GoogleTranslate(C128, ""en"", ""tr"")"),"Sağlıksız")</f>
        <v>Sağlıksız</v>
      </c>
      <c r="BK128" s="7" t="str">
        <f>IFERROR(__xludf.DUMMYFUNCTION("GoogleTranslate(C128, ""en"", ""uk"")"),"Нездоровий")</f>
        <v>Нездоровий</v>
      </c>
      <c r="BL128" s="7" t="str">
        <f>IFERROR(__xludf.DUMMYFUNCTION("GoogleTranslate(C128, ""en"", ""zu"")"),"Okungenampilo")</f>
        <v>Okungenampilo</v>
      </c>
    </row>
    <row r="129">
      <c r="A129" s="5" t="str">
        <f t="shared" si="1"/>
        <v>Very_Unhealthy</v>
      </c>
      <c r="B129" s="6" t="s">
        <v>185</v>
      </c>
      <c r="C129" s="5" t="str">
        <f t="shared" si="2"/>
        <v>Very Unhealthy</v>
      </c>
      <c r="D129" s="7" t="str">
        <f>IFERROR(__xludf.DUMMYFUNCTION("GoogleTranslate(C129, ""en"", ""es"")"),"muy poco saludable")</f>
        <v>muy poco saludable</v>
      </c>
      <c r="E129" s="7" t="str">
        <f>IFERROR(__xludf.DUMMYFUNCTION("GoogleTranslate(C129, ""en"", ""ar"")"),"غير صحي للغاية")</f>
        <v>غير صحي للغاية</v>
      </c>
      <c r="F129" s="7" t="str">
        <f>IFERROR(__xludf.DUMMYFUNCTION("GoogleTranslate(C129, ""en"", ""hy"")"),"Շատ անառողջ")</f>
        <v>Շատ անառողջ</v>
      </c>
      <c r="G129" s="7" t="str">
        <f>IFERROR(__xludf.DUMMYFUNCTION("GoogleTranslate(C129, ""en"", ""vi"")"),"Rất không tốt cho sức khỏe")</f>
        <v>Rất không tốt cho sức khỏe</v>
      </c>
      <c r="H129" s="7" t="str">
        <f>IFERROR(__xludf.DUMMYFUNCTION("GoogleTranslate(C129, ""en"", ""az"")"),"Çox Sağlam")</f>
        <v>Çox Sağlam</v>
      </c>
      <c r="I129" s="7" t="str">
        <f>IFERROR(__xludf.DUMMYFUNCTION("GoogleTranslate(C129, ""en"", ""eu"")"),"Oso Osasungaitza")</f>
        <v>Oso Osasungaitza</v>
      </c>
      <c r="J129" s="7" t="str">
        <f>IFERROR(__xludf.DUMMYFUNCTION("GoogleTranslate(C129, ""en"", ""be"")"),"Вельмі нездаровы")</f>
        <v>Вельмі нездаровы</v>
      </c>
      <c r="K129" s="7" t="str">
        <f>IFERROR(__xludf.DUMMYFUNCTION("GoogleTranslate(C129, ""en"", ""bn"")"),"খুবই অস্বাস্থ্যকর")</f>
        <v>খুবই অস্বাস্থ্যকর</v>
      </c>
      <c r="L129" s="7" t="str">
        <f>IFERROR(__xludf.DUMMYFUNCTION("GoogleTranslate(C129, ""en"", ""bg"")"),"Много нездравословно")</f>
        <v>Много нездравословно</v>
      </c>
      <c r="M129" s="7" t="str">
        <f>IFERROR(__xludf.DUMMYFUNCTION("GoogleTranslate(C129, ""en"", ""my"")"),"အလွန် ကျန်းမာရေးနှင့် မညီညွတ်")</f>
        <v>အလွန် ကျန်းမာရေးနှင့် မညီညွတ်</v>
      </c>
      <c r="N129" s="7" t="str">
        <f>IFERROR(__xludf.DUMMYFUNCTION("GoogleTranslate(C129, ""en"", ""ca"")"),"Molt poc saludable")</f>
        <v>Molt poc saludable</v>
      </c>
      <c r="O129" s="7" t="str">
        <f>IFERROR(__xludf.DUMMYFUNCTION("GoogleTranslate(C129, ""en"", ""zh-cn"")"),"非常不健康")</f>
        <v>非常不健康</v>
      </c>
      <c r="P129" s="7" t="str">
        <f>IFERROR(__xludf.DUMMYFUNCTION("GoogleTranslate(C129, ""en"", ""zh-TW"")"),"非常不健康")</f>
        <v>非常不健康</v>
      </c>
      <c r="Q129" s="7" t="str">
        <f>IFERROR(__xludf.DUMMYFUNCTION("GoogleTranslate(C129, ""en"", ""hr"")"),"Vrlo nezdravo")</f>
        <v>Vrlo nezdravo</v>
      </c>
      <c r="R129" s="7" t="str">
        <f>IFERROR(__xludf.DUMMYFUNCTION("GoogleTranslate(C129, ""en"", ""cs"")"),"Velmi nezdravé")</f>
        <v>Velmi nezdravé</v>
      </c>
      <c r="S129" s="7" t="str">
        <f>IFERROR(__xludf.DUMMYFUNCTION("GoogleTranslate(C129, ""en"", ""da"")"),"Meget usundt")</f>
        <v>Meget usundt</v>
      </c>
      <c r="T129" s="7" t="str">
        <f>IFERROR(__xludf.DUMMYFUNCTION("GoogleTranslate(C129, ""en"", ""nl"")"),"Zeer ongezond")</f>
        <v>Zeer ongezond</v>
      </c>
      <c r="U129" s="7" t="str">
        <f>IFERROR(__xludf.DUMMYFUNCTION("GoogleTranslate(C129, ""en"", ""et"")"),"Väga ebatervislik")</f>
        <v>Väga ebatervislik</v>
      </c>
      <c r="V129" s="5" t="str">
        <f t="shared" si="3"/>
        <v>Very Unhealthy</v>
      </c>
      <c r="W129" s="7" t="str">
        <f>IFERROR(__xludf.DUMMYFUNCTION("GoogleTranslate(C129, ""en"", ""fi"")"),"Erittäin epäterveellistä")</f>
        <v>Erittäin epäterveellistä</v>
      </c>
      <c r="X129" s="7" t="str">
        <f>IFERROR(__xludf.DUMMYFUNCTION("GoogleTranslate(C129, ""en"", ""fr"")"),"Très malsain")</f>
        <v>Très malsain</v>
      </c>
      <c r="Y129" s="7" t="str">
        <f>IFERROR(__xludf.DUMMYFUNCTION("GoogleTranslate(C129, ""en"", ""de"")"),"Sehr ungesund")</f>
        <v>Sehr ungesund</v>
      </c>
      <c r="Z129" s="7" t="str">
        <f>IFERROR(__xludf.DUMMYFUNCTION("GoogleTranslate(C129, ""en"", ""el"")"),"Πολύ Ανθυγιεινό")</f>
        <v>Πολύ Ανθυγιεινό</v>
      </c>
      <c r="AA129" s="7" t="str">
        <f>IFERROR(__xludf.DUMMYFUNCTION("GoogleTranslate(C129, ""en"", ""iw"")"),"מאוד לא בריא")</f>
        <v>מאוד לא בריא</v>
      </c>
      <c r="AB129" s="7" t="str">
        <f>IFERROR(__xludf.DUMMYFUNCTION("GoogleTranslate(C129, ""en"", ""hi"")"),"बहुत ही अस्वास्थ्यकर")</f>
        <v>बहुत ही अस्वास्थ्यकर</v>
      </c>
      <c r="AC129" s="7" t="str">
        <f>IFERROR(__xludf.DUMMYFUNCTION("GoogleTranslate(C129, ""en"", ""hu"")"),"Nagyon egészségtelen")</f>
        <v>Nagyon egészségtelen</v>
      </c>
      <c r="AD129" s="7" t="str">
        <f>IFERROR(__xludf.DUMMYFUNCTION("GoogleTranslate(C129, ""en"", ""is"")"),"Mjög óhollt")</f>
        <v>Mjög óhollt</v>
      </c>
      <c r="AE129" s="7" t="str">
        <f>IFERROR(__xludf.DUMMYFUNCTION("GoogleTranslate(C129, ""en"", ""id"")"),"Sangat Tidak Sehat")</f>
        <v>Sangat Tidak Sehat</v>
      </c>
      <c r="AF129" s="7" t="str">
        <f>IFERROR(__xludf.DUMMYFUNCTION("GoogleTranslate(C129, ""en"", ""in"")"),"Sangat Tidak Sehat")</f>
        <v>Sangat Tidak Sehat</v>
      </c>
      <c r="AG129" s="7" t="str">
        <f>IFERROR(__xludf.DUMMYFUNCTION("GoogleTranslate(C129, ""en"", ""it"")"),"Molto malsano")</f>
        <v>Molto malsano</v>
      </c>
      <c r="AH129" s="7" t="str">
        <f>IFERROR(__xludf.DUMMYFUNCTION("GoogleTranslate(C129, ""en"", ""ja"")"),"非常に不健康")</f>
        <v>非常に不健康</v>
      </c>
      <c r="AI129" s="7" t="str">
        <f>IFERROR(__xludf.DUMMYFUNCTION("GoogleTranslate(C129, ""en"", ""kn"")"),"ತುಂಬಾ ಅನಾರೋಗ್ಯಕರ")</f>
        <v>ತುಂಬಾ ಅನಾರೋಗ್ಯಕರ</v>
      </c>
      <c r="AJ129" s="7" t="str">
        <f>IFERROR(__xludf.DUMMYFUNCTION("GoogleTranslate(C129, ""en"", ""km"")"),"សុខភាពមិនល្អខ្លាំងណាស់")</f>
        <v>សុខភាពមិនល្អខ្លាំងណាស់</v>
      </c>
      <c r="AK129" s="7" t="str">
        <f>IFERROR(__xludf.DUMMYFUNCTION("GoogleTranslate(C129, ""en"", ""ko"")"),"매우 건강에 해로움")</f>
        <v>매우 건강에 해로움</v>
      </c>
      <c r="AL129" s="7" t="str">
        <f>IFERROR(__xludf.DUMMYFUNCTION("GoogleTranslate(C129, ""en"", ""lo"")"),"ບໍ່ດີສຸຂະພາບຫຼາຍ")</f>
        <v>ບໍ່ດີສຸຂະພາບຫຼາຍ</v>
      </c>
      <c r="AM129" s="7" t="str">
        <f>IFERROR(__xludf.DUMMYFUNCTION("GoogleTranslate(C129, ""en"", ""lv"")"),"Ļoti neveselīgi")</f>
        <v>Ļoti neveselīgi</v>
      </c>
      <c r="AN129" s="7" t="str">
        <f>IFERROR(__xludf.DUMMYFUNCTION("GoogleTranslate(C129, ""en"", ""lt"")"),"Labai nesveika")</f>
        <v>Labai nesveika</v>
      </c>
      <c r="AO129" s="7" t="str">
        <f>IFERROR(__xludf.DUMMYFUNCTION("GoogleTranslate(C129, ""en"", ""mk"")"),"Многу нездраво")</f>
        <v>Многу нездраво</v>
      </c>
      <c r="AP129" s="7" t="str">
        <f>IFERROR(__xludf.DUMMYFUNCTION("GoogleTranslate(C129, ""en"", ""ms"")"),"Sangat Tidak Sihat")</f>
        <v>Sangat Tidak Sihat</v>
      </c>
      <c r="AQ129" s="7" t="str">
        <f>IFERROR(__xludf.DUMMYFUNCTION("GoogleTranslate(C129, ""en"", ""ml"")"),"വളരെ അനാരോഗ്യകരമാണ്")</f>
        <v>വളരെ അനാരോഗ്യകരമാണ്</v>
      </c>
      <c r="AR129" s="7" t="str">
        <f>IFERROR(__xludf.DUMMYFUNCTION("GoogleTranslate(C129, ""en"", ""mr"")"),"अतिशय अस्वस्थ")</f>
        <v>अतिशय अस्वस्थ</v>
      </c>
      <c r="AS129" s="7" t="str">
        <f>IFERROR(__xludf.DUMMYFUNCTION("GoogleTranslate(C129, ""en"", ""mn"")"),"Маш эрүүл бус")</f>
        <v>Маш эрүүл бус</v>
      </c>
      <c r="AT129" s="7" t="str">
        <f>IFERROR(__xludf.DUMMYFUNCTION("GoogleTranslate(C129, ""en"", ""ne"")"),"धेरै अस्वस्थ")</f>
        <v>धेरै अस्वस्थ</v>
      </c>
      <c r="AU129" s="7" t="str">
        <f>IFERROR(__xludf.DUMMYFUNCTION("GoogleTranslate(C129, ""en"", ""nb"")"),"Veldig usunn")</f>
        <v>Veldig usunn</v>
      </c>
      <c r="AV129" s="7" t="str">
        <f>IFERROR(__xludf.DUMMYFUNCTION("GoogleTranslate(C129, ""en"", ""fa"")"),"خیلی ناسالم")</f>
        <v>خیلی ناسالم</v>
      </c>
      <c r="AW129" s="7" t="str">
        <f>IFERROR(__xludf.DUMMYFUNCTION("GoogleTranslate(C129, ""en"", ""pl"")"),"Bardzo niezdrowe")</f>
        <v>Bardzo niezdrowe</v>
      </c>
      <c r="AX129" s="7" t="str">
        <f>IFERROR(__xludf.DUMMYFUNCTION("GoogleTranslate(C129, ""en"", ""pt"")"),"Muito prejudicial à saúde")</f>
        <v>Muito prejudicial à saúde</v>
      </c>
      <c r="AY129" s="7" t="str">
        <f>IFERROR(__xludf.DUMMYFUNCTION("GoogleTranslate(C129, ""en"", ""ro"")"),"Foarte nesănătos")</f>
        <v>Foarte nesănătos</v>
      </c>
      <c r="AZ129" s="7" t="str">
        <f>IFERROR(__xludf.DUMMYFUNCTION("GoogleTranslate(C129, ""en"", ""ru"")"),"Очень вредно для здоровья")</f>
        <v>Очень вредно для здоровья</v>
      </c>
      <c r="BA129" s="7" t="str">
        <f>IFERROR(__xludf.DUMMYFUNCTION("GoogleTranslate(C129, ""en"", ""sr"")"),"Веома нездраво")</f>
        <v>Веома нездраво</v>
      </c>
      <c r="BB129" s="7" t="str">
        <f>IFERROR(__xludf.DUMMYFUNCTION("GoogleTranslate(C129, ""en"", ""si"")"),"ඉතා සෞඛ්‍යයට අහිතකරයි")</f>
        <v>ඉතා සෞඛ්‍යයට අහිතකරයි</v>
      </c>
      <c r="BC129" s="7" t="str">
        <f>IFERROR(__xludf.DUMMYFUNCTION("GoogleTranslate(C129, ""en"", ""sk"")"),"Veľmi nezdravé")</f>
        <v>Veľmi nezdravé</v>
      </c>
      <c r="BD129" s="7" t="str">
        <f>IFERROR(__xludf.DUMMYFUNCTION("GoogleTranslate(C129, ""en"", ""sl"")"),"Zelo nezdravo")</f>
        <v>Zelo nezdravo</v>
      </c>
      <c r="BE129" s="7" t="str">
        <f>IFERROR(__xludf.DUMMYFUNCTION("GoogleTranslate(C129, ""en"", ""es"")"),"muy poco saludable")</f>
        <v>muy poco saludable</v>
      </c>
      <c r="BF129" s="7" t="str">
        <f>IFERROR(__xludf.DUMMYFUNCTION("GoogleTranslate(C129, ""en"", ""sw"")"),"Mbaya Sana")</f>
        <v>Mbaya Sana</v>
      </c>
      <c r="BG129" s="7" t="str">
        <f>IFERROR(__xludf.DUMMYFUNCTION("GoogleTranslate(C129, ""en"", ""sv"")"),"Mycket ohälsosamt")</f>
        <v>Mycket ohälsosamt</v>
      </c>
      <c r="BH129" s="7" t="str">
        <f>IFERROR(__xludf.DUMMYFUNCTION("GoogleTranslate(C129, ""en"", ""te"")"),"చాలా అనారోగ్యకరమైనది")</f>
        <v>చాలా అనారోగ్యకరమైనది</v>
      </c>
      <c r="BI129" s="7" t="str">
        <f>IFERROR(__xludf.DUMMYFUNCTION("GoogleTranslate(C129, ""en"", ""th"")"),"ไม่แข็งแรงมาก")</f>
        <v>ไม่แข็งแรงมาก</v>
      </c>
      <c r="BJ129" s="7" t="str">
        <f>IFERROR(__xludf.DUMMYFUNCTION("GoogleTranslate(C129, ""en"", ""tr"")"),"Çok Sağlıksız")</f>
        <v>Çok Sağlıksız</v>
      </c>
      <c r="BK129" s="7" t="str">
        <f>IFERROR(__xludf.DUMMYFUNCTION("GoogleTranslate(C129, ""en"", ""uk"")"),"Дуже нездоровий")</f>
        <v>Дуже нездоровий</v>
      </c>
      <c r="BL129" s="7" t="str">
        <f>IFERROR(__xludf.DUMMYFUNCTION("GoogleTranslate(C129, ""en"", ""zu"")"),"Okungenampilo Kakhulu")</f>
        <v>Okungenampilo Kakhulu</v>
      </c>
    </row>
    <row r="130">
      <c r="A130" s="5" t="str">
        <f t="shared" si="1"/>
        <v>Hazardous</v>
      </c>
      <c r="B130" s="6" t="s">
        <v>186</v>
      </c>
      <c r="C130" s="5" t="str">
        <f t="shared" si="2"/>
        <v>Hazardous</v>
      </c>
      <c r="D130" s="7" t="str">
        <f>IFERROR(__xludf.DUMMYFUNCTION("GoogleTranslate(C130, ""en"", ""es"")"),"Peligroso")</f>
        <v>Peligroso</v>
      </c>
      <c r="E130" s="7" t="str">
        <f>IFERROR(__xludf.DUMMYFUNCTION("GoogleTranslate(C130, ""en"", ""ar"")"),"خطرة")</f>
        <v>خطرة</v>
      </c>
      <c r="F130" s="7" t="str">
        <f>IFERROR(__xludf.DUMMYFUNCTION("GoogleTranslate(C130, ""en"", ""hy"")"),"Վտանգավոր")</f>
        <v>Վտանգավոր</v>
      </c>
      <c r="G130" s="7" t="str">
        <f>IFERROR(__xludf.DUMMYFUNCTION("GoogleTranslate(C130, ""en"", ""vi"")"),"Nguy hiểm")</f>
        <v>Nguy hiểm</v>
      </c>
      <c r="H130" s="7" t="str">
        <f>IFERROR(__xludf.DUMMYFUNCTION("GoogleTranslate(C130, ""en"", ""az"")"),"Təhlükəli")</f>
        <v>Təhlükəli</v>
      </c>
      <c r="I130" s="7" t="str">
        <f>IFERROR(__xludf.DUMMYFUNCTION("GoogleTranslate(C130, ""en"", ""eu"")"),"Arriskutsuak")</f>
        <v>Arriskutsuak</v>
      </c>
      <c r="J130" s="7" t="str">
        <f>IFERROR(__xludf.DUMMYFUNCTION("GoogleTranslate(C130, ""en"", ""be"")"),"Небяспечна")</f>
        <v>Небяспечна</v>
      </c>
      <c r="K130" s="7" t="str">
        <f>IFERROR(__xludf.DUMMYFUNCTION("GoogleTranslate(C130, ""en"", ""bn"")"),"বিপজ্জনক")</f>
        <v>বিপজ্জনক</v>
      </c>
      <c r="L130" s="7" t="str">
        <f>IFERROR(__xludf.DUMMYFUNCTION("GoogleTranslate(C130, ""en"", ""bg"")"),"Опасни")</f>
        <v>Опасни</v>
      </c>
      <c r="M130" s="7" t="str">
        <f>IFERROR(__xludf.DUMMYFUNCTION("GoogleTranslate(C130, ""en"", ""my"")"),"အန္တရာယ်ရှိသော")</f>
        <v>အန္တရာယ်ရှိသော</v>
      </c>
      <c r="N130" s="7" t="str">
        <f>IFERROR(__xludf.DUMMYFUNCTION("GoogleTranslate(C130, ""en"", ""ca"")"),"Perillós")</f>
        <v>Perillós</v>
      </c>
      <c r="O130" s="7" t="str">
        <f>IFERROR(__xludf.DUMMYFUNCTION("GoogleTranslate(C130, ""en"", ""zh-cn"")"),"危险的")</f>
        <v>危险的</v>
      </c>
      <c r="P130" s="7" t="str">
        <f>IFERROR(__xludf.DUMMYFUNCTION("GoogleTranslate(C130, ""en"", ""zh-TW"")"),"危險的")</f>
        <v>危險的</v>
      </c>
      <c r="Q130" s="7" t="str">
        <f>IFERROR(__xludf.DUMMYFUNCTION("GoogleTranslate(C130, ""en"", ""hr"")"),"Opasno")</f>
        <v>Opasno</v>
      </c>
      <c r="R130" s="7" t="str">
        <f>IFERROR(__xludf.DUMMYFUNCTION("GoogleTranslate(C130, ""en"", ""cs"")"),"Nebezpečný")</f>
        <v>Nebezpečný</v>
      </c>
      <c r="S130" s="7" t="str">
        <f>IFERROR(__xludf.DUMMYFUNCTION("GoogleTranslate(C130, ""en"", ""da"")"),"Farlig")</f>
        <v>Farlig</v>
      </c>
      <c r="T130" s="7" t="str">
        <f>IFERROR(__xludf.DUMMYFUNCTION("GoogleTranslate(C130, ""en"", ""nl"")"),"Gevaarlijk")</f>
        <v>Gevaarlijk</v>
      </c>
      <c r="U130" s="7" t="str">
        <f>IFERROR(__xludf.DUMMYFUNCTION("GoogleTranslate(C130, ""en"", ""et"")"),"Ohtlik")</f>
        <v>Ohtlik</v>
      </c>
      <c r="V130" s="5" t="str">
        <f t="shared" si="3"/>
        <v>Hazardous</v>
      </c>
      <c r="W130" s="7" t="str">
        <f>IFERROR(__xludf.DUMMYFUNCTION("GoogleTranslate(C130, ""en"", ""fi"")"),"Vaarallinen")</f>
        <v>Vaarallinen</v>
      </c>
      <c r="X130" s="7" t="str">
        <f>IFERROR(__xludf.DUMMYFUNCTION("GoogleTranslate(C130, ""en"", ""fr"")"),"Dangereux")</f>
        <v>Dangereux</v>
      </c>
      <c r="Y130" s="7" t="str">
        <f>IFERROR(__xludf.DUMMYFUNCTION("GoogleTranslate(C130, ""en"", ""de"")"),"Gefährlich")</f>
        <v>Gefährlich</v>
      </c>
      <c r="Z130" s="7" t="str">
        <f>IFERROR(__xludf.DUMMYFUNCTION("GoogleTranslate(C130, ""en"", ""el"")"),"Επικίνδυνος")</f>
        <v>Επικίνδυνος</v>
      </c>
      <c r="AA130" s="7" t="str">
        <f>IFERROR(__xludf.DUMMYFUNCTION("GoogleTranslate(C130, ""en"", ""iw"")"),"מְסוּכָּן")</f>
        <v>מְסוּכָּן</v>
      </c>
      <c r="AB130" s="7" t="str">
        <f>IFERROR(__xludf.DUMMYFUNCTION("GoogleTranslate(C130, ""en"", ""hi"")"),"खतरनाक")</f>
        <v>खतरनाक</v>
      </c>
      <c r="AC130" s="7" t="str">
        <f>IFERROR(__xludf.DUMMYFUNCTION("GoogleTranslate(C130, ""en"", ""hu"")"),"Veszélyes")</f>
        <v>Veszélyes</v>
      </c>
      <c r="AD130" s="7" t="str">
        <f>IFERROR(__xludf.DUMMYFUNCTION("GoogleTranslate(C130, ""en"", ""is"")"),"Hættulegt")</f>
        <v>Hættulegt</v>
      </c>
      <c r="AE130" s="7" t="str">
        <f>IFERROR(__xludf.DUMMYFUNCTION("GoogleTranslate(C130, ""en"", ""id"")"),"Berbahaya")</f>
        <v>Berbahaya</v>
      </c>
      <c r="AF130" s="7" t="str">
        <f>IFERROR(__xludf.DUMMYFUNCTION("GoogleTranslate(C130, ""en"", ""in"")"),"Berbahaya")</f>
        <v>Berbahaya</v>
      </c>
      <c r="AG130" s="7" t="str">
        <f>IFERROR(__xludf.DUMMYFUNCTION("GoogleTranslate(C130, ""en"", ""it"")"),"Pericoloso")</f>
        <v>Pericoloso</v>
      </c>
      <c r="AH130" s="7" t="str">
        <f>IFERROR(__xludf.DUMMYFUNCTION("GoogleTranslate(C130, ""en"", ""ja"")"),"危険")</f>
        <v>危険</v>
      </c>
      <c r="AI130" s="7" t="str">
        <f>IFERROR(__xludf.DUMMYFUNCTION("GoogleTranslate(C130, ""en"", ""kn"")"),"ಅಪಾಯಕಾರಿ")</f>
        <v>ಅಪಾಯಕಾರಿ</v>
      </c>
      <c r="AJ130" s="7" t="str">
        <f>IFERROR(__xludf.DUMMYFUNCTION("GoogleTranslate(C130, ""en"", ""km"")"),"គ្រោះថ្នាក់")</f>
        <v>គ្រោះថ្នាក់</v>
      </c>
      <c r="AK130" s="7" t="str">
        <f>IFERROR(__xludf.DUMMYFUNCTION("GoogleTranslate(C130, ""en"", ""ko"")"),"위험한")</f>
        <v>위험한</v>
      </c>
      <c r="AL130" s="7" t="str">
        <f>IFERROR(__xludf.DUMMYFUNCTION("GoogleTranslate(C130, ""en"", ""lo"")"),"ອັນຕະລາຍ")</f>
        <v>ອັນຕະລາຍ</v>
      </c>
      <c r="AM130" s="7" t="str">
        <f>IFERROR(__xludf.DUMMYFUNCTION("GoogleTranslate(C130, ""en"", ""lv"")"),"Bīstams")</f>
        <v>Bīstams</v>
      </c>
      <c r="AN130" s="7" t="str">
        <f>IFERROR(__xludf.DUMMYFUNCTION("GoogleTranslate(C130, ""en"", ""lt"")"),"Pavojinga")</f>
        <v>Pavojinga</v>
      </c>
      <c r="AO130" s="7" t="str">
        <f>IFERROR(__xludf.DUMMYFUNCTION("GoogleTranslate(C130, ""en"", ""mk"")"),"Опасно")</f>
        <v>Опасно</v>
      </c>
      <c r="AP130" s="7" t="str">
        <f>IFERROR(__xludf.DUMMYFUNCTION("GoogleTranslate(C130, ""en"", ""ms"")"),"Berbahaya")</f>
        <v>Berbahaya</v>
      </c>
      <c r="AQ130" s="7" t="str">
        <f>IFERROR(__xludf.DUMMYFUNCTION("GoogleTranslate(C130, ""en"", ""ml"")"),"അപകടകരമായ")</f>
        <v>അപകടകരമായ</v>
      </c>
      <c r="AR130" s="7" t="str">
        <f>IFERROR(__xludf.DUMMYFUNCTION("GoogleTranslate(C130, ""en"", ""mr"")"),"घातक")</f>
        <v>घातक</v>
      </c>
      <c r="AS130" s="7" t="str">
        <f>IFERROR(__xludf.DUMMYFUNCTION("GoogleTranslate(C130, ""en"", ""mn"")"),"Аюултай")</f>
        <v>Аюултай</v>
      </c>
      <c r="AT130" s="7" t="str">
        <f>IFERROR(__xludf.DUMMYFUNCTION("GoogleTranslate(C130, ""en"", ""ne"")"),"खतरनाक")</f>
        <v>खतरनाक</v>
      </c>
      <c r="AU130" s="7" t="str">
        <f>IFERROR(__xludf.DUMMYFUNCTION("GoogleTranslate(C130, ""en"", ""nb"")"),"Farlig")</f>
        <v>Farlig</v>
      </c>
      <c r="AV130" s="7" t="str">
        <f>IFERROR(__xludf.DUMMYFUNCTION("GoogleTranslate(C130, ""en"", ""fa"")"),"خطرناک")</f>
        <v>خطرناک</v>
      </c>
      <c r="AW130" s="7" t="str">
        <f>IFERROR(__xludf.DUMMYFUNCTION("GoogleTranslate(C130, ""en"", ""pl"")"),"Niebezpieczny")</f>
        <v>Niebezpieczny</v>
      </c>
      <c r="AX130" s="7" t="str">
        <f>IFERROR(__xludf.DUMMYFUNCTION("GoogleTranslate(C130, ""en"", ""pt"")"),"Perigoso")</f>
        <v>Perigoso</v>
      </c>
      <c r="AY130" s="7" t="str">
        <f>IFERROR(__xludf.DUMMYFUNCTION("GoogleTranslate(C130, ""en"", ""ro"")"),"Periculoase")</f>
        <v>Periculoase</v>
      </c>
      <c r="AZ130" s="7" t="str">
        <f>IFERROR(__xludf.DUMMYFUNCTION("GoogleTranslate(C130, ""en"", ""ru"")"),"Опасный")</f>
        <v>Опасный</v>
      </c>
      <c r="BA130" s="7" t="str">
        <f>IFERROR(__xludf.DUMMYFUNCTION("GoogleTranslate(C130, ""en"", ""sr"")"),"Хазардоус")</f>
        <v>Хазардоус</v>
      </c>
      <c r="BB130" s="7" t="str">
        <f>IFERROR(__xludf.DUMMYFUNCTION("GoogleTranslate(C130, ""en"", ""si"")"),"අනතුරුදායකයි")</f>
        <v>අනතුරුදායකයි</v>
      </c>
      <c r="BC130" s="7" t="str">
        <f>IFERROR(__xludf.DUMMYFUNCTION("GoogleTranslate(C130, ""en"", ""sk"")"),"Nebezpečný")</f>
        <v>Nebezpečný</v>
      </c>
      <c r="BD130" s="7" t="str">
        <f>IFERROR(__xludf.DUMMYFUNCTION("GoogleTranslate(C130, ""en"", ""sl"")"),"Nevarno")</f>
        <v>Nevarno</v>
      </c>
      <c r="BE130" s="7" t="str">
        <f>IFERROR(__xludf.DUMMYFUNCTION("GoogleTranslate(C130, ""en"", ""es"")"),"Peligroso")</f>
        <v>Peligroso</v>
      </c>
      <c r="BF130" s="7" t="str">
        <f>IFERROR(__xludf.DUMMYFUNCTION("GoogleTranslate(C130, ""en"", ""sw"")"),"Hatari")</f>
        <v>Hatari</v>
      </c>
      <c r="BG130" s="7" t="str">
        <f>IFERROR(__xludf.DUMMYFUNCTION("GoogleTranslate(C130, ""en"", ""sv"")"),"Farlig")</f>
        <v>Farlig</v>
      </c>
      <c r="BH130" s="7" t="str">
        <f>IFERROR(__xludf.DUMMYFUNCTION("GoogleTranslate(C130, ""en"", ""te"")"),"ప్రమాదకరం")</f>
        <v>ప్రమాదకరం</v>
      </c>
      <c r="BI130" s="7" t="str">
        <f>IFERROR(__xludf.DUMMYFUNCTION("GoogleTranslate(C130, ""en"", ""th"")"),"เป็นอันตราย")</f>
        <v>เป็นอันตราย</v>
      </c>
      <c r="BJ130" s="7" t="str">
        <f>IFERROR(__xludf.DUMMYFUNCTION("GoogleTranslate(C130, ""en"", ""tr"")"),"Tehlikeli")</f>
        <v>Tehlikeli</v>
      </c>
      <c r="BK130" s="7" t="str">
        <f>IFERROR(__xludf.DUMMYFUNCTION("GoogleTranslate(C130, ""en"", ""uk"")"),"небезпечний")</f>
        <v>небезпечний</v>
      </c>
      <c r="BL130" s="7" t="str">
        <f>IFERROR(__xludf.DUMMYFUNCTION("GoogleTranslate(C130, ""en"", ""zu"")"),"Kuyingozi")</f>
        <v>Kuyingozi</v>
      </c>
    </row>
    <row r="131">
      <c r="A131" s="5" t="str">
        <f t="shared" si="1"/>
        <v>US_AQI_Level</v>
      </c>
      <c r="B131" s="6" t="s">
        <v>187</v>
      </c>
      <c r="C131" s="5" t="str">
        <f t="shared" si="2"/>
        <v>US AQI Level</v>
      </c>
      <c r="D131" s="7" t="str">
        <f>IFERROR(__xludf.DUMMYFUNCTION("GoogleTranslate(C131, ""en"", ""es"")"),"Nivel AQI de EE. UU.")</f>
        <v>Nivel AQI de EE. UU.</v>
      </c>
      <c r="E131" s="7" t="str">
        <f>IFERROR(__xludf.DUMMYFUNCTION("GoogleTranslate(C131, ""en"", ""ar"")"),"مستوى AQI في الولايات المتحدة")</f>
        <v>مستوى AQI في الولايات المتحدة</v>
      </c>
      <c r="F131" s="7" t="str">
        <f>IFERROR(__xludf.DUMMYFUNCTION("GoogleTranslate(C131, ""en"", ""hy"")"),"ԱՄՆ AQI մակարդակ")</f>
        <v>ԱՄՆ AQI մակարդակ</v>
      </c>
      <c r="G131" s="7" t="str">
        <f>IFERROR(__xludf.DUMMYFUNCTION("GoogleTranslate(C131, ""en"", ""vi"")"),"Mức AQI của Hoa Kỳ")</f>
        <v>Mức AQI của Hoa Kỳ</v>
      </c>
      <c r="H131" s="7" t="str">
        <f>IFERROR(__xludf.DUMMYFUNCTION("GoogleTranslate(C131, ""en"", ""az"")"),"ABŞ AQI Səviyyəsi")</f>
        <v>ABŞ AQI Səviyyəsi</v>
      </c>
      <c r="I131" s="7" t="str">
        <f>IFERROR(__xludf.DUMMYFUNCTION("GoogleTranslate(C131, ""en"", ""eu"")"),"AEBetako AQI maila")</f>
        <v>AEBetako AQI maila</v>
      </c>
      <c r="J131" s="7" t="str">
        <f>IFERROR(__xludf.DUMMYFUNCTION("GoogleTranslate(C131, ""en"", ""be"")"),"Узровень AQI ЗША")</f>
        <v>Узровень AQI ЗША</v>
      </c>
      <c r="K131" s="7" t="str">
        <f>IFERROR(__xludf.DUMMYFUNCTION("GoogleTranslate(C131, ""en"", ""bn"")"),"US AQI স্তর")</f>
        <v>US AQI স্তর</v>
      </c>
      <c r="L131" s="7" t="str">
        <f>IFERROR(__xludf.DUMMYFUNCTION("GoogleTranslate(C131, ""en"", ""bg"")"),"Ниво на AQI в САЩ")</f>
        <v>Ниво на AQI в САЩ</v>
      </c>
      <c r="M131" s="7" t="str">
        <f>IFERROR(__xludf.DUMMYFUNCTION("GoogleTranslate(C131, ""en"", ""my"")"),"US AQI အဆင့်")</f>
        <v>US AQI အဆင့်</v>
      </c>
      <c r="N131" s="7" t="str">
        <f>IFERROR(__xludf.DUMMYFUNCTION("GoogleTranslate(C131, ""en"", ""ca"")"),"Nivell AQI dels EUA")</f>
        <v>Nivell AQI dels EUA</v>
      </c>
      <c r="O131" s="7" t="str">
        <f>IFERROR(__xludf.DUMMYFUNCTION("GoogleTranslate(C131, ""en"", ""zh-cn"")"),"美国AQI水平")</f>
        <v>美国AQI水平</v>
      </c>
      <c r="P131" s="7" t="str">
        <f>IFERROR(__xludf.DUMMYFUNCTION("GoogleTranslate(C131, ""en"", ""zh-TW"")"),"美國AQI水平")</f>
        <v>美國AQI水平</v>
      </c>
      <c r="Q131" s="7" t="str">
        <f>IFERROR(__xludf.DUMMYFUNCTION("GoogleTranslate(C131, ""en"", ""hr"")"),"US AQI razina")</f>
        <v>US AQI razina</v>
      </c>
      <c r="R131" s="7" t="str">
        <f>IFERROR(__xludf.DUMMYFUNCTION("GoogleTranslate(C131, ""en"", ""cs"")"),"Úroveň AQI v USA")</f>
        <v>Úroveň AQI v USA</v>
      </c>
      <c r="S131" s="7" t="str">
        <f>IFERROR(__xludf.DUMMYFUNCTION("GoogleTranslate(C131, ""en"", ""da"")"),"AQI-niveau i USA")</f>
        <v>AQI-niveau i USA</v>
      </c>
      <c r="T131" s="7" t="str">
        <f>IFERROR(__xludf.DUMMYFUNCTION("GoogleTranslate(C131, ""en"", ""nl"")"),"Amerikaans AQI-niveau")</f>
        <v>Amerikaans AQI-niveau</v>
      </c>
      <c r="U131" s="7" t="str">
        <f>IFERROR(__xludf.DUMMYFUNCTION("GoogleTranslate(C131, ""en"", ""et"")"),"USA AQI tase")</f>
        <v>USA AQI tase</v>
      </c>
      <c r="V131" s="5" t="str">
        <f t="shared" si="3"/>
        <v>US AQI Level</v>
      </c>
      <c r="W131" s="7" t="str">
        <f>IFERROR(__xludf.DUMMYFUNCTION("GoogleTranslate(C131, ""en"", ""fi"")"),"Yhdysvaltain AQI-taso")</f>
        <v>Yhdysvaltain AQI-taso</v>
      </c>
      <c r="X131" s="7" t="str">
        <f>IFERROR(__xludf.DUMMYFUNCTION("GoogleTranslate(C131, ""en"", ""fr"")"),"Niveau IQA aux États-Unis")</f>
        <v>Niveau IQA aux États-Unis</v>
      </c>
      <c r="Y131" s="7" t="str">
        <f>IFERROR(__xludf.DUMMYFUNCTION("GoogleTranslate(C131, ""en"", ""de"")"),"US-AQI-Niveau")</f>
        <v>US-AQI-Niveau</v>
      </c>
      <c r="Z131" s="7" t="str">
        <f>IFERROR(__xludf.DUMMYFUNCTION("GoogleTranslate(C131, ""en"", ""el"")"),"Επίπεδο AQI ΗΠΑ")</f>
        <v>Επίπεδο AQI ΗΠΑ</v>
      </c>
      <c r="AA131" s="7" t="str">
        <f>IFERROR(__xludf.DUMMYFUNCTION("GoogleTranslate(C131, ""en"", ""iw"")"),"רמת AQI בארה""ב")</f>
        <v>רמת AQI בארה"ב</v>
      </c>
      <c r="AB131" s="7" t="str">
        <f>IFERROR(__xludf.DUMMYFUNCTION("GoogleTranslate(C131, ""en"", ""hi"")"),"यूएस AQI स्तर")</f>
        <v>यूएस AQI स्तर</v>
      </c>
      <c r="AC131" s="7" t="str">
        <f>IFERROR(__xludf.DUMMYFUNCTION("GoogleTranslate(C131, ""en"", ""hu"")"),"US AQI szint")</f>
        <v>US AQI szint</v>
      </c>
      <c r="AD131" s="7" t="str">
        <f>IFERROR(__xludf.DUMMYFUNCTION("GoogleTranslate(C131, ""en"", ""is"")"),"Bandarískt AQI stig")</f>
        <v>Bandarískt AQI stig</v>
      </c>
      <c r="AE131" s="7" t="str">
        <f>IFERROR(__xludf.DUMMYFUNCTION("GoogleTranslate(C131, ""en"", ""id"")"),"Tingkat AQI AS")</f>
        <v>Tingkat AQI AS</v>
      </c>
      <c r="AF131" s="7" t="str">
        <f>IFERROR(__xludf.DUMMYFUNCTION("GoogleTranslate(C131, ""en"", ""in"")"),"Tingkat AQI AS")</f>
        <v>Tingkat AQI AS</v>
      </c>
      <c r="AG131" s="7" t="str">
        <f>IFERROR(__xludf.DUMMYFUNCTION("GoogleTranslate(C131, ""en"", ""it"")"),"Livello AQI statunitense")</f>
        <v>Livello AQI statunitense</v>
      </c>
      <c r="AH131" s="7" t="str">
        <f>IFERROR(__xludf.DUMMYFUNCTION("GoogleTranslate(C131, ""en"", ""ja"")"),"米国の AQI レベル")</f>
        <v>米国の AQI レベル</v>
      </c>
      <c r="AI131" s="7" t="str">
        <f>IFERROR(__xludf.DUMMYFUNCTION("GoogleTranslate(C131, ""en"", ""kn"")"),"US AQI ಮಟ್ಟ")</f>
        <v>US AQI ಮಟ್ಟ</v>
      </c>
      <c r="AJ131" s="7" t="str">
        <f>IFERROR(__xludf.DUMMYFUNCTION("GoogleTranslate(C131, ""en"", ""km"")"),"កម្រិត AQI របស់សហរដ្ឋអាមេរិក")</f>
        <v>កម្រិត AQI របស់សហរដ្ឋអាមេរិក</v>
      </c>
      <c r="AK131" s="7" t="str">
        <f>IFERROR(__xludf.DUMMYFUNCTION("GoogleTranslate(C131, ""en"", ""ko"")"),"미국 AQI 수준")</f>
        <v>미국 AQI 수준</v>
      </c>
      <c r="AL131" s="7" t="str">
        <f>IFERROR(__xludf.DUMMYFUNCTION("GoogleTranslate(C131, ""en"", ""lo"")"),"ລະດັບ AQI ຂອງສະຫະລັດ")</f>
        <v>ລະດັບ AQI ຂອງສະຫະລັດ</v>
      </c>
      <c r="AM131" s="7" t="str">
        <f>IFERROR(__xludf.DUMMYFUNCTION("GoogleTranslate(C131, ""en"", ""lv"")"),"ASV AQI līmenis")</f>
        <v>ASV AQI līmenis</v>
      </c>
      <c r="AN131" s="7" t="str">
        <f>IFERROR(__xludf.DUMMYFUNCTION("GoogleTranslate(C131, ""en"", ""lt"")"),"JAV AQI lygis")</f>
        <v>JAV AQI lygis</v>
      </c>
      <c r="AO131" s="7" t="str">
        <f>IFERROR(__xludf.DUMMYFUNCTION("GoogleTranslate(C131, ""en"", ""mk"")"),"Ниво на AQI на САД")</f>
        <v>Ниво на AQI на САД</v>
      </c>
      <c r="AP131" s="7" t="str">
        <f>IFERROR(__xludf.DUMMYFUNCTION("GoogleTranslate(C131, ""en"", ""ms"")"),"Tahap AQI AS")</f>
        <v>Tahap AQI AS</v>
      </c>
      <c r="AQ131" s="7" t="str">
        <f>IFERROR(__xludf.DUMMYFUNCTION("GoogleTranslate(C131, ""en"", ""ml"")"),"യുഎസ് എക്യുഐ ലെവൽ")</f>
        <v>യുഎസ് എക്യുഐ ലെവൽ</v>
      </c>
      <c r="AR131" s="7" t="str">
        <f>IFERROR(__xludf.DUMMYFUNCTION("GoogleTranslate(C131, ""en"", ""mr"")"),"यूएस AQI पातळी")</f>
        <v>यूएस AQI पातळी</v>
      </c>
      <c r="AS131" s="7" t="str">
        <f>IFERROR(__xludf.DUMMYFUNCTION("GoogleTranslate(C131, ""en"", ""mn"")"),"АНУ-ын AQI түвшин")</f>
        <v>АНУ-ын AQI түвшин</v>
      </c>
      <c r="AT131" s="7" t="str">
        <f>IFERROR(__xludf.DUMMYFUNCTION("GoogleTranslate(C131, ""en"", ""ne"")"),"US AQI स्तर")</f>
        <v>US AQI स्तर</v>
      </c>
      <c r="AU131" s="7" t="str">
        <f>IFERROR(__xludf.DUMMYFUNCTION("GoogleTranslate(C131, ""en"", ""nb"")"),"AQI-nivå i USA")</f>
        <v>AQI-nivå i USA</v>
      </c>
      <c r="AV131" s="7" t="str">
        <f>IFERROR(__xludf.DUMMYFUNCTION("GoogleTranslate(C131, ""en"", ""fa"")"),"سطح AQI ایالات متحده")</f>
        <v>سطح AQI ایالات متحده</v>
      </c>
      <c r="AW131" s="7" t="str">
        <f>IFERROR(__xludf.DUMMYFUNCTION("GoogleTranslate(C131, ""en"", ""pl"")"),"Poziom AQI w USA")</f>
        <v>Poziom AQI w USA</v>
      </c>
      <c r="AX131" s="7" t="str">
        <f>IFERROR(__xludf.DUMMYFUNCTION("GoogleTranslate(C131, ""en"", ""pt"")"),"Nível AQI dos EUA")</f>
        <v>Nível AQI dos EUA</v>
      </c>
      <c r="AY131" s="7" t="str">
        <f>IFERROR(__xludf.DUMMYFUNCTION("GoogleTranslate(C131, ""en"", ""ro"")"),"Nivelul AQI al SUA")</f>
        <v>Nivelul AQI al SUA</v>
      </c>
      <c r="AZ131" s="7" t="str">
        <f>IFERROR(__xludf.DUMMYFUNCTION("GoogleTranslate(C131, ""en"", ""ru"")"),"Уровень AQI США")</f>
        <v>Уровень AQI США</v>
      </c>
      <c r="BA131" s="7" t="str">
        <f>IFERROR(__xludf.DUMMYFUNCTION("GoogleTranslate(C131, ""en"", ""sr"")"),"Ниво АКИ у САД")</f>
        <v>Ниво АКИ у САД</v>
      </c>
      <c r="BB131" s="7" t="str">
        <f>IFERROR(__xludf.DUMMYFUNCTION("GoogleTranslate(C131, ""en"", ""si"")"),"එක්සත් ජනපද AQI මට්ටම")</f>
        <v>එක්සත් ජනපද AQI මට්ටම</v>
      </c>
      <c r="BC131" s="7" t="str">
        <f>IFERROR(__xludf.DUMMYFUNCTION("GoogleTranslate(C131, ""en"", ""sk"")"),"Úroveň AQI v USA")</f>
        <v>Úroveň AQI v USA</v>
      </c>
      <c r="BD131" s="7" t="str">
        <f>IFERROR(__xludf.DUMMYFUNCTION("GoogleTranslate(C131, ""en"", ""sl"")"),"Stopnja AQI v ZDA")</f>
        <v>Stopnja AQI v ZDA</v>
      </c>
      <c r="BE131" s="7" t="str">
        <f>IFERROR(__xludf.DUMMYFUNCTION("GoogleTranslate(C131, ""en"", ""es"")"),"Nivel AQI de EE. UU.")</f>
        <v>Nivel AQI de EE. UU.</v>
      </c>
      <c r="BF131" s="7" t="str">
        <f>IFERROR(__xludf.DUMMYFUNCTION("GoogleTranslate(C131, ""en"", ""sw"")"),"Kiwango cha AQI cha Marekani")</f>
        <v>Kiwango cha AQI cha Marekani</v>
      </c>
      <c r="BG131" s="7" t="str">
        <f>IFERROR(__xludf.DUMMYFUNCTION("GoogleTranslate(C131, ""en"", ""sv"")"),"AQI-nivå i USA")</f>
        <v>AQI-nivå i USA</v>
      </c>
      <c r="BH131" s="7" t="str">
        <f>IFERROR(__xludf.DUMMYFUNCTION("GoogleTranslate(C131, ""en"", ""te"")"),"US AQI స్థాయి")</f>
        <v>US AQI స్థాయి</v>
      </c>
      <c r="BI131" s="7" t="str">
        <f>IFERROR(__xludf.DUMMYFUNCTION("GoogleTranslate(C131, ""en"", ""th"")"),"ระดับ AQI ของสหรัฐอเมริกา")</f>
        <v>ระดับ AQI ของสหรัฐอเมริกา</v>
      </c>
      <c r="BJ131" s="7" t="str">
        <f>IFERROR(__xludf.DUMMYFUNCTION("GoogleTranslate(C131, ""en"", ""tr"")"),"ABD AQI Seviyesi")</f>
        <v>ABD AQI Seviyesi</v>
      </c>
      <c r="BK131" s="7" t="str">
        <f>IFERROR(__xludf.DUMMYFUNCTION("GoogleTranslate(C131, ""en"", ""uk"")"),"Рівень AQI США")</f>
        <v>Рівень AQI США</v>
      </c>
      <c r="BL131" s="7" t="str">
        <f>IFERROR(__xludf.DUMMYFUNCTION("GoogleTranslate(C131, ""en"", ""zu"")"),"I-US AQI Level")</f>
        <v>I-US AQI Level</v>
      </c>
    </row>
    <row r="132">
      <c r="A132" s="5" t="str">
        <f t="shared" si="1"/>
        <v>Healthy_Recomendation</v>
      </c>
      <c r="B132" s="6" t="s">
        <v>188</v>
      </c>
      <c r="C132" s="5" t="str">
        <f t="shared" si="2"/>
        <v>Healthy Recomendation</v>
      </c>
      <c r="D132" s="7" t="str">
        <f>IFERROR(__xludf.DUMMYFUNCTION("GoogleTranslate(C132, ""en"", ""es"")"),"Recomendación saludable")</f>
        <v>Recomendación saludable</v>
      </c>
      <c r="E132" s="7" t="str">
        <f>IFERROR(__xludf.DUMMYFUNCTION("GoogleTranslate(C132, ""en"", ""ar"")"),"توصية صحية")</f>
        <v>توصية صحية</v>
      </c>
      <c r="F132" s="7" t="str">
        <f>IFERROR(__xludf.DUMMYFUNCTION("GoogleTranslate(C132, ""en"", ""hy"")"),"Առողջ խորհուրդ")</f>
        <v>Առողջ խորհուրդ</v>
      </c>
      <c r="G132" s="7" t="str">
        <f>IFERROR(__xludf.DUMMYFUNCTION("GoogleTranslate(C132, ""en"", ""vi"")"),"Khuyến nghị lành mạnh")</f>
        <v>Khuyến nghị lành mạnh</v>
      </c>
      <c r="H132" s="7" t="str">
        <f>IFERROR(__xludf.DUMMYFUNCTION("GoogleTranslate(C132, ""en"", ""az"")"),"Sağlam Tövsiyə")</f>
        <v>Sağlam Tövsiyə</v>
      </c>
      <c r="I132" s="7" t="str">
        <f>IFERROR(__xludf.DUMMYFUNCTION("GoogleTranslate(C132, ""en"", ""eu"")"),"Gomendio osasuntsua")</f>
        <v>Gomendio osasuntsua</v>
      </c>
      <c r="J132" s="7" t="str">
        <f>IFERROR(__xludf.DUMMYFUNCTION("GoogleTranslate(C132, ""en"", ""be"")"),"Здаровая рэкамендацыя")</f>
        <v>Здаровая рэкамендацыя</v>
      </c>
      <c r="K132" s="7" t="str">
        <f>IFERROR(__xludf.DUMMYFUNCTION("GoogleTranslate(C132, ""en"", ""bn"")"),"স্বাস্থ্যকর সুপারিশ")</f>
        <v>স্বাস্থ্যকর সুপারিশ</v>
      </c>
      <c r="L132" s="7" t="str">
        <f>IFERROR(__xludf.DUMMYFUNCTION("GoogleTranslate(C132, ""en"", ""bg"")"),"Здравословна препоръка")</f>
        <v>Здравословна препоръка</v>
      </c>
      <c r="M132" s="7" t="str">
        <f>IFERROR(__xludf.DUMMYFUNCTION("GoogleTranslate(C132, ""en"", ""my"")"),"ကျန်းမာကြောင်းထောက်ခံစာ")</f>
        <v>ကျန်းမာကြောင်းထောက်ခံစာ</v>
      </c>
      <c r="N132" s="7" t="str">
        <f>IFERROR(__xludf.DUMMYFUNCTION("GoogleTranslate(C132, ""en"", ""ca"")"),"Recomanació saludable")</f>
        <v>Recomanació saludable</v>
      </c>
      <c r="O132" s="7" t="str">
        <f>IFERROR(__xludf.DUMMYFUNCTION("GoogleTranslate(C132, ""en"", ""zh-cn"")"),"健康推荐")</f>
        <v>健康推荐</v>
      </c>
      <c r="P132" s="7" t="str">
        <f>IFERROR(__xludf.DUMMYFUNCTION("GoogleTranslate(C132, ""en"", ""zh-TW"")"),"健康推薦")</f>
        <v>健康推薦</v>
      </c>
      <c r="Q132" s="7" t="str">
        <f>IFERROR(__xludf.DUMMYFUNCTION("GoogleTranslate(C132, ""en"", ""hr"")"),"Zdrava preporuka")</f>
        <v>Zdrava preporuka</v>
      </c>
      <c r="R132" s="7" t="str">
        <f>IFERROR(__xludf.DUMMYFUNCTION("GoogleTranslate(C132, ""en"", ""cs"")"),"Zdravé doporučení")</f>
        <v>Zdravé doporučení</v>
      </c>
      <c r="S132" s="7" t="str">
        <f>IFERROR(__xludf.DUMMYFUNCTION("GoogleTranslate(C132, ""en"", ""da"")"),"Sund anbefaling")</f>
        <v>Sund anbefaling</v>
      </c>
      <c r="T132" s="7" t="str">
        <f>IFERROR(__xludf.DUMMYFUNCTION("GoogleTranslate(C132, ""en"", ""nl"")"),"Gezonde aanbeveling")</f>
        <v>Gezonde aanbeveling</v>
      </c>
      <c r="U132" s="7" t="str">
        <f>IFERROR(__xludf.DUMMYFUNCTION("GoogleTranslate(C132, ""en"", ""et"")"),"Tervislik soovitus")</f>
        <v>Tervislik soovitus</v>
      </c>
      <c r="V132" s="5" t="str">
        <f t="shared" si="3"/>
        <v>Healthy Recomendation</v>
      </c>
      <c r="W132" s="7" t="str">
        <f>IFERROR(__xludf.DUMMYFUNCTION("GoogleTranslate(C132, ""en"", ""fi"")"),"Terve suositus")</f>
        <v>Terve suositus</v>
      </c>
      <c r="X132" s="7" t="str">
        <f>IFERROR(__xludf.DUMMYFUNCTION("GoogleTranslate(C132, ""en"", ""fr"")"),"Recommandation saine")</f>
        <v>Recommandation saine</v>
      </c>
      <c r="Y132" s="7" t="str">
        <f>IFERROR(__xludf.DUMMYFUNCTION("GoogleTranslate(C132, ""en"", ""de"")"),"Gesunde Empfehlung")</f>
        <v>Gesunde Empfehlung</v>
      </c>
      <c r="Z132" s="7" t="str">
        <f>IFERROR(__xludf.DUMMYFUNCTION("GoogleTranslate(C132, ""en"", ""el"")"),"Υγιεινή Σύσταση")</f>
        <v>Υγιεινή Σύσταση</v>
      </c>
      <c r="AA132" s="7" t="str">
        <f>IFERROR(__xludf.DUMMYFUNCTION("GoogleTranslate(C132, ""en"", ""iw"")"),"המלצה בריאה")</f>
        <v>המלצה בריאה</v>
      </c>
      <c r="AB132" s="7" t="str">
        <f>IFERROR(__xludf.DUMMYFUNCTION("GoogleTranslate(C132, ""en"", ""hi"")"),"स्वस्थ अनुशंसा")</f>
        <v>स्वस्थ अनुशंसा</v>
      </c>
      <c r="AC132" s="7" t="str">
        <f>IFERROR(__xludf.DUMMYFUNCTION("GoogleTranslate(C132, ""en"", ""hu"")"),"Egészséges ajánlás")</f>
        <v>Egészséges ajánlás</v>
      </c>
      <c r="AD132" s="7" t="str">
        <f>IFERROR(__xludf.DUMMYFUNCTION("GoogleTranslate(C132, ""en"", ""is"")"),"Heilbrigð meðmæli")</f>
        <v>Heilbrigð meðmæli</v>
      </c>
      <c r="AE132" s="7" t="str">
        <f>IFERROR(__xludf.DUMMYFUNCTION("GoogleTranslate(C132, ""en"", ""id"")"),"Rekomendasi Sehat")</f>
        <v>Rekomendasi Sehat</v>
      </c>
      <c r="AF132" s="7" t="str">
        <f>IFERROR(__xludf.DUMMYFUNCTION("GoogleTranslate(C132, ""en"", ""in"")"),"Rekomendasi Sehat")</f>
        <v>Rekomendasi Sehat</v>
      </c>
      <c r="AG132" s="7" t="str">
        <f>IFERROR(__xludf.DUMMYFUNCTION("GoogleTranslate(C132, ""en"", ""it"")"),"Raccomandazione salutare")</f>
        <v>Raccomandazione salutare</v>
      </c>
      <c r="AH132" s="7" t="str">
        <f>IFERROR(__xludf.DUMMYFUNCTION("GoogleTranslate(C132, ""en"", ""ja"")"),"健康のすすめ")</f>
        <v>健康のすすめ</v>
      </c>
      <c r="AI132" s="7" t="str">
        <f>IFERROR(__xludf.DUMMYFUNCTION("GoogleTranslate(C132, ""en"", ""kn"")"),"ಆರೋಗ್ಯಕರ ಶಿಫಾರಸು")</f>
        <v>ಆರೋಗ್ಯಕರ ಶಿಫಾರಸು</v>
      </c>
      <c r="AJ132" s="7" t="str">
        <f>IFERROR(__xludf.DUMMYFUNCTION("GoogleTranslate(C132, ""en"", ""km"")"),"អនុសាសន៍សុខភាព")</f>
        <v>អនុសាសន៍សុខភាព</v>
      </c>
      <c r="AK132" s="7" t="str">
        <f>IFERROR(__xludf.DUMMYFUNCTION("GoogleTranslate(C132, ""en"", ""ko"")"),"건강한 추천")</f>
        <v>건강한 추천</v>
      </c>
      <c r="AL132" s="7" t="str">
        <f>IFERROR(__xludf.DUMMYFUNCTION("GoogleTranslate(C132, ""en"", ""lo"")"),"ຄໍາແນະນໍາສຸຂະພາບ")</f>
        <v>ຄໍາແນະນໍາສຸຂະພາບ</v>
      </c>
      <c r="AM132" s="7" t="str">
        <f>IFERROR(__xludf.DUMMYFUNCTION("GoogleTranslate(C132, ""en"", ""lv"")"),"Veselīgs ieteikums")</f>
        <v>Veselīgs ieteikums</v>
      </c>
      <c r="AN132" s="7" t="str">
        <f>IFERROR(__xludf.DUMMYFUNCTION("GoogleTranslate(C132, ""en"", ""lt"")"),"Sveika rekomendacija")</f>
        <v>Sveika rekomendacija</v>
      </c>
      <c r="AO132" s="7" t="str">
        <f>IFERROR(__xludf.DUMMYFUNCTION("GoogleTranslate(C132, ""en"", ""mk"")"),"Здрава препорака")</f>
        <v>Здрава препорака</v>
      </c>
      <c r="AP132" s="7" t="str">
        <f>IFERROR(__xludf.DUMMYFUNCTION("GoogleTranslate(C132, ""en"", ""ms"")"),"Cadangan Sihat")</f>
        <v>Cadangan Sihat</v>
      </c>
      <c r="AQ132" s="7" t="str">
        <f>IFERROR(__xludf.DUMMYFUNCTION("GoogleTranslate(C132, ""en"", ""ml"")"),"ആരോഗ്യകരമായ ശുപാർശ")</f>
        <v>ആരോഗ്യകരമായ ശുപാർശ</v>
      </c>
      <c r="AR132" s="7" t="str">
        <f>IFERROR(__xludf.DUMMYFUNCTION("GoogleTranslate(C132, ""en"", ""mr"")"),"आरोग्यदायी शिफारस")</f>
        <v>आरोग्यदायी शिफारस</v>
      </c>
      <c r="AS132" s="7" t="str">
        <f>IFERROR(__xludf.DUMMYFUNCTION("GoogleTranslate(C132, ""en"", ""mn"")"),"Эрүүл мэндийн зөвлөмж")</f>
        <v>Эрүүл мэндийн зөвлөмж</v>
      </c>
      <c r="AT132" s="7" t="str">
        <f>IFERROR(__xludf.DUMMYFUNCTION("GoogleTranslate(C132, ""en"", ""ne"")"),"स्वस्थ सिफारिस")</f>
        <v>स्वस्थ सिफारिस</v>
      </c>
      <c r="AU132" s="7" t="str">
        <f>IFERROR(__xludf.DUMMYFUNCTION("GoogleTranslate(C132, ""en"", ""nb"")"),"Sunn anbefaling")</f>
        <v>Sunn anbefaling</v>
      </c>
      <c r="AV132" s="7" t="str">
        <f>IFERROR(__xludf.DUMMYFUNCTION("GoogleTranslate(C132, ""en"", ""fa"")"),"توصیه سالم")</f>
        <v>توصیه سالم</v>
      </c>
      <c r="AW132" s="7" t="str">
        <f>IFERROR(__xludf.DUMMYFUNCTION("GoogleTranslate(C132, ""en"", ""pl"")"),"Zdrowa rekomendacja")</f>
        <v>Zdrowa rekomendacja</v>
      </c>
      <c r="AX132" s="7" t="str">
        <f>IFERROR(__xludf.DUMMYFUNCTION("GoogleTranslate(C132, ""en"", ""pt"")"),"Recomendação Saudável")</f>
        <v>Recomendação Saudável</v>
      </c>
      <c r="AY132" s="7" t="str">
        <f>IFERROR(__xludf.DUMMYFUNCTION("GoogleTranslate(C132, ""en"", ""ro"")"),"Recomandare Sanatoasa")</f>
        <v>Recomandare Sanatoasa</v>
      </c>
      <c r="AZ132" s="7" t="str">
        <f>IFERROR(__xludf.DUMMYFUNCTION("GoogleTranslate(C132, ""en"", ""ru"")"),"Здоровая рекомендация")</f>
        <v>Здоровая рекомендация</v>
      </c>
      <c r="BA132" s="7" t="str">
        <f>IFERROR(__xludf.DUMMYFUNCTION("GoogleTranslate(C132, ""en"", ""sr"")"),"Здрава препорука")</f>
        <v>Здрава препорука</v>
      </c>
      <c r="BB132" s="7" t="str">
        <f>IFERROR(__xludf.DUMMYFUNCTION("GoogleTranslate(C132, ""en"", ""si"")"),"සෞඛ්ය සම්පන්න නිර්දේශය")</f>
        <v>සෞඛ්ය සම්පන්න නිර්දේශය</v>
      </c>
      <c r="BC132" s="7" t="str">
        <f>IFERROR(__xludf.DUMMYFUNCTION("GoogleTranslate(C132, ""en"", ""sk"")"),"Zdravé odporúčanie")</f>
        <v>Zdravé odporúčanie</v>
      </c>
      <c r="BD132" s="7" t="str">
        <f>IFERROR(__xludf.DUMMYFUNCTION("GoogleTranslate(C132, ""en"", ""sl"")"),"Zdravo priporočilo")</f>
        <v>Zdravo priporočilo</v>
      </c>
      <c r="BE132" s="7" t="str">
        <f>IFERROR(__xludf.DUMMYFUNCTION("GoogleTranslate(C132, ""en"", ""es"")"),"Recomendación saludable")</f>
        <v>Recomendación saludable</v>
      </c>
      <c r="BF132" s="7" t="str">
        <f>IFERROR(__xludf.DUMMYFUNCTION("GoogleTranslate(C132, ""en"", ""sw"")"),"Mapendekezo ya Afya")</f>
        <v>Mapendekezo ya Afya</v>
      </c>
      <c r="BG132" s="7" t="str">
        <f>IFERROR(__xludf.DUMMYFUNCTION("GoogleTranslate(C132, ""en"", ""sv"")"),"Hälsosam rekommendation")</f>
        <v>Hälsosam rekommendation</v>
      </c>
      <c r="BH132" s="7" t="str">
        <f>IFERROR(__xludf.DUMMYFUNCTION("GoogleTranslate(C132, ""en"", ""te"")"),"ఆరోగ్యకరమైన సిఫార్సు")</f>
        <v>ఆరోగ్యకరమైన సిఫార్సు</v>
      </c>
      <c r="BI132" s="7" t="str">
        <f>IFERROR(__xludf.DUMMYFUNCTION("GoogleTranslate(C132, ""en"", ""th"")"),"คำแนะนำเรื่องสุขภาพ")</f>
        <v>คำแนะนำเรื่องสุขภาพ</v>
      </c>
      <c r="BJ132" s="7" t="str">
        <f>IFERROR(__xludf.DUMMYFUNCTION("GoogleTranslate(C132, ""en"", ""tr"")"),"Sağlıklı Öneri")</f>
        <v>Sağlıklı Öneri</v>
      </c>
      <c r="BK132" s="7" t="str">
        <f>IFERROR(__xludf.DUMMYFUNCTION("GoogleTranslate(C132, ""en"", ""uk"")"),"Здорова рекомендація")</f>
        <v>Здорова рекомендація</v>
      </c>
      <c r="BL132" s="7" t="str">
        <f>IFERROR(__xludf.DUMMYFUNCTION("GoogleTranslate(C132, ""en"", ""zu"")"),"Iseluleko Esinempilo")</f>
        <v>Iseluleko Esinempilo</v>
      </c>
    </row>
    <row r="133">
      <c r="A133" s="5" t="str">
        <f t="shared" si="1"/>
        <v>Air_quality_is_satisfactory_and_poses_little_or_no_risk</v>
      </c>
      <c r="B133" s="6" t="s">
        <v>189</v>
      </c>
      <c r="C133" s="5" t="str">
        <f t="shared" si="2"/>
        <v>Air quality is satisfactory and poses little or no risk</v>
      </c>
      <c r="D133" s="7" t="str">
        <f>IFERROR(__xludf.DUMMYFUNCTION("GoogleTranslate(C133, ""en"", ""es"")"),"La calidad del aire es satisfactoria y presenta poco o ningún riesgo.")</f>
        <v>La calidad del aire es satisfactoria y presenta poco o ningún riesgo.</v>
      </c>
      <c r="E133" s="7" t="str">
        <f>IFERROR(__xludf.DUMMYFUNCTION("GoogleTranslate(C133, ""en"", ""ar"")"),"جودة الهواء مرضية ولا تشكل أي خطر يذكر أو لا تشكل أي خطر على الإطلاق")</f>
        <v>جودة الهواء مرضية ولا تشكل أي خطر يذكر أو لا تشكل أي خطر على الإطلاق</v>
      </c>
      <c r="F133" s="7" t="str">
        <f>IFERROR(__xludf.DUMMYFUNCTION("GoogleTranslate(C133, ""en"", ""hy"")"),"Օդի որակը գոհացուցիչ է և քիչ վտանգ է ներկայացնում կամ ընդհանրապես ռիսկ չի ներկայացնում")</f>
        <v>Օդի որակը գոհացուցիչ է և քիչ վտանգ է ներկայացնում կամ ընդհանրապես ռիսկ չի ներկայացնում</v>
      </c>
      <c r="G133" s="7" t="str">
        <f>IFERROR(__xludf.DUMMYFUNCTION("GoogleTranslate(C133, ""en"", ""vi"")"),"Chất lượng không khí đạt yêu cầu và có ít hoặc không có rủi ro")</f>
        <v>Chất lượng không khí đạt yêu cầu và có ít hoặc không có rủi ro</v>
      </c>
      <c r="H133" s="7" t="str">
        <f>IFERROR(__xludf.DUMMYFUNCTION("GoogleTranslate(C133, ""en"", ""az"")"),"Havanın keyfiyyəti qənaətbəxşdir və az və ya heç bir risk yaratmır")</f>
        <v>Havanın keyfiyyəti qənaətbəxşdir və az və ya heç bir risk yaratmır</v>
      </c>
      <c r="I133" s="7" t="str">
        <f>IFERROR(__xludf.DUMMYFUNCTION("GoogleTranslate(C133, ""en"", ""eu"")"),"Airearen kalitatea egokia da eta arrisku gutxi edo batere ez dakar")</f>
        <v>Airearen kalitatea egokia da eta arrisku gutxi edo batere ez dakar</v>
      </c>
      <c r="J133" s="7" t="str">
        <f>IFERROR(__xludf.DUMMYFUNCTION("GoogleTranslate(C133, ""en"", ""be"")"),"Якасць паветра здавальняючая і практычна не ўяўляе рызыкі")</f>
        <v>Якасць паветра здавальняючая і практычна не ўяўляе рызыкі</v>
      </c>
      <c r="K133" s="7" t="str">
        <f>IFERROR(__xludf.DUMMYFUNCTION("GoogleTranslate(C133, ""en"", ""bn"")"),"বায়ুর মান সন্তোষজনক এবং সামান্য বা কোন ঝুঁকি নেই")</f>
        <v>বায়ুর মান সন্তোষজনক এবং সামান্য বা কোন ঝুঁকি নেই</v>
      </c>
      <c r="L133" s="7" t="str">
        <f>IFERROR(__xludf.DUMMYFUNCTION("GoogleTranslate(C133, ""en"", ""bg"")"),"Качеството на въздуха е задоволително и представлява малък или никакъв риск")</f>
        <v>Качеството на въздуха е задоволително и представлява малък или никакъв риск</v>
      </c>
      <c r="M133" s="7" t="str">
        <f>IFERROR(__xludf.DUMMYFUNCTION("GoogleTranslate(C133, ""en"", ""my"")"),"လေအရည်အသွေးသည် ကျေနပ်ဖွယ်ရှိပြီး အန္တရာယ်အနည်းငယ် သို့မဟုတ် လုံးဝမရှိပါ။")</f>
        <v>လေအရည်အသွေးသည် ကျေနပ်ဖွယ်ရှိပြီး အန္တရာယ်အနည်းငယ် သို့မဟုတ် လုံးဝမရှိပါ။</v>
      </c>
      <c r="N133" s="7" t="str">
        <f>IFERROR(__xludf.DUMMYFUNCTION("GoogleTranslate(C133, ""en"", ""ca"")"),"La qualitat de l'aire és satisfactòria i suposa poc o cap risc")</f>
        <v>La qualitat de l'aire és satisfactòria i suposa poc o cap risc</v>
      </c>
      <c r="O133" s="7" t="str">
        <f>IFERROR(__xludf.DUMMYFUNCTION("GoogleTranslate(C133, ""en"", ""zh-cn"")"),"空气质量令人满意，风险很小或没有")</f>
        <v>空气质量令人满意，风险很小或没有</v>
      </c>
      <c r="P133" s="7" t="str">
        <f>IFERROR(__xludf.DUMMYFUNCTION("GoogleTranslate(C133, ""en"", ""zh-TW"")"),"空氣品質令人滿意，風險很小或沒有")</f>
        <v>空氣品質令人滿意，風險很小或沒有</v>
      </c>
      <c r="Q133" s="7" t="str">
        <f>IFERROR(__xludf.DUMMYFUNCTION("GoogleTranslate(C133, ""en"", ""hr"")"),"Kvaliteta zraka je zadovoljavajuća i predstavlja mali ili nikakav rizik")</f>
        <v>Kvaliteta zraka je zadovoljavajuća i predstavlja mali ili nikakav rizik</v>
      </c>
      <c r="R133" s="7" t="str">
        <f>IFERROR(__xludf.DUMMYFUNCTION("GoogleTranslate(C133, ""en"", ""cs"")"),"Kvalita vzduchu je uspokojivá a představuje malé nebo žádné riziko")</f>
        <v>Kvalita vzduchu je uspokojivá a představuje malé nebo žádné riziko</v>
      </c>
      <c r="S133" s="7" t="str">
        <f>IFERROR(__xludf.DUMMYFUNCTION("GoogleTranslate(C133, ""en"", ""da"")"),"Luftkvaliteten er tilfredsstillende og udgør ringe eller ingen risiko")</f>
        <v>Luftkvaliteten er tilfredsstillende og udgør ringe eller ingen risiko</v>
      </c>
      <c r="T133" s="7" t="str">
        <f>IFERROR(__xludf.DUMMYFUNCTION("GoogleTranslate(C133, ""en"", ""nl"")"),"De luchtkwaliteit is bevredigend en vormt weinig tot geen risico")</f>
        <v>De luchtkwaliteit is bevredigend en vormt weinig tot geen risico</v>
      </c>
      <c r="U133" s="7" t="str">
        <f>IFERROR(__xludf.DUMMYFUNCTION("GoogleTranslate(C133, ""en"", ""et"")"),"Õhukvaliteet on rahuldav ja kujutab endast vähest ohtu või üldse mitte")</f>
        <v>Õhukvaliteet on rahuldav ja kujutab endast vähest ohtu või üldse mitte</v>
      </c>
      <c r="V133" s="5" t="str">
        <f t="shared" si="3"/>
        <v>Air quality is satisfactory and poses little or no risk</v>
      </c>
      <c r="W133" s="7" t="str">
        <f>IFERROR(__xludf.DUMMYFUNCTION("GoogleTranslate(C133, ""en"", ""fi"")"),"Ilmanlaatu on tyydyttävä ja aiheuttaa vain vähän tai ei ollenkaan riskiä")</f>
        <v>Ilmanlaatu on tyydyttävä ja aiheuttaa vain vähän tai ei ollenkaan riskiä</v>
      </c>
      <c r="X133" s="7" t="str">
        <f>IFERROR(__xludf.DUMMYFUNCTION("GoogleTranslate(C133, ""en"", ""fr"")"),"La qualité de l'air est satisfaisante et ne présente que peu ou pas de risque")</f>
        <v>La qualité de l'air est satisfaisante et ne présente que peu ou pas de risque</v>
      </c>
      <c r="Y133" s="7" t="str">
        <f>IFERROR(__xludf.DUMMYFUNCTION("GoogleTranslate(C133, ""en"", ""de"")"),"Die Luftqualität ist zufriedenstellend und stellt kaum oder gar kein Risiko dar")</f>
        <v>Die Luftqualität ist zufriedenstellend und stellt kaum oder gar kein Risiko dar</v>
      </c>
      <c r="Z133" s="7" t="str">
        <f>IFERROR(__xludf.DUMMYFUNCTION("GoogleTranslate(C133, ""en"", ""el"")"),"Η ποιότητα του αέρα είναι ικανοποιητική και ενέχει ελάχιστο ή καθόλου κίνδυνο")</f>
        <v>Η ποιότητα του αέρα είναι ικανοποιητική και ενέχει ελάχιστο ή καθόλου κίνδυνο</v>
      </c>
      <c r="AA133" s="7" t="str">
        <f>IFERROR(__xludf.DUMMYFUNCTION("GoogleTranslate(C133, ""en"", ""iw"")"),"איכות האוויר משביעת רצון ומהווה סיכון מועט או לא")</f>
        <v>איכות האוויר משביעת רצון ומהווה סיכון מועט או לא</v>
      </c>
      <c r="AB133" s="7" t="str">
        <f>IFERROR(__xludf.DUMMYFUNCTION("GoogleTranslate(C133, ""en"", ""hi"")"),"हवा की गुणवत्ता संतोषजनक है और इससे बहुत कम या कोई खतरा नहीं है")</f>
        <v>हवा की गुणवत्ता संतोषजनक है और इससे बहुत कम या कोई खतरा नहीं है</v>
      </c>
      <c r="AC133" s="7" t="str">
        <f>IFERROR(__xludf.DUMMYFUNCTION("GoogleTranslate(C133, ""en"", ""hu"")"),"A levegő minősége kielégítő, és csekély kockázatot jelent, vagy egyáltalán nem")</f>
        <v>A levegő minősége kielégítő, és csekély kockázatot jelent, vagy egyáltalán nem</v>
      </c>
      <c r="AD133" s="7" t="str">
        <f>IFERROR(__xludf.DUMMYFUNCTION("GoogleTranslate(C133, ""en"", ""is"")"),"Loftgæði eru viðunandi og lítil sem engin hætta stafar af")</f>
        <v>Loftgæði eru viðunandi og lítil sem engin hætta stafar af</v>
      </c>
      <c r="AE133" s="7" t="str">
        <f>IFERROR(__xludf.DUMMYFUNCTION("GoogleTranslate(C133, ""en"", ""id"")"),"Kualitas udara memuaskan dan menimbulkan sedikit atau tanpa risiko")</f>
        <v>Kualitas udara memuaskan dan menimbulkan sedikit atau tanpa risiko</v>
      </c>
      <c r="AF133" s="7" t="str">
        <f>IFERROR(__xludf.DUMMYFUNCTION("GoogleTranslate(C133, ""en"", ""in"")"),"Kualitas udara memuaskan dan menimbulkan sedikit atau tanpa risiko")</f>
        <v>Kualitas udara memuaskan dan menimbulkan sedikit atau tanpa risiko</v>
      </c>
      <c r="AG133" s="7" t="str">
        <f>IFERROR(__xludf.DUMMYFUNCTION("GoogleTranslate(C133, ""en"", ""it"")"),"La qualità dell’aria è soddisfacente e presenta rischi minimi o nulli")</f>
        <v>La qualità dell’aria è soddisfacente e presenta rischi minimi o nulli</v>
      </c>
      <c r="AH133" s="7" t="str">
        <f>IFERROR(__xludf.DUMMYFUNCTION("GoogleTranslate(C133, ""en"", ""ja"")"),"大気の質は満足のいくものであり、リスクはほとんどまたはまったくありません")</f>
        <v>大気の質は満足のいくものであり、リスクはほとんどまたはまったくありません</v>
      </c>
      <c r="AI133" s="7" t="str">
        <f>IFERROR(__xludf.DUMMYFUNCTION("GoogleTranslate(C133, ""en"", ""kn"")"),"ಗಾಳಿಯ ಗುಣಮಟ್ಟವು ತೃಪ್ತಿಕರವಾಗಿದೆ ಮತ್ತು ಕಡಿಮೆ ಅಥವಾ ಯಾವುದೇ ಅಪಾಯವನ್ನು ಉಂಟುಮಾಡುವುದಿಲ್ಲ")</f>
        <v>ಗಾಳಿಯ ಗುಣಮಟ್ಟವು ತೃಪ್ತಿಕರವಾಗಿದೆ ಮತ್ತು ಕಡಿಮೆ ಅಥವಾ ಯಾವುದೇ ಅಪಾಯವನ್ನು ಉಂಟುಮಾಡುವುದಿಲ್ಲ</v>
      </c>
      <c r="AJ133" s="7" t="str">
        <f>IFERROR(__xludf.DUMMYFUNCTION("GoogleTranslate(C133, ""en"", ""km"")"),"គុណភាពខ្យល់គឺពេញចិត្ត ហើយបង្កហានិភ័យតិចតួច ឬគ្មាន")</f>
        <v>គុណភាពខ្យល់គឺពេញចិត្ត ហើយបង្កហានិភ័យតិចតួច ឬគ្មាន</v>
      </c>
      <c r="AK133" s="7" t="str">
        <f>IFERROR(__xludf.DUMMYFUNCTION("GoogleTranslate(C133, ""en"", ""ko"")"),"공기 질이 만족스럽고 위험이 거의 또는 전혀 없습니다.")</f>
        <v>공기 질이 만족스럽고 위험이 거의 또는 전혀 없습니다.</v>
      </c>
      <c r="AL133" s="7" t="str">
        <f>IFERROR(__xludf.DUMMYFUNCTION("GoogleTranslate(C133, ""en"", ""lo"")"),"ຄຸນນະພາບອາກາດເປັນທີ່ພໍໃຈ ແລະມີຄວາມສ່ຽງໜ້ອຍ ຫຼືບໍ່ມີເລີຍ")</f>
        <v>ຄຸນນະພາບອາກາດເປັນທີ່ພໍໃຈ ແລະມີຄວາມສ່ຽງໜ້ອຍ ຫຼືບໍ່ມີເລີຍ</v>
      </c>
      <c r="AM133" s="7" t="str">
        <f>IFERROR(__xludf.DUMMYFUNCTION("GoogleTranslate(C133, ""en"", ""lv"")"),"Gaisa kvalitāte ir apmierinoša un rada nelielu risku vai nemaz")</f>
        <v>Gaisa kvalitāte ir apmierinoša un rada nelielu risku vai nemaz</v>
      </c>
      <c r="AN133" s="7" t="str">
        <f>IFERROR(__xludf.DUMMYFUNCTION("GoogleTranslate(C133, ""en"", ""lt"")"),"Oro kokybė yra patenkinama ir nekelia jokios rizikos")</f>
        <v>Oro kokybė yra patenkinama ir nekelia jokios rizikos</v>
      </c>
      <c r="AO133" s="7" t="str">
        <f>IFERROR(__xludf.DUMMYFUNCTION("GoogleTranslate(C133, ""en"", ""mk"")"),"Квалитетот на воздухот е задоволителен и претставува мал или никаков ризик")</f>
        <v>Квалитетот на воздухот е задоволителен и претставува мал или никаков ризик</v>
      </c>
      <c r="AP133" s="7" t="str">
        <f>IFERROR(__xludf.DUMMYFUNCTION("GoogleTranslate(C133, ""en"", ""ms"")"),"Kualiti udara adalah memuaskan dan menimbulkan sedikit atau tiada risiko")</f>
        <v>Kualiti udara adalah memuaskan dan menimbulkan sedikit atau tiada risiko</v>
      </c>
      <c r="AQ133" s="7" t="str">
        <f>IFERROR(__xludf.DUMMYFUNCTION("GoogleTranslate(C133, ""en"", ""ml"")"),"വായുവിൻ്റെ ഗുണനിലവാരം തൃപ്തികരവും അപകടസാധ്യത കുറവോ ഇല്ലയോ ആണ്")</f>
        <v>വായുവിൻ്റെ ഗുണനിലവാരം തൃപ്തികരവും അപകടസാധ്യത കുറവോ ഇല്ലയോ ആണ്</v>
      </c>
      <c r="AR133" s="7" t="str">
        <f>IFERROR(__xludf.DUMMYFUNCTION("GoogleTranslate(C133, ""en"", ""mr"")"),"हवेची गुणवत्ता समाधानकारक आहे आणि कमी किंवा कोणताही धोका नाही")</f>
        <v>हवेची गुणवत्ता समाधानकारक आहे आणि कमी किंवा कोणताही धोका नाही</v>
      </c>
      <c r="AS133" s="7" t="str">
        <f>IFERROR(__xludf.DUMMYFUNCTION("GoogleTranslate(C133, ""en"", ""mn"")"),"Агаарын чанар хангалттай, эрсдэл багатай эсвэл огт байхгүй")</f>
        <v>Агаарын чанар хангалттай, эрсдэл багатай эсвэл огт байхгүй</v>
      </c>
      <c r="AT133" s="7" t="str">
        <f>IFERROR(__xludf.DUMMYFUNCTION("GoogleTranslate(C133, ""en"", ""ne"")"),"हावाको गुणस्तर सन्तोषजनक छ र यसले कम वा कुनै जोखिम उत्पन्न गर्दैन")</f>
        <v>हावाको गुणस्तर सन्तोषजनक छ र यसले कम वा कुनै जोखिम उत्पन्न गर्दैन</v>
      </c>
      <c r="AU133" s="7" t="str">
        <f>IFERROR(__xludf.DUMMYFUNCTION("GoogleTranslate(C133, ""en"", ""nb"")"),"Luftkvaliteten er tilfredsstillende og utgjør liten eller ingen risiko")</f>
        <v>Luftkvaliteten er tilfredsstillende og utgjør liten eller ingen risiko</v>
      </c>
      <c r="AV133" s="7" t="str">
        <f>IFERROR(__xludf.DUMMYFUNCTION("GoogleTranslate(C133, ""en"", ""fa"")"),"کیفیت هوا رضایت بخش است و خطر کمی یا بدون خطر دارد")</f>
        <v>کیفیت هوا رضایت بخش است و خطر کمی یا بدون خطر دارد</v>
      </c>
      <c r="AW133" s="7" t="str">
        <f>IFERROR(__xludf.DUMMYFUNCTION("GoogleTranslate(C133, ""en"", ""pl"")"),"Jakość powietrza jest zadowalająca i stwarza niewielkie ryzyko lub nie stwarza żadnego zagrożenia")</f>
        <v>Jakość powietrza jest zadowalająca i stwarza niewielkie ryzyko lub nie stwarza żadnego zagrożenia</v>
      </c>
      <c r="AX133" s="7" t="str">
        <f>IFERROR(__xludf.DUMMYFUNCTION("GoogleTranslate(C133, ""en"", ""pt"")"),"A qualidade do ar é satisfatória e representa pouco ou nenhum risco")</f>
        <v>A qualidade do ar é satisfatória e representa pouco ou nenhum risco</v>
      </c>
      <c r="AY133" s="7" t="str">
        <f>IFERROR(__xludf.DUMMYFUNCTION("GoogleTranslate(C133, ""en"", ""ro"")"),"Calitatea aerului este satisfăcătoare și prezintă un risc redus sau deloc")</f>
        <v>Calitatea aerului este satisfăcătoare și prezintă un risc redus sau deloc</v>
      </c>
      <c r="AZ133" s="7" t="str">
        <f>IFERROR(__xludf.DUMMYFUNCTION("GoogleTranslate(C133, ""en"", ""ru"")"),"Качество воздуха удовлетворительное и представляет небольшой риск или вообще не представляет его.")</f>
        <v>Качество воздуха удовлетворительное и представляет небольшой риск или вообще не представляет его.</v>
      </c>
      <c r="BA133" s="7" t="str">
        <f>IFERROR(__xludf.DUMMYFUNCTION("GoogleTranslate(C133, ""en"", ""sr"")"),"Квалитет ваздуха је задовољавајући и представља мали или никакав ризик")</f>
        <v>Квалитет ваздуха је задовољавајући и представља мали или никакав ризик</v>
      </c>
      <c r="BB133" s="7" t="str">
        <f>IFERROR(__xludf.DUMMYFUNCTION("GoogleTranslate(C133, ""en"", ""si"")"),"වාතයේ ගුණාත්මකභාවය සතුටුදායක වන අතර සුළු හෝ අවදානමක් නොමැත")</f>
        <v>වාතයේ ගුණාත්මකභාවය සතුටුදායක වන අතර සුළු හෝ අවදානමක් නොමැත</v>
      </c>
      <c r="BC133" s="7" t="str">
        <f>IFERROR(__xludf.DUMMYFUNCTION("GoogleTranslate(C133, ""en"", ""sk"")"),"Kvalita vzduchu je uspokojivá a predstavuje malé alebo žiadne riziko")</f>
        <v>Kvalita vzduchu je uspokojivá a predstavuje malé alebo žiadne riziko</v>
      </c>
      <c r="BD133" s="7" t="str">
        <f>IFERROR(__xludf.DUMMYFUNCTION("GoogleTranslate(C133, ""en"", ""sl"")"),"Kakovost zraka je zadovoljiva in predstavlja malo ali nič tveganja")</f>
        <v>Kakovost zraka je zadovoljiva in predstavlja malo ali nič tveganja</v>
      </c>
      <c r="BE133" s="7" t="str">
        <f>IFERROR(__xludf.DUMMYFUNCTION("GoogleTranslate(C133, ""en"", ""es"")"),"La calidad del aire es satisfactoria y presenta poco o ningún riesgo.")</f>
        <v>La calidad del aire es satisfactoria y presenta poco o ningún riesgo.</v>
      </c>
      <c r="BF133" s="7" t="str">
        <f>IFERROR(__xludf.DUMMYFUNCTION("GoogleTranslate(C133, ""en"", ""sw"")"),"Ubora wa hewa ni wa kuridhisha na unaleta hatari kidogo au hakuna kabisa")</f>
        <v>Ubora wa hewa ni wa kuridhisha na unaleta hatari kidogo au hakuna kabisa</v>
      </c>
      <c r="BG133" s="7" t="str">
        <f>IFERROR(__xludf.DUMMYFUNCTION("GoogleTranslate(C133, ""en"", ""sv"")"),"Luftkvaliteten är tillfredsställande och utgör liten eller ingen risk")</f>
        <v>Luftkvaliteten är tillfredsställande och utgör liten eller ingen risk</v>
      </c>
      <c r="BH133" s="7" t="str">
        <f>IFERROR(__xludf.DUMMYFUNCTION("GoogleTranslate(C133, ""en"", ""te"")"),"గాలి నాణ్యత సంతృప్తికరంగా ఉంది మరియు తక్కువ లేదా ఎటువంటి ప్రమాదం లేదు")</f>
        <v>గాలి నాణ్యత సంతృప్తికరంగా ఉంది మరియు తక్కువ లేదా ఎటువంటి ప్రమాదం లేదు</v>
      </c>
      <c r="BI133" s="7" t="str">
        <f>IFERROR(__xludf.DUMMYFUNCTION("GoogleTranslate(C133, ""en"", ""th"")"),"คุณภาพอากาศอยู่ในเกณฑ์น่าพอใจและมีความเสี่ยงเพียงเล็กน้อยหรือไม่มีเลย")</f>
        <v>คุณภาพอากาศอยู่ในเกณฑ์น่าพอใจและมีความเสี่ยงเพียงเล็กน้อยหรือไม่มีเลย</v>
      </c>
      <c r="BJ133" s="7" t="str">
        <f>IFERROR(__xludf.DUMMYFUNCTION("GoogleTranslate(C133, ""en"", ""tr"")"),"Hava kalitesi tatmin edicidir ve çok az risk oluşturur veya hiç risk oluşturmaz")</f>
        <v>Hava kalitesi tatmin edicidir ve çok az risk oluşturur veya hiç risk oluşturmaz</v>
      </c>
      <c r="BK133" s="7" t="str">
        <f>IFERROR(__xludf.DUMMYFUNCTION("GoogleTranslate(C133, ""en"", ""uk"")"),"Якість повітря задовільна, небезпеки незначні або відсутні")</f>
        <v>Якість повітря задовільна, небезпеки незначні або відсутні</v>
      </c>
      <c r="BL133" s="7" t="str">
        <f>IFERROR(__xludf.DUMMYFUNCTION("GoogleTranslate(C133, ""en"", ""zu"")"),"Ikhwalithi yomoya iyanelisa futhi ibeka ingozi encane noma ayinazo nhlobo")</f>
        <v>Ikhwalithi yomoya iyanelisa futhi ibeka ingozi encane noma ayinazo nhlobo</v>
      </c>
    </row>
    <row r="134">
      <c r="A134" s="5" t="str">
        <f t="shared" si="1"/>
        <v>Sensitive_individuals_should_avoid_outdoor_activity_as_they_may_experience_respiraory_symtoms.</v>
      </c>
      <c r="B134" s="6" t="s">
        <v>190</v>
      </c>
      <c r="C134" s="5" t="str">
        <f t="shared" si="2"/>
        <v>Sensitive individuals should avoid outdoor activity as they may experience respiraory symtoms.</v>
      </c>
      <c r="D134" s="7" t="str">
        <f>IFERROR(__xludf.DUMMYFUNCTION("GoogleTranslate(C134, ""en"", ""es"")"),"Las personas sensibles deben evitar las actividades al aire libre ya que pueden experimentar síntomas respiratorios.")</f>
        <v>Las personas sensibles deben evitar las actividades al aire libre ya que pueden experimentar síntomas respiratorios.</v>
      </c>
      <c r="E134" s="7" t="str">
        <f>IFERROR(__xludf.DUMMYFUNCTION("GoogleTranslate(C134, ""en"", ""ar"")"),"يجب على الأفراد الحساسين تجنب الأنشطة الخارجية لأنهم قد يعانون من أعراض تنفسية.")</f>
        <v>يجب على الأفراد الحساسين تجنب الأنشطة الخارجية لأنهم قد يعانون من أعراض تنفسية.</v>
      </c>
      <c r="F134" s="7" t="str">
        <f>IFERROR(__xludf.DUMMYFUNCTION("GoogleTranslate(C134, ""en"", ""hy"")"),"Զգայուն անհատները պետք է խուսափեն բացօթյա գործունեությունից, քանի որ նրանք կարող են զգալ շնչառական ախտանիշներ:")</f>
        <v>Զգայուն անհատները պետք է խուսափեն բացօթյա գործունեությունից, քանի որ նրանք կարող են զգալ շնչառական ախտանիշներ:</v>
      </c>
      <c r="G134" s="7" t="str">
        <f>IFERROR(__xludf.DUMMYFUNCTION("GoogleTranslate(C134, ""en"", ""vi"")"),"Những người nhạy cảm nên tránh hoạt động ngoài trời vì họ có thể gặp các triệu chứng về hô hấp.")</f>
        <v>Những người nhạy cảm nên tránh hoạt động ngoài trời vì họ có thể gặp các triệu chứng về hô hấp.</v>
      </c>
      <c r="H134" s="7" t="str">
        <f>IFERROR(__xludf.DUMMYFUNCTION("GoogleTranslate(C134, ""en"", ""az"")"),"Həssas insanlar tənəffüs əlamətləri ilə qarşılaşa biləcəyi üçün açıq havada fəaliyyətdən çəkinməlidirlər.")</f>
        <v>Həssas insanlar tənəffüs əlamətləri ilə qarşılaşa biləcəyi üçün açıq havada fəaliyyətdən çəkinməlidirlər.</v>
      </c>
      <c r="I134" s="7" t="str">
        <f>IFERROR(__xludf.DUMMYFUNCTION("GoogleTranslate(C134, ""en"", ""eu"")"),"Pertsona sentikorrenek kanpoko jarduerak saihestu behar dituzte, arnas-sintomak izan ditzakete eta.")</f>
        <v>Pertsona sentikorrenek kanpoko jarduerak saihestu behar dituzte, arnas-sintomak izan ditzakete eta.</v>
      </c>
      <c r="J134" s="7" t="str">
        <f>IFERROR(__xludf.DUMMYFUNCTION("GoogleTranslate(C134, ""en"", ""be"")"),"Адчувальным асобам варта пазбягаць актыўнага адпачынку, бо ў іх могуць узнікнуць рэспіраторныя сімптомы.")</f>
        <v>Адчувальным асобам варта пазбягаць актыўнага адпачынку, бо ў іх могуць узнікнуць рэспіраторныя сімптомы.</v>
      </c>
      <c r="K134" s="7" t="str">
        <f>IFERROR(__xludf.DUMMYFUNCTION("GoogleTranslate(C134, ""en"", ""bn"")"),"সংবেদনশীল ব্যক্তিদের বাইরের কার্যকলাপ এড়ানো উচিত কারণ তারা শ্বাসকষ্টের লক্ষণগুলি অনুভব করতে পারে।")</f>
        <v>সংবেদনশীল ব্যক্তিদের বাইরের কার্যকলাপ এড়ানো উচিত কারণ তারা শ্বাসকষ্টের লক্ষণগুলি অনুভব করতে পারে।</v>
      </c>
      <c r="L134" s="7" t="str">
        <f>IFERROR(__xludf.DUMMYFUNCTION("GoogleTranslate(C134, ""en"", ""bg"")"),"Чувствителните хора трябва да избягват дейности на открито, тъй като могат да изпитат респираторни симптоми.")</f>
        <v>Чувствителните хора трябва да избягват дейности на открито, тъй като могат да изпитат респираторни симптоми.</v>
      </c>
      <c r="M134" s="7" t="str">
        <f>IFERROR(__xludf.DUMMYFUNCTION("GoogleTranslate(C134, ""en"", ""my"")"),"အာရုံခံစားတတ်သူများသည် အသက်ရှူလမ်းကြောင်းဆိုင်ရာ လက္ခဏာများခံစားရနိုင်သောကြောင့် ပြင်ပလှုပ်ရှားမှုများကို ရှောင်ကြဉ်သင့်သည်။")</f>
        <v>အာရုံခံစားတတ်သူများသည် အသက်ရှူလမ်းကြောင်းဆိုင်ရာ လက္ခဏာများခံစားရနိုင်သောကြောင့် ပြင်ပလှုပ်ရှားမှုများကို ရှောင်ကြဉ်သင့်သည်။</v>
      </c>
      <c r="N134" s="7" t="str">
        <f>IFERROR(__xludf.DUMMYFUNCTION("GoogleTranslate(C134, ""en"", ""ca"")"),"Les persones sensibles haurien d'evitar l'activitat a l'aire lliure, ja que poden experimentar símptomes respiratoris.")</f>
        <v>Les persones sensibles haurien d'evitar l'activitat a l'aire lliure, ja que poden experimentar símptomes respiratoris.</v>
      </c>
      <c r="O134" s="7" t="str">
        <f>IFERROR(__xludf.DUMMYFUNCTION("GoogleTranslate(C134, ""en"", ""zh-cn"")"),"敏感人群应避免户外活动，因为他们可能会出现呼吸道症状。")</f>
        <v>敏感人群应避免户外活动，因为他们可能会出现呼吸道症状。</v>
      </c>
      <c r="P134" s="7" t="str">
        <f>IFERROR(__xludf.DUMMYFUNCTION("GoogleTranslate(C134, ""en"", ""zh-TW"")"),"敏感族群應避免戶外活動，因為他們可能會出現呼吸道症狀。")</f>
        <v>敏感族群應避免戶外活動，因為他們可能會出現呼吸道症狀。</v>
      </c>
      <c r="Q134" s="7" t="str">
        <f>IFERROR(__xludf.DUMMYFUNCTION("GoogleTranslate(C134, ""en"", ""hr"")"),"Osjetljive osobe trebaju izbjegavati aktivnosti na otvorenom jer mogu osjetiti respiratorne simptome.")</f>
        <v>Osjetljive osobe trebaju izbjegavati aktivnosti na otvorenom jer mogu osjetiti respiratorne simptome.</v>
      </c>
      <c r="R134" s="7" t="str">
        <f>IFERROR(__xludf.DUMMYFUNCTION("GoogleTranslate(C134, ""en"", ""cs"")"),"Citliví jedinci by se měli vyhýbat venkovním aktivitám, protože mohou pociťovat respirační příznaky.")</f>
        <v>Citliví jedinci by se měli vyhýbat venkovním aktivitám, protože mohou pociťovat respirační příznaky.</v>
      </c>
      <c r="S134" s="7" t="str">
        <f>IFERROR(__xludf.DUMMYFUNCTION("GoogleTranslate(C134, ""en"", ""da"")"),"Følsomme personer bør undgå udendørs aktivitet, da de kan opleve luftvejssymptomer.")</f>
        <v>Følsomme personer bør undgå udendørs aktivitet, da de kan opleve luftvejssymptomer.</v>
      </c>
      <c r="T134" s="7" t="str">
        <f>IFERROR(__xludf.DUMMYFUNCTION("GoogleTranslate(C134, ""en"", ""nl"")"),"Gevoelige personen moeten buitenactiviteiten vermijden, omdat zij ademhalingssymptomen kunnen ervaren.")</f>
        <v>Gevoelige personen moeten buitenactiviteiten vermijden, omdat zij ademhalingssymptomen kunnen ervaren.</v>
      </c>
      <c r="U134" s="7" t="str">
        <f>IFERROR(__xludf.DUMMYFUNCTION("GoogleTranslate(C134, ""en"", ""et"")"),"Tundlikud inimesed peaksid vältima välitegevust, kuna neil võivad tekkida hingamisteede sümptomid.")</f>
        <v>Tundlikud inimesed peaksid vältima välitegevust, kuna neil võivad tekkida hingamisteede sümptomid.</v>
      </c>
      <c r="V134" s="5" t="str">
        <f t="shared" si="3"/>
        <v>Sensitive individuals should avoid outdoor activity as they may experience respiraory symtoms.</v>
      </c>
      <c r="W134" s="7" t="str">
        <f>IFERROR(__xludf.DUMMYFUNCTION("GoogleTranslate(C134, ""en"", ""fi"")"),"Herkkien henkilöiden tulee välttää ulkoilua, koska he voivat kokea hengitystieoireita.")</f>
        <v>Herkkien henkilöiden tulee välttää ulkoilua, koska he voivat kokea hengitystieoireita.</v>
      </c>
      <c r="X134" s="7" t="str">
        <f>IFERROR(__xludf.DUMMYFUNCTION("GoogleTranslate(C134, ""en"", ""fr"")"),"Les personnes sensibles doivent éviter les activités extérieures car elles pourraient ressentir des symptômes respiratoires.")</f>
        <v>Les personnes sensibles doivent éviter les activités extérieures car elles pourraient ressentir des symptômes respiratoires.</v>
      </c>
      <c r="Y134" s="7" t="str">
        <f>IFERROR(__xludf.DUMMYFUNCTION("GoogleTranslate(C134, ""en"", ""de"")"),"Empfindliche Personen sollten Aktivitäten im Freien meiden, da bei ihnen Atembeschwerden auftreten können.")</f>
        <v>Empfindliche Personen sollten Aktivitäten im Freien meiden, da bei ihnen Atembeschwerden auftreten können.</v>
      </c>
      <c r="Z134" s="7" t="str">
        <f>IFERROR(__xludf.DUMMYFUNCTION("GoogleTranslate(C134, ""en"", ""el"")"),"Τα ευαίσθητα άτομα θα πρέπει να αποφεύγουν την υπαίθρια δραστηριότητα καθώς μπορεί να εμφανίσουν αναπνευστικά συμπτώματα.")</f>
        <v>Τα ευαίσθητα άτομα θα πρέπει να αποφεύγουν την υπαίθρια δραστηριότητα καθώς μπορεί να εμφανίσουν αναπνευστικά συμπτώματα.</v>
      </c>
      <c r="AA134" s="7" t="str">
        <f>IFERROR(__xludf.DUMMYFUNCTION("GoogleTranslate(C134, ""en"", ""iw"")"),"אנשים רגישים צריכים להימנע מפעילות חיצונית מכיוון שהם עלולים לחוות תסמינים נשימתיים.")</f>
        <v>אנשים רגישים צריכים להימנע מפעילות חיצונית מכיוון שהם עלולים לחוות תסמינים נשימתיים.</v>
      </c>
      <c r="AB134" s="7" t="str">
        <f>IFERROR(__xludf.DUMMYFUNCTION("GoogleTranslate(C134, ""en"", ""hi"")"),"संवेदनशील व्यक्तियों को बाहरी गतिविधियों से बचना चाहिए क्योंकि उन्हें श्वसन संबंधी लक्षणों का अनुभव हो सकता है।")</f>
        <v>संवेदनशील व्यक्तियों को बाहरी गतिविधियों से बचना चाहिए क्योंकि उन्हें श्वसन संबंधी लक्षणों का अनुभव हो सकता है।</v>
      </c>
      <c r="AC134" s="7" t="str">
        <f>IFERROR(__xludf.DUMMYFUNCTION("GoogleTranslate(C134, ""en"", ""hu"")"),"Az érzékeny személyeknek kerülniük kell a szabadtéri tevékenységeket, mivel légúti tüneteket tapasztalhatnak.")</f>
        <v>Az érzékeny személyeknek kerülniük kell a szabadtéri tevékenységeket, mivel légúti tüneteket tapasztalhatnak.</v>
      </c>
      <c r="AD134" s="7" t="str">
        <f>IFERROR(__xludf.DUMMYFUNCTION("GoogleTranslate(C134, ""en"", ""is"")"),"Viðkvæmir einstaklingar ættu að forðast útivist þar sem þeir geta fundið fyrir öndunarfæraeinkennum.")</f>
        <v>Viðkvæmir einstaklingar ættu að forðast útivist þar sem þeir geta fundið fyrir öndunarfæraeinkennum.</v>
      </c>
      <c r="AE134" s="7" t="str">
        <f>IFERROR(__xludf.DUMMYFUNCTION("GoogleTranslate(C134, ""en"", ""id"")"),"Individu yang sensitif harus menghindari aktivitas di luar ruangan karena mereka mungkin mengalami gejala pernapasan.")</f>
        <v>Individu yang sensitif harus menghindari aktivitas di luar ruangan karena mereka mungkin mengalami gejala pernapasan.</v>
      </c>
      <c r="AF134" s="7" t="str">
        <f>IFERROR(__xludf.DUMMYFUNCTION("GoogleTranslate(C134, ""en"", ""in"")"),"Individu yang sensitif harus menghindari aktivitas di luar ruangan karena mereka mungkin mengalami gejala pernapasan.")</f>
        <v>Individu yang sensitif harus menghindari aktivitas di luar ruangan karena mereka mungkin mengalami gejala pernapasan.</v>
      </c>
      <c r="AG134" s="7" t="str">
        <f>IFERROR(__xludf.DUMMYFUNCTION("GoogleTranslate(C134, ""en"", ""it"")"),"Le persone sensibili dovrebbero evitare l'attività all'aperto poiché potrebbero manifestare sintomi respiratori.")</f>
        <v>Le persone sensibili dovrebbero evitare l'attività all'aperto poiché potrebbero manifestare sintomi respiratori.</v>
      </c>
      <c r="AH134" s="7" t="str">
        <f>IFERROR(__xludf.DUMMYFUNCTION("GoogleTranslate(C134, ""en"", ""ja"")"),"敏感な人は、呼吸器症状を経験する可能性があるため、屋外での活動を避ける必要があります。")</f>
        <v>敏感な人は、呼吸器症状を経験する可能性があるため、屋外での活動を避ける必要があります。</v>
      </c>
      <c r="AI134" s="7" t="str">
        <f>IFERROR(__xludf.DUMMYFUNCTION("GoogleTranslate(C134, ""en"", ""kn"")"),"ಸೂಕ್ಷ್ಮ ವ್ಯಕ್ತಿಗಳು ಹೊರಾಂಗಣ ಚಟುವಟಿಕೆಯನ್ನು ತಪ್ಪಿಸಬೇಕು ಏಕೆಂದರೆ ಅವರು ಉಸಿರಾಟದ ರೋಗಲಕ್ಷಣಗಳನ್ನು ಅನುಭವಿಸಬಹುದು.")</f>
        <v>ಸೂಕ್ಷ್ಮ ವ್ಯಕ್ತಿಗಳು ಹೊರಾಂಗಣ ಚಟುವಟಿಕೆಯನ್ನು ತಪ್ಪಿಸಬೇಕು ಏಕೆಂದರೆ ಅವರು ಉಸಿರಾಟದ ರೋಗಲಕ್ಷಣಗಳನ್ನು ಅನುಭವಿಸಬಹುದು.</v>
      </c>
      <c r="AJ134" s="7" t="str">
        <f>IFERROR(__xludf.DUMMYFUNCTION("GoogleTranslate(C134, ""en"", ""km"")"),"បុគ្គលដែលមានអារម្មណ៍រសើបគួរជៀសវាងសកម្មភាពនៅខាងក្រៅ ព្រោះពួកគេអាចជួបប្រទះនឹងរោគសញ្ញាផ្លូវដង្ហើម។")</f>
        <v>បុគ្គលដែលមានអារម្មណ៍រសើបគួរជៀសវាងសកម្មភាពនៅខាងក្រៅ ព្រោះពួកគេអាចជួបប្រទះនឹងរោគសញ្ញាផ្លូវដង្ហើម។</v>
      </c>
      <c r="AK134" s="7" t="str">
        <f>IFERROR(__xludf.DUMMYFUNCTION("GoogleTranslate(C134, ""en"", ""ko"")"),"민감한 사람은 호흡기 증상이 나타날 수 있으므로 야외 활동을 피해야 합니다.")</f>
        <v>민감한 사람은 호흡기 증상이 나타날 수 있으므로 야외 활동을 피해야 합니다.</v>
      </c>
      <c r="AL134" s="7" t="str">
        <f>IFERROR(__xludf.DUMMYFUNCTION("GoogleTranslate(C134, ""en"", ""lo"")"),"ບຸກຄົນທີ່ມີຄວາມອ່ອນໄຫວຄວນຫຼີກລ່ຽງກິດຈະກໍາກາງແຈ້ງຍ້ອນວ່າເຂົາເຈົ້າອາດຈະມີອາການທາງເດີນຫາຍໃຈ.")</f>
        <v>ບຸກຄົນທີ່ມີຄວາມອ່ອນໄຫວຄວນຫຼີກລ່ຽງກິດຈະກໍາກາງແຈ້ງຍ້ອນວ່າເຂົາເຈົ້າອາດຈະມີອາການທາງເດີນຫາຍໃຈ.</v>
      </c>
      <c r="AM134" s="7" t="str">
        <f>IFERROR(__xludf.DUMMYFUNCTION("GoogleTranslate(C134, ""en"", ""lv"")"),"Jutīgām personām jāizvairās no āra aktivitātēm, jo ​​viņiem var rasties elpceļu simptomi.")</f>
        <v>Jutīgām personām jāizvairās no āra aktivitātēm, jo ​​viņiem var rasties elpceļu simptomi.</v>
      </c>
      <c r="AN134" s="7" t="str">
        <f>IFERROR(__xludf.DUMMYFUNCTION("GoogleTranslate(C134, ""en"", ""lt"")"),"Jautrūs asmenys turėtų vengti veiklos lauke, nes jiems gali pasireikšti kvėpavimo takų simptomai.")</f>
        <v>Jautrūs asmenys turėtų vengti veiklos lauke, nes jiems gali pasireikšti kvėpavimo takų simptomai.</v>
      </c>
      <c r="AO134" s="7" t="str">
        <f>IFERROR(__xludf.DUMMYFUNCTION("GoogleTranslate(C134, ""en"", ""mk"")"),"Чувствителните поединци треба да избегнуваат активности на отворено бидејќи може да доживеат респираторни симптоми.")</f>
        <v>Чувствителните поединци треба да избегнуваат активности на отворено бидејќи може да доживеат респираторни симптоми.</v>
      </c>
      <c r="AP134" s="7" t="str">
        <f>IFERROR(__xludf.DUMMYFUNCTION("GoogleTranslate(C134, ""en"", ""ms"")"),"Individu yang sensitif harus mengelakkan aktiviti luar kerana mereka mungkin mengalami simptom pernafasan.")</f>
        <v>Individu yang sensitif harus mengelakkan aktiviti luar kerana mereka mungkin mengalami simptom pernafasan.</v>
      </c>
      <c r="AQ134" s="7" t="str">
        <f>IFERROR(__xludf.DUMMYFUNCTION("GoogleTranslate(C134, ""en"", ""ml"")"),"സെൻസിറ്റീവായ വ്യക്തികൾ ബാഹ്യ പ്രവർത്തനങ്ങൾ ഒഴിവാക്കണം, കാരണം അവർക്ക് ശ്വസന ലക്ഷണങ്ങൾ അനുഭവപ്പെടാം.")</f>
        <v>സെൻസിറ്റീവായ വ്യക്തികൾ ബാഹ്യ പ്രവർത്തനങ്ങൾ ഒഴിവാക്കണം, കാരണം അവർക്ക് ശ്വസന ലക്ഷണങ്ങൾ അനുഭവപ്പെടാം.</v>
      </c>
      <c r="AR134" s="7" t="str">
        <f>IFERROR(__xludf.DUMMYFUNCTION("GoogleTranslate(C134, ""en"", ""mr"")"),"संवेदनशील व्यक्तींनी बाहेरील क्रियाकलाप टाळावे कारण त्यांना श्वासोच्छवासाची लक्षणे जाणवू शकतात.")</f>
        <v>संवेदनशील व्यक्तींनी बाहेरील क्रियाकलाप टाळावे कारण त्यांना श्वासोच्छवासाची लक्षणे जाणवू शकतात.</v>
      </c>
      <c r="AS134" s="7" t="str">
        <f>IFERROR(__xludf.DUMMYFUNCTION("GoogleTranslate(C134, ""en"", ""mn"")"),"Амьсгалын замын шинж тэмдэг илэрч болзошгүй тул эмзэг мэдрэмтгий хүмүүс гадаа ажиллахаас зайлсхийх хэрэгтэй.")</f>
        <v>Амьсгалын замын шинж тэмдэг илэрч болзошгүй тул эмзэг мэдрэмтгий хүмүүс гадаа ажиллахаас зайлсхийх хэрэгтэй.</v>
      </c>
      <c r="AT134" s="7" t="str">
        <f>IFERROR(__xludf.DUMMYFUNCTION("GoogleTranslate(C134, ""en"", ""ne"")"),"संवेदनशील व्यक्तिहरूले बाहिरी गतिविधिबाट टाढा रहनुपर्छ किनभने उनीहरूले श्वासप्रश्वासको लक्षणहरू अनुभव गर्न सक्छन्।")</f>
        <v>संवेदनशील व्यक्तिहरूले बाहिरी गतिविधिबाट टाढा रहनुपर्छ किनभने उनीहरूले श्वासप्रश्वासको लक्षणहरू अनुभव गर्न सक्छन्।</v>
      </c>
      <c r="AU134" s="7" t="str">
        <f>IFERROR(__xludf.DUMMYFUNCTION("GoogleTranslate(C134, ""en"", ""nb"")"),"Sensitive individer bør unngå utendørsaktivitet da de kan oppleve luftveissymptomer.")</f>
        <v>Sensitive individer bør unngå utendørsaktivitet da de kan oppleve luftveissymptomer.</v>
      </c>
      <c r="AV134" s="7" t="str">
        <f>IFERROR(__xludf.DUMMYFUNCTION("GoogleTranslate(C134, ""en"", ""fa"")"),"افراد حساس باید از فعالیت در فضای باز خودداری کنند زیرا ممکن است علائم تنفسی را تجربه کنند.")</f>
        <v>افراد حساس باید از فعالیت در فضای باز خودداری کنند زیرا ممکن است علائم تنفسی را تجربه کنند.</v>
      </c>
      <c r="AW134" s="7" t="str">
        <f>IFERROR(__xludf.DUMMYFUNCTION("GoogleTranslate(C134, ""en"", ""pl"")"),"Osoby wrażliwe powinny unikać aktywności na świeżym powietrzu, gdyż mogą wystąpić u nich objawy ze strony układu oddechowego.")</f>
        <v>Osoby wrażliwe powinny unikać aktywności na świeżym powietrzu, gdyż mogą wystąpić u nich objawy ze strony układu oddechowego.</v>
      </c>
      <c r="AX134" s="7" t="str">
        <f>IFERROR(__xludf.DUMMYFUNCTION("GoogleTranslate(C134, ""en"", ""pt"")"),"Indivíduos sensíveis devem evitar atividades ao ar livre, pois podem apresentar sintomas respiratórios.")</f>
        <v>Indivíduos sensíveis devem evitar atividades ao ar livre, pois podem apresentar sintomas respiratórios.</v>
      </c>
      <c r="AY134" s="7" t="str">
        <f>IFERROR(__xludf.DUMMYFUNCTION("GoogleTranslate(C134, ""en"", ""ro"")"),"Persoanele sensibile ar trebui să evite activitățile în aer liber, deoarece pot prezenta simptome respiratorii.")</f>
        <v>Persoanele sensibile ar trebui să evite activitățile în aer liber, deoarece pot prezenta simptome respiratorii.</v>
      </c>
      <c r="AZ134" s="7" t="str">
        <f>IFERROR(__xludf.DUMMYFUNCTION("GoogleTranslate(C134, ""en"", ""ru"")"),"Чувствительным людям следует избегать активного отдыха, поскольку у них могут возникнуть респираторные симптомы.")</f>
        <v>Чувствительным людям следует избегать активного отдыха, поскольку у них могут возникнуть респираторные симптомы.</v>
      </c>
      <c r="BA134" s="7" t="str">
        <f>IFERROR(__xludf.DUMMYFUNCTION("GoogleTranslate(C134, ""en"", ""sr"")"),"Осетљиве особе треба да избегавају активности на отвореном јер могу искусити респираторне симптоме.")</f>
        <v>Осетљиве особе треба да избегавају активности на отвореном јер могу искусити респираторне симптоме.</v>
      </c>
      <c r="BB134" s="7" t="str">
        <f>IFERROR(__xludf.DUMMYFUNCTION("GoogleTranslate(C134, ""en"", ""si"")"),"ශ්වසන රෝග ලක්ෂණ අත්විඳිය හැකි බැවින් සංවේදී පුද්ගලයින් එළිමහන් ක්‍රියාකාරකම් වලින් වැළකී සිටිය යුතුය.")</f>
        <v>ශ්වසන රෝග ලක්ෂණ අත්විඳිය හැකි බැවින් සංවේදී පුද්ගලයින් එළිමහන් ක්‍රියාකාරකම් වලින් වැළකී සිටිය යුතුය.</v>
      </c>
      <c r="BC134" s="7" t="str">
        <f>IFERROR(__xludf.DUMMYFUNCTION("GoogleTranslate(C134, ""en"", ""sk"")"),"Citliví jedinci by sa mali vyhýbať vonkajším aktivitám, pretože môžu pociťovať respiračné symptómy.")</f>
        <v>Citliví jedinci by sa mali vyhýbať vonkajším aktivitám, pretože môžu pociťovať respiračné symptómy.</v>
      </c>
      <c r="BD134" s="7" t="str">
        <f>IFERROR(__xludf.DUMMYFUNCTION("GoogleTranslate(C134, ""en"", ""sl"")"),"Občutljivi posamezniki naj se izogibajo dejavnostim na prostem, saj lahko doživijo respiratorne simptome.")</f>
        <v>Občutljivi posamezniki naj se izogibajo dejavnostim na prostem, saj lahko doživijo respiratorne simptome.</v>
      </c>
      <c r="BE134" s="7" t="str">
        <f>IFERROR(__xludf.DUMMYFUNCTION("GoogleTranslate(C134, ""en"", ""es"")"),"Las personas sensibles deben evitar las actividades al aire libre ya que pueden experimentar síntomas respiratorios.")</f>
        <v>Las personas sensibles deben evitar las actividades al aire libre ya que pueden experimentar síntomas respiratorios.</v>
      </c>
      <c r="BF134" s="7" t="str">
        <f>IFERROR(__xludf.DUMMYFUNCTION("GoogleTranslate(C134, ""en"", ""sw"")"),"Watu nyeti wanapaswa kuepuka shughuli za nje kwa sababu wanaweza kupata dalili za kupumua.")</f>
        <v>Watu nyeti wanapaswa kuepuka shughuli za nje kwa sababu wanaweza kupata dalili za kupumua.</v>
      </c>
      <c r="BG134" s="7" t="str">
        <f>IFERROR(__xludf.DUMMYFUNCTION("GoogleTranslate(C134, ""en"", ""sv"")"),"Känsliga individer bör undvika utomhusaktiviteter eftersom de kan uppleva andningssymtom.")</f>
        <v>Känsliga individer bör undvika utomhusaktiviteter eftersom de kan uppleva andningssymtom.</v>
      </c>
      <c r="BH134" s="7" t="str">
        <f>IFERROR(__xludf.DUMMYFUNCTION("GoogleTranslate(C134, ""en"", ""te"")"),"సున్నితమైన వ్యక్తులు శ్వాసకోశ లక్షణాలను అనుభవించే అవకాశం ఉన్నందున బహిరంగ కార్యకలాపాలకు దూరంగా ఉండాలి.")</f>
        <v>సున్నితమైన వ్యక్తులు శ్వాసకోశ లక్షణాలను అనుభవించే అవకాశం ఉన్నందున బహిరంగ కార్యకలాపాలకు దూరంగా ఉండాలి.</v>
      </c>
      <c r="BI134" s="7" t="str">
        <f>IFERROR(__xludf.DUMMYFUNCTION("GoogleTranslate(C134, ""en"", ""th"")"),"บุคคลที่มีความรู้สึกไวควรหลีกเลี่ยงกิจกรรมกลางแจ้ง เนื่องจากอาจมีอาการทางระบบทางเดินหายใจ")</f>
        <v>บุคคลที่มีความรู้สึกไวควรหลีกเลี่ยงกิจกรรมกลางแจ้ง เนื่องจากอาจมีอาการทางระบบทางเดินหายใจ</v>
      </c>
      <c r="BJ134" s="7" t="str">
        <f>IFERROR(__xludf.DUMMYFUNCTION("GoogleTranslate(C134, ""en"", ""tr"")"),"Solunum semptomları yaşayabileceği için hassas kişiler açık hava aktivitelerinden kaçınmalıdır.")</f>
        <v>Solunum semptomları yaşayabileceği için hassas kişiler açık hava aktivitelerinden kaçınmalıdır.</v>
      </c>
      <c r="BK134" s="7" t="str">
        <f>IFERROR(__xludf.DUMMYFUNCTION("GoogleTranslate(C134, ""en"", ""uk"")"),"Чутливі особи повинні уникати діяльності на свіжому повітрі, оскільки вони можуть відчувати респіраторні симптоми.")</f>
        <v>Чутливі особи повинні уникати діяльності на свіжому повітрі, оскільки вони можуть відчувати респіраторні симптоми.</v>
      </c>
      <c r="BL134" s="7" t="str">
        <f>IFERROR(__xludf.DUMMYFUNCTION("GoogleTranslate(C134, ""en"", ""zu"")"),"Abantu abazwelayo kufanele bagweme umsebenzi wangaphandle njengoba bangase babe nezimpawu zokuphefumula.")</f>
        <v>Abantu abazwelayo kufanele bagweme umsebenzi wangaphandle njengoba bangase babe nezimpawu zokuphefumula.</v>
      </c>
    </row>
    <row r="135">
      <c r="A135" s="5" t="str">
        <f t="shared" si="1"/>
        <v>General_public_and_sensitive_individuals_in_particular_are_at_risk_to_experience_irritation_and_respiratory_problems.</v>
      </c>
      <c r="B135" s="6" t="s">
        <v>191</v>
      </c>
      <c r="C135" s="5" t="str">
        <f t="shared" si="2"/>
        <v>General public and sensitive individuals in particular are at risk to experience irritation and respiratory problems.</v>
      </c>
      <c r="D135" s="7" t="str">
        <f>IFERROR(__xludf.DUMMYFUNCTION("GoogleTranslate(C135, ""en"", ""es"")"),"El público en general y las personas sensibles en particular corren el riesgo de sufrir irritaciones y problemas respiratorios.")</f>
        <v>El público en general y las personas sensibles en particular corren el riesgo de sufrir irritaciones y problemas respiratorios.</v>
      </c>
      <c r="E135" s="7" t="str">
        <f>IFERROR(__xludf.DUMMYFUNCTION("GoogleTranslate(C135, ""en"", ""ar"")"),"يتعرض عامة الناس والأفراد الحساسون بشكل خاص لخطر الإصابة بالتهيج ومشاكل في الجهاز التنفسي.")</f>
        <v>يتعرض عامة الناس والأفراد الحساسون بشكل خاص لخطر الإصابة بالتهيج ومشاكل في الجهاز التنفسي.</v>
      </c>
      <c r="F135" s="7" t="str">
        <f>IFERROR(__xludf.DUMMYFUNCTION("GoogleTranslate(C135, ""en"", ""hy"")"),"Հասարակությունը և հատկապես զգայուն անհատները գրգռվածության և շնչառական խնդիրների վտանգի տակ են:")</f>
        <v>Հասարակությունը և հատկապես զգայուն անհատները գրգռվածության և շնչառական խնդիրների վտանգի տակ են:</v>
      </c>
      <c r="G135" s="7" t="str">
        <f>IFERROR(__xludf.DUMMYFUNCTION("GoogleTranslate(C135, ""en"", ""vi"")"),"Công chúng nói chung và những người nhạy cảm nói riêng có nguy cơ bị kích ứng và các vấn đề về hô hấp.")</f>
        <v>Công chúng nói chung và những người nhạy cảm nói riêng có nguy cơ bị kích ứng và các vấn đề về hô hấp.</v>
      </c>
      <c r="H135" s="7" t="str">
        <f>IFERROR(__xludf.DUMMYFUNCTION("GoogleTranslate(C135, ""en"", ""az"")"),"Ümumi ictimaiyyət və xüsusilə həssas şəxslər qıcıqlanma və tənəffüs problemləri yaşamaq riski altındadır.")</f>
        <v>Ümumi ictimaiyyət və xüsusilə həssas şəxslər qıcıqlanma və tənəffüs problemləri yaşamaq riski altındadır.</v>
      </c>
      <c r="I135" s="7" t="str">
        <f>IFERROR(__xludf.DUMMYFUNCTION("GoogleTranslate(C135, ""en"", ""eu"")"),"Publiko orokorrak eta pertsona sentikorrak bereziki narritadura eta arnas arazoak izateko arriskua dute.")</f>
        <v>Publiko orokorrak eta pertsona sentikorrak bereziki narritadura eta arnas arazoak izateko arriskua dute.</v>
      </c>
      <c r="J135" s="7" t="str">
        <f>IFERROR(__xludf.DUMMYFUNCTION("GoogleTranslate(C135, ""en"", ""be"")"),"Шырокая грамадскасць і асабліва адчувальныя людзі схільныя рызыцы раздражнення і праблем з дыханнем.")</f>
        <v>Шырокая грамадскасць і асабліва адчувальныя людзі схільныя рызыцы раздражнення і праблем з дыханнем.</v>
      </c>
      <c r="K135" s="7" t="str">
        <f>IFERROR(__xludf.DUMMYFUNCTION("GoogleTranslate(C135, ""en"", ""bn"")"),"সাধারণ জনগণ এবং বিশেষ করে সংবেদনশীল ব্যক্তিরা জ্বালা এবং শ্বাসকষ্টের সম্মুখীন হওয়ার ঝুঁকিতে থাকে।")</f>
        <v>সাধারণ জনগণ এবং বিশেষ করে সংবেদনশীল ব্যক্তিরা জ্বালা এবং শ্বাসকষ্টের সম্মুখীন হওয়ার ঝুঁকিতে থাকে।</v>
      </c>
      <c r="L135" s="7" t="str">
        <f>IFERROR(__xludf.DUMMYFUNCTION("GoogleTranslate(C135, ""en"", ""bg"")"),"Широката общественост и по-специално чувствителните хора са изложени на риск от дразнене и респираторни проблеми.")</f>
        <v>Широката общественост и по-специално чувствителните хора са изложени на риск от дразнене и респираторни проблеми.</v>
      </c>
      <c r="M135" s="7" t="str">
        <f>IFERROR(__xludf.DUMMYFUNCTION("GoogleTranslate(C135, ""en"", ""my"")"),"အထူးသဖြင့် အများသူငှာနှင့် ထိခိုက်လွယ်သူများသည် ယားယံခြင်းနှင့် အသက်ရှူလမ်းကြောင်းဆိုင်ရာ ပြဿနာများကို ကြုံတွေ့ရနိုင်ခြေရှိသည်။")</f>
        <v>အထူးသဖြင့် အများသူငှာနှင့် ထိခိုက်လွယ်သူများသည် ယားယံခြင်းနှင့် အသက်ရှူလမ်းကြောင်းဆိုင်ရာ ပြဿနာများကို ကြုံတွေ့ရနိုင်ခြေရှိသည်။</v>
      </c>
      <c r="N135" s="7" t="str">
        <f>IFERROR(__xludf.DUMMYFUNCTION("GoogleTranslate(C135, ""en"", ""ca"")"),"El públic en general i les persones sensibles en particular corren el risc de patir irritació i problemes respiratoris.")</f>
        <v>El públic en general i les persones sensibles en particular corren el risc de patir irritació i problemes respiratoris.</v>
      </c>
      <c r="O135" s="7" t="str">
        <f>IFERROR(__xludf.DUMMYFUNCTION("GoogleTranslate(C135, ""en"", ""zh-cn"")"),"普通公众和敏感人群尤其有遭受刺激和呼吸系统问题的风险。")</f>
        <v>普通公众和敏感人群尤其有遭受刺激和呼吸系统问题的风险。</v>
      </c>
      <c r="P135" s="7" t="str">
        <f>IFERROR(__xludf.DUMMYFUNCTION("GoogleTranslate(C135, ""en"", ""zh-TW"")"),"一般大眾和敏感族群尤其有遭受刺激和呼吸問題的風險。")</f>
        <v>一般大眾和敏感族群尤其有遭受刺激和呼吸問題的風險。</v>
      </c>
      <c r="Q135" s="7" t="str">
        <f>IFERROR(__xludf.DUMMYFUNCTION("GoogleTranslate(C135, ""en"", ""hr"")"),"Opća javnost i osjetljivi pojedinci posebno su u opasnosti od iritacije i respiratornih problema.")</f>
        <v>Opća javnost i osjetljivi pojedinci posebno su u opasnosti od iritacije i respiratornih problema.</v>
      </c>
      <c r="R135" s="7" t="str">
        <f>IFERROR(__xludf.DUMMYFUNCTION("GoogleTranslate(C135, ""en"", ""cs"")"),"Široká veřejnost a zvláště citliví jedinci jsou ohroženi podrážděním a dýchacími potížemi.")</f>
        <v>Široká veřejnost a zvláště citliví jedinci jsou ohroženi podrážděním a dýchacími potížemi.</v>
      </c>
      <c r="S135" s="7" t="str">
        <f>IFERROR(__xludf.DUMMYFUNCTION("GoogleTranslate(C135, ""en"", ""da"")"),"Den almindelige offentlighed og især sensitive personer er i fare for at opleve irritation og luftvejsproblemer.")</f>
        <v>Den almindelige offentlighed og især sensitive personer er i fare for at opleve irritation og luftvejsproblemer.</v>
      </c>
      <c r="T135" s="7" t="str">
        <f>IFERROR(__xludf.DUMMYFUNCTION("GoogleTranslate(C135, ""en"", ""nl"")"),"Vooral het grote publiek en gevoelige personen lopen het risico op irritatie en ademhalingsproblemen.")</f>
        <v>Vooral het grote publiek en gevoelige personen lopen het risico op irritatie en ademhalingsproblemen.</v>
      </c>
      <c r="U135" s="7" t="str">
        <f>IFERROR(__xludf.DUMMYFUNCTION("GoogleTranslate(C135, ""en"", ""et"")"),"Eriti suur avalikkus ja tundlikel inimestel on oht ärrituse ja hingamisteede probleemide tekkeks.")</f>
        <v>Eriti suur avalikkus ja tundlikel inimestel on oht ärrituse ja hingamisteede probleemide tekkeks.</v>
      </c>
      <c r="V135" s="5" t="str">
        <f t="shared" si="3"/>
        <v>General public and sensitive individuals in particular are at risk to experience irritation and respiratory problems.</v>
      </c>
      <c r="W135" s="7" t="str">
        <f>IFERROR(__xludf.DUMMYFUNCTION("GoogleTranslate(C135, ""en"", ""fi"")"),"Erityisesti suuret yleisöt ja herkät henkilöt ovat vaarassa kokea ärsytystä ja hengitysvaikeuksia.")</f>
        <v>Erityisesti suuret yleisöt ja herkät henkilöt ovat vaarassa kokea ärsytystä ja hengitysvaikeuksia.</v>
      </c>
      <c r="X135" s="7" t="str">
        <f>IFERROR(__xludf.DUMMYFUNCTION("GoogleTranslate(C135, ""en"", ""fr"")"),"Le grand public et les personnes sensibles en particulier risquent de ressentir des irritations et des problèmes respiratoires.")</f>
        <v>Le grand public et les personnes sensibles en particulier risquent de ressentir des irritations et des problèmes respiratoires.</v>
      </c>
      <c r="Y135" s="7" t="str">
        <f>IFERROR(__xludf.DUMMYFUNCTION("GoogleTranslate(C135, ""en"", ""de"")"),"Insbesondere die breite Öffentlichkeit und empfindliche Personen sind gefährdet, Reizungen und Atemwegsbeschwerden zu erleiden.")</f>
        <v>Insbesondere die breite Öffentlichkeit und empfindliche Personen sind gefährdet, Reizungen und Atemwegsbeschwerden zu erleiden.</v>
      </c>
      <c r="Z135" s="7" t="str">
        <f>IFERROR(__xludf.DUMMYFUNCTION("GoogleTranslate(C135, ""en"", ""el"")"),"Το ευρύ κοινό και ιδιαίτερα τα ευαίσθητα άτομα κινδυνεύουν να εμφανίσουν ερεθισμό και αναπνευστικά προβλήματα.")</f>
        <v>Το ευρύ κοινό και ιδιαίτερα τα ευαίσθητα άτομα κινδυνεύουν να εμφανίσουν ερεθισμό και αναπνευστικά προβλήματα.</v>
      </c>
      <c r="AA135" s="7" t="str">
        <f>IFERROR(__xludf.DUMMYFUNCTION("GoogleTranslate(C135, ""en"", ""iw"")"),"הציבור הרחב ואנשים רגישים בפרט נמצאים בסיכון לחוות גירוי ובעיות נשימה.")</f>
        <v>הציבור הרחב ואנשים רגישים בפרט נמצאים בסיכון לחוות גירוי ובעיות נשימה.</v>
      </c>
      <c r="AB135" s="7" t="str">
        <f>IFERROR(__xludf.DUMMYFUNCTION("GoogleTranslate(C135, ""en"", ""hi"")"),"आम जनता और विशेष रूप से संवेदनशील व्यक्तियों को जलन और श्वसन संबंधी समस्याओं का अनुभव होने का खतरा होता है।")</f>
        <v>आम जनता और विशेष रूप से संवेदनशील व्यक्तियों को जलन और श्वसन संबंधी समस्याओं का अनुभव होने का खतरा होता है।</v>
      </c>
      <c r="AC135" s="7" t="str">
        <f>IFERROR(__xludf.DUMMYFUNCTION("GoogleTranslate(C135, ""en"", ""hu"")"),"Különösen a lakosság és az érzékeny egyének vannak kitéve az irritáció és a légzési problémák kockázatának.")</f>
        <v>Különösen a lakosság és az érzékeny egyének vannak kitéve az irritáció és a légzési problémák kockázatának.</v>
      </c>
      <c r="AD135" s="7" t="str">
        <f>IFERROR(__xludf.DUMMYFUNCTION("GoogleTranslate(C135, ""en"", ""is"")"),"Almenningur og sérstaklega viðkvæmir einstaklingar eiga á hættu að upplifa ertingu og öndunarerfiðleika.")</f>
        <v>Almenningur og sérstaklega viðkvæmir einstaklingar eiga á hættu að upplifa ertingu og öndunarerfiðleika.</v>
      </c>
      <c r="AE135" s="7" t="str">
        <f>IFERROR(__xludf.DUMMYFUNCTION("GoogleTranslate(C135, ""en"", ""id"")"),"Masyarakat umum dan individu yang sensitif pada khususnya berisiko mengalami iritasi dan gangguan pernafasan.")</f>
        <v>Masyarakat umum dan individu yang sensitif pada khususnya berisiko mengalami iritasi dan gangguan pernafasan.</v>
      </c>
      <c r="AF135" s="7" t="str">
        <f>IFERROR(__xludf.DUMMYFUNCTION("GoogleTranslate(C135, ""en"", ""in"")"),"Masyarakat umum dan individu yang sensitif pada khususnya berisiko mengalami iritasi dan gangguan pernafasan.")</f>
        <v>Masyarakat umum dan individu yang sensitif pada khususnya berisiko mengalami iritasi dan gangguan pernafasan.</v>
      </c>
      <c r="AG135" s="7" t="str">
        <f>IFERROR(__xludf.DUMMYFUNCTION("GoogleTranslate(C135, ""en"", ""it"")"),"Il pubblico in generale e le persone sensibili in particolare corrono il rischio di manifestare irritazioni e problemi respiratori.")</f>
        <v>Il pubblico in generale e le persone sensibili in particolare corrono il rischio di manifestare irritazioni e problemi respiratori.</v>
      </c>
      <c r="AH135" s="7" t="str">
        <f>IFERROR(__xludf.DUMMYFUNCTION("GoogleTranslate(C135, ""en"", ""ja"")"),"一般の人や敏感な人は特に、刺激や呼吸器系の問題を経験する危険があります。")</f>
        <v>一般の人や敏感な人は特に、刺激や呼吸器系の問題を経験する危険があります。</v>
      </c>
      <c r="AI135" s="7" t="str">
        <f>IFERROR(__xludf.DUMMYFUNCTION("GoogleTranslate(C135, ""en"", ""kn"")"),"ಸಾಮಾನ್ಯ ಜನರು ಮತ್ತು ವಿಶೇಷವಾಗಿ ಸೂಕ್ಷ್ಮ ವ್ಯಕ್ತಿಗಳು ಕಿರಿಕಿರಿ ಮತ್ತು ಉಸಿರಾಟದ ಸಮಸ್ಯೆಗಳನ್ನು ಅನುಭವಿಸುವ ಅಪಾಯವನ್ನು ಹೊಂದಿರುತ್ತಾರೆ.")</f>
        <v>ಸಾಮಾನ್ಯ ಜನರು ಮತ್ತು ವಿಶೇಷವಾಗಿ ಸೂಕ್ಷ್ಮ ವ್ಯಕ್ತಿಗಳು ಕಿರಿಕಿರಿ ಮತ್ತು ಉಸಿರಾಟದ ಸಮಸ್ಯೆಗಳನ್ನು ಅನುಭವಿಸುವ ಅಪಾಯವನ್ನು ಹೊಂದಿರುತ್ತಾರೆ.</v>
      </c>
      <c r="AJ135" s="7" t="str">
        <f>IFERROR(__xludf.DUMMYFUNCTION("GoogleTranslate(C135, ""en"", ""km"")"),"សាធារណជនទូទៅ និងបុគ្គលដែលងាយរងគ្រោះ ជាពិសេសគឺប្រឈមនឹងហានិភ័យនៃការរលាក និងបញ្ហាផ្លូវដង្ហើម។")</f>
        <v>សាធារណជនទូទៅ និងបុគ្គលដែលងាយរងគ្រោះ ជាពិសេសគឺប្រឈមនឹងហានិភ័យនៃការរលាក និងបញ្ហាផ្លូវដង្ហើម។</v>
      </c>
      <c r="AK135" s="7" t="str">
        <f>IFERROR(__xludf.DUMMYFUNCTION("GoogleTranslate(C135, ""en"", ""ko"")"),"특히 일반 대중과 민감한 개인은 자극과 호흡기 문제를 경험할 위험이 있습니다.")</f>
        <v>특히 일반 대중과 민감한 개인은 자극과 호흡기 문제를 경험할 위험이 있습니다.</v>
      </c>
      <c r="AL135" s="7" t="str">
        <f>IFERROR(__xludf.DUMMYFUNCTION("GoogleTranslate(C135, ""en"", ""lo"")"),"ໂດຍສະເພາະປະຊາຊົນທົ່ວໄປ ແລະບຸກຄົນທີ່ມີຄວາມອ່ອນໄຫວແມ່ນມີຄວາມສ່ຽງທີ່ຈະມີອາການລະຄາຍເຄືອງ ແລະບັນຫາລະບົບຫາຍໃຈ.")</f>
        <v>ໂດຍສະເພາະປະຊາຊົນທົ່ວໄປ ແລະບຸກຄົນທີ່ມີຄວາມອ່ອນໄຫວແມ່ນມີຄວາມສ່ຽງທີ່ຈະມີອາການລະຄາຍເຄືອງ ແລະບັນຫາລະບົບຫາຍໃຈ.</v>
      </c>
      <c r="AM135" s="7" t="str">
        <f>IFERROR(__xludf.DUMMYFUNCTION("GoogleTranslate(C135, ""en"", ""lv"")"),"Jo īpaši plašai sabiedrībai un jutīgām personām ir risks saskarties ar kairinājumu un elpošanas problēmām.")</f>
        <v>Jo īpaši plašai sabiedrībai un jutīgām personām ir risks saskarties ar kairinājumu un elpošanas problēmām.</v>
      </c>
      <c r="AN135" s="7" t="str">
        <f>IFERROR(__xludf.DUMMYFUNCTION("GoogleTranslate(C135, ""en"", ""lt"")"),"Visuomenei ir jautriems asmenims gresia dirginimas ir kvėpavimo sutrikimai.")</f>
        <v>Visuomenei ir jautriems asmenims gresia dirginimas ir kvėpavimo sutrikimai.</v>
      </c>
      <c r="AO135" s="7" t="str">
        <f>IFERROR(__xludf.DUMMYFUNCTION("GoogleTranslate(C135, ""en"", ""mk"")"),"Општата јавност и особено чувствителните поединци се изложени на ризик да доживеат иритација и респираторни проблеми.")</f>
        <v>Општата јавност и особено чувствителните поединци се изложени на ризик да доживеат иритација и респираторни проблеми.</v>
      </c>
      <c r="AP135" s="7" t="str">
        <f>IFERROR(__xludf.DUMMYFUNCTION("GoogleTranslate(C135, ""en"", ""ms"")"),"Orang awam dan individu sensitif khususnya berisiko mengalami kerengsaan dan masalah pernafasan.")</f>
        <v>Orang awam dan individu sensitif khususnya berisiko mengalami kerengsaan dan masalah pernafasan.</v>
      </c>
      <c r="AQ135" s="7" t="str">
        <f>IFERROR(__xludf.DUMMYFUNCTION("GoogleTranslate(C135, ""en"", ""ml"")"),"പൊതുജനങ്ങൾക്കും പ്രത്യേകിച്ച് സെൻസിറ്റീവ് വ്യക്തികൾക്കും പ്രകോപിപ്പിക്കലും ശ്വസന പ്രശ്നങ്ങളും ഉണ്ടാകാനുള്ള സാധ്യതയുണ്ട്.")</f>
        <v>പൊതുജനങ്ങൾക്കും പ്രത്യേകിച്ച് സെൻസിറ്റീവ് വ്യക്തികൾക്കും പ്രകോപിപ്പിക്കലും ശ്വസന പ്രശ്നങ്ങളും ഉണ്ടാകാനുള്ള സാധ്യതയുണ്ട്.</v>
      </c>
      <c r="AR135" s="7" t="str">
        <f>IFERROR(__xludf.DUMMYFUNCTION("GoogleTranslate(C135, ""en"", ""mr"")"),"सामान्य लोक आणि विशेषतः संवेदनशील व्यक्तींना चिडचिड आणि श्वासोच्छवासाच्या समस्या अनुभवण्याचा धोका असतो.")</f>
        <v>सामान्य लोक आणि विशेषतः संवेदनशील व्यक्तींना चिडचिड आणि श्वासोच्छवासाच्या समस्या अनुभवण्याचा धोका असतो.</v>
      </c>
      <c r="AS135" s="7" t="str">
        <f>IFERROR(__xludf.DUMMYFUNCTION("GoogleTranslate(C135, ""en"", ""mn"")"),"Олон нийт, ялангуяа мэдрэмтгий хүмүүс цочрол, амьсгалын замын асуудалд өртөх эрсдэлтэй байдаг.")</f>
        <v>Олон нийт, ялангуяа мэдрэмтгий хүмүүс цочрол, амьсгалын замын асуудалд өртөх эрсдэлтэй байдаг.</v>
      </c>
      <c r="AT135" s="7" t="str">
        <f>IFERROR(__xludf.DUMMYFUNCTION("GoogleTranslate(C135, ""en"", ""ne"")"),"सामान्य जनता र विशेष गरी संवेदनशील व्यक्तिहरू जलन र श्वासप्रश्वास समस्या अनुभव गर्ने जोखिममा छन्।")</f>
        <v>सामान्य जनता र विशेष गरी संवेदनशील व्यक्तिहरू जलन र श्वासप्रश्वास समस्या अनुभव गर्ने जोखिममा छन्।</v>
      </c>
      <c r="AU135" s="7" t="str">
        <f>IFERROR(__xludf.DUMMYFUNCTION("GoogleTranslate(C135, ""en"", ""nb"")"),"Allmennheten og spesielt sensitive individer er i faresonen for å oppleve irritasjon og luftveisproblemer.")</f>
        <v>Allmennheten og spesielt sensitive individer er i faresonen for å oppleve irritasjon og luftveisproblemer.</v>
      </c>
      <c r="AV135" s="7" t="str">
        <f>IFERROR(__xludf.DUMMYFUNCTION("GoogleTranslate(C135, ""en"", ""fa"")"),"عموم مردم و افراد حساس به ویژه در معرض خطر تحریک و مشکلات تنفسی هستند.")</f>
        <v>عموم مردم و افراد حساس به ویژه در معرض خطر تحریک و مشکلات تنفسی هستند.</v>
      </c>
      <c r="AW135" s="7" t="str">
        <f>IFERROR(__xludf.DUMMYFUNCTION("GoogleTranslate(C135, ""en"", ""pl"")"),"W szczególności ogół społeczeństwa i osoby wrażliwe są narażone na ryzyko podrażnienia i problemów z oddychaniem.")</f>
        <v>W szczególności ogół społeczeństwa i osoby wrażliwe są narażone na ryzyko podrażnienia i problemów z oddychaniem.</v>
      </c>
      <c r="AX135" s="7" t="str">
        <f>IFERROR(__xludf.DUMMYFUNCTION("GoogleTranslate(C135, ""en"", ""pt"")"),"O público em geral e os indivíduos sensíveis em particular correm o risco de sofrer irritações e problemas respiratórios.")</f>
        <v>O público em geral e os indivíduos sensíveis em particular correm o risco de sofrer irritações e problemas respiratórios.</v>
      </c>
      <c r="AY135" s="7" t="str">
        <f>IFERROR(__xludf.DUMMYFUNCTION("GoogleTranslate(C135, ""en"", ""ro"")"),"Publicul larg și persoanele sensibile în special sunt expuse riscului de a experimenta iritații și probleme respiratorii.")</f>
        <v>Publicul larg și persoanele sensibile în special sunt expuse riscului de a experimenta iritații și probleme respiratorii.</v>
      </c>
      <c r="AZ135" s="7" t="str">
        <f>IFERROR(__xludf.DUMMYFUNCTION("GoogleTranslate(C135, ""en"", ""ru"")"),"Широкая общественность и особенно чувствительные люди подвержены риску раздражения и проблем с дыханием.")</f>
        <v>Широкая общественность и особенно чувствительные люди подвержены риску раздражения и проблем с дыханием.</v>
      </c>
      <c r="BA135" s="7" t="str">
        <f>IFERROR(__xludf.DUMMYFUNCTION("GoogleTranslate(C135, ""en"", ""sr"")"),"Шира јавност и осетљиви појединци посебно су изложени ризику од иритације и респираторних проблема.")</f>
        <v>Шира јавност и осетљиви појединци посебно су изложени ризику од иритације и респираторних проблема.</v>
      </c>
      <c r="BB135" s="7" t="str">
        <f>IFERROR(__xludf.DUMMYFUNCTION("GoogleTranslate(C135, ""en"", ""si"")"),"සාමාන්‍ය ජනතාව සහ විශේෂයෙන් සංවේදී පුද්ගලයින් කෝපයක් සහ ශ්වසන ගැටළු අත්විඳීමේ අවදානමක් ඇත.")</f>
        <v>සාමාන්‍ය ජනතාව සහ විශේෂයෙන් සංවේදී පුද්ගලයින් කෝපයක් සහ ශ්වසන ගැටළු අත්විඳීමේ අවදානමක් ඇත.</v>
      </c>
      <c r="BC135" s="7" t="str">
        <f>IFERROR(__xludf.DUMMYFUNCTION("GoogleTranslate(C135, ""en"", ""sk"")"),"Široká verejnosť a najmä citliví jedinci sú vystavení riziku podráždenia a respiračných problémov.")</f>
        <v>Široká verejnosť a najmä citliví jedinci sú vystavení riziku podráždenia a respiračných problémov.</v>
      </c>
      <c r="BD135" s="7" t="str">
        <f>IFERROR(__xludf.DUMMYFUNCTION("GoogleTranslate(C135, ""en"", ""sl"")"),"Splošna javnost in občutljivi posamezniki so še posebej izpostavljeni tveganju draženja in težav z dihanjem.")</f>
        <v>Splošna javnost in občutljivi posamezniki so še posebej izpostavljeni tveganju draženja in težav z dihanjem.</v>
      </c>
      <c r="BE135" s="7" t="str">
        <f>IFERROR(__xludf.DUMMYFUNCTION("GoogleTranslate(C135, ""en"", ""es"")"),"El público en general y las personas sensibles en particular corren el riesgo de sufrir irritaciones y problemas respiratorios.")</f>
        <v>El público en general y las personas sensibles en particular corren el riesgo de sufrir irritaciones y problemas respiratorios.</v>
      </c>
      <c r="BF135" s="7" t="str">
        <f>IFERROR(__xludf.DUMMYFUNCTION("GoogleTranslate(C135, ""en"", ""sw"")"),"Watu binafsi kwa ujumla na nyeti hasa wako katika hatari ya kupata muwasho na matatizo ya kupumua.")</f>
        <v>Watu binafsi kwa ujumla na nyeti hasa wako katika hatari ya kupata muwasho na matatizo ya kupumua.</v>
      </c>
      <c r="BG135" s="7" t="str">
        <f>IFERROR(__xludf.DUMMYFUNCTION("GoogleTranslate(C135, ""en"", ""sv"")"),"Allmänheten och särskilt känsliga individer riskerar att uppleva irritation och andningsproblem.")</f>
        <v>Allmänheten och särskilt känsliga individer riskerar att uppleva irritation och andningsproblem.</v>
      </c>
      <c r="BH135" s="7" t="str">
        <f>IFERROR(__xludf.DUMMYFUNCTION("GoogleTranslate(C135, ""en"", ""te"")"),"సాధారణ ప్రజలు మరియు ముఖ్యంగా సున్నితమైన వ్యక్తులు చికాకు మరియు శ్వాసకోశ సమస్యలను ఎదుర్కొనే ప్రమాదం ఉంది.")</f>
        <v>సాధారణ ప్రజలు మరియు ముఖ్యంగా సున్నితమైన వ్యక్తులు చికాకు మరియు శ్వాసకోశ సమస్యలను ఎదుర్కొనే ప్రమాదం ఉంది.</v>
      </c>
      <c r="BI135" s="7" t="str">
        <f>IFERROR(__xludf.DUMMYFUNCTION("GoogleTranslate(C135, ""en"", ""th"")"),"ประชาชนทั่วไปและบุคคลที่มีความละเอียดอ่อนโดยเฉพาะมีความเสี่ยงที่จะเกิดการระคายเคืองและปัญหาระบบทางเดินหายใจ")</f>
        <v>ประชาชนทั่วไปและบุคคลที่มีความละเอียดอ่อนโดยเฉพาะมีความเสี่ยงที่จะเกิดการระคายเคืองและปัญหาระบบทางเดินหายใจ</v>
      </c>
      <c r="BJ135" s="7" t="str">
        <f>IFERROR(__xludf.DUMMYFUNCTION("GoogleTranslate(C135, ""en"", ""tr"")"),"Genel halk ve özellikle hassas kişiler tahriş ve solunum sorunları yaşama riski altındadır.")</f>
        <v>Genel halk ve özellikle hassas kişiler tahriş ve solunum sorunları yaşama riski altındadır.</v>
      </c>
      <c r="BK135" s="7" t="str">
        <f>IFERROR(__xludf.DUMMYFUNCTION("GoogleTranslate(C135, ""en"", ""uk"")"),"Широке населення та чутливі люди, зокрема, ризикують отримати подразнення та проблеми з диханням.")</f>
        <v>Широке населення та чутливі люди, зокрема, ризикують отримати подразнення та проблеми з диханням.</v>
      </c>
      <c r="BL135" s="7" t="str">
        <f>IFERROR(__xludf.DUMMYFUNCTION("GoogleTranslate(C135, ""en"", ""zu"")"),"Abantu abajwayelekile kanye nabantu abazwelayo ikakhulukazi basengozini yokuthola ukucasuka kanye nezinkinga zokuphefumula.")</f>
        <v>Abantu abajwayelekile kanye nabantu abazwelayo ikakhulukazi basengozini yokuthola ukucasuka kanye nezinkinga zokuphefumula.</v>
      </c>
    </row>
    <row r="136">
      <c r="A136" s="5" t="str">
        <f t="shared" si="1"/>
        <v>Increased_likelihood_of_adverse_effects_and_aggravation_to_the_heart_and_lungs_among_general_public.</v>
      </c>
      <c r="B136" s="6" t="s">
        <v>192</v>
      </c>
      <c r="C136" s="5" t="str">
        <f t="shared" si="2"/>
        <v>Increased likelihood of adverse effects and aggravation to the heart and lungs among general public.</v>
      </c>
      <c r="D136" s="7" t="str">
        <f>IFERROR(__xludf.DUMMYFUNCTION("GoogleTranslate(C136, ""en"", ""es"")"),"Mayor probabilidad de efectos adversos y agravamiento del corazón y los pulmones entre el público en general.")</f>
        <v>Mayor probabilidad de efectos adversos y agravamiento del corazón y los pulmones entre el público en general.</v>
      </c>
      <c r="E136" s="7" t="str">
        <f>IFERROR(__xludf.DUMMYFUNCTION("GoogleTranslate(C136, ""en"", ""ar"")"),"زيادة احتمال حدوث آثار ضارة وتفاقم للقلب والرئتين بين عامة الناس.")</f>
        <v>زيادة احتمال حدوث آثار ضارة وتفاقم للقلب والرئتين بين عامة الناس.</v>
      </c>
      <c r="F136" s="7" t="str">
        <f>IFERROR(__xludf.DUMMYFUNCTION("GoogleTranslate(C136, ""en"", ""hy"")"),"Հասարակության շրջանում սրտի և թոքերի վրա անբարենպաստ հետևանքների և սրացման հավանականության մեծացում:")</f>
        <v>Հասարակության շրջանում սրտի և թոքերի վրա անբարենպաստ հետևանքների և սրացման հավանականության մեծացում:</v>
      </c>
      <c r="G136" s="7" t="str">
        <f>IFERROR(__xludf.DUMMYFUNCTION("GoogleTranslate(C136, ""en"", ""vi"")"),"Tăng khả năng xảy ra tác dụng phụ và tình trạng trầm trọng hơn đối với tim và phổi trong cộng đồng.")</f>
        <v>Tăng khả năng xảy ra tác dụng phụ và tình trạng trầm trọng hơn đối với tim và phổi trong cộng đồng.</v>
      </c>
      <c r="H136" s="7" t="str">
        <f>IFERROR(__xludf.DUMMYFUNCTION("GoogleTranslate(C136, ""en"", ""az"")"),"Ümumi ictimaiyyət arasında ürək və ağciyərlərə mənfi təsirlərin və ağırlaşmaların artması ehtimalı.")</f>
        <v>Ümumi ictimaiyyət arasında ürək və ağciyərlərə mənfi təsirlərin və ağırlaşmaların artması ehtimalı.</v>
      </c>
      <c r="I136" s="7" t="str">
        <f>IFERROR(__xludf.DUMMYFUNCTION("GoogleTranslate(C136, ""en"", ""eu"")"),"Ondorio kaltegarriak eta bihotza eta birikak areagotzea publiko orokorraren artean.")</f>
        <v>Ondorio kaltegarriak eta bihotza eta birikak areagotzea publiko orokorraren artean.</v>
      </c>
      <c r="J136" s="7" t="str">
        <f>IFERROR(__xludf.DUMMYFUNCTION("GoogleTranslate(C136, ""en"", ""be"")"),"Падвышаная верагоднасць пабочных эфектаў і пагаршэння стану сэрца і лёгкіх сярод насельніцтва.")</f>
        <v>Падвышаная верагоднасць пабочных эфектаў і пагаршэння стану сэрца і лёгкіх сярод насельніцтва.</v>
      </c>
      <c r="K136" s="7" t="str">
        <f>IFERROR(__xludf.DUMMYFUNCTION("GoogleTranslate(C136, ""en"", ""bn"")"),"সাধারণ মানুষের মধ্যে হৃৎপিণ্ড ও ফুসফুসে প্রতিকূল প্রভাব এবং উত্তেজনা বৃদ্ধির সম্ভাবনা।")</f>
        <v>সাধারণ মানুষের মধ্যে হৃৎপিণ্ড ও ফুসফুসে প্রতিকূল প্রভাব এবং উত্তেজনা বৃদ্ধির সম্ভাবনা।</v>
      </c>
      <c r="L136" s="7" t="str">
        <f>IFERROR(__xludf.DUMMYFUNCTION("GoogleTranslate(C136, ""en"", ""bg"")"),"Повишена вероятност от неблагоприятни ефекти и влошаване на сърцето и белите дробове сред широката общественост.")</f>
        <v>Повишена вероятност от неблагоприятни ефекти и влошаване на сърцето и белите дробове сред широката общественост.</v>
      </c>
      <c r="M136" s="7" t="str">
        <f>IFERROR(__xludf.DUMMYFUNCTION("GoogleTranslate(C136, ""en"", ""my"")"),"အများသူငှာ နှလုံးနှင့် အဆုတ်ကို ပိုဆိုးစေသော ဆိုးကျိုးများ ဖြစ်နိုင်ခြေ တိုးလာပါသည်။")</f>
        <v>အများသူငှာ နှလုံးနှင့် အဆုတ်ကို ပိုဆိုးစေသော ဆိုးကျိုးများ ဖြစ်နိုင်ခြေ တိုးလာပါသည်။</v>
      </c>
      <c r="N136" s="7" t="str">
        <f>IFERROR(__xludf.DUMMYFUNCTION("GoogleTranslate(C136, ""en"", ""ca"")"),"Augment de la probabilitat d'efectes adversos i agreujament del cor i els pulmons entre el públic en general.")</f>
        <v>Augment de la probabilitat d'efectes adversos i agreujament del cor i els pulmons entre el públic en general.</v>
      </c>
      <c r="O136" s="7" t="str">
        <f>IFERROR(__xludf.DUMMYFUNCTION("GoogleTranslate(C136, ""en"", ""zh-cn"")"),"对公众的心脏和肺部造成不良影响和恶化的可能性增加。")</f>
        <v>对公众的心脏和肺部造成不良影响和恶化的可能性增加。</v>
      </c>
      <c r="P136" s="7" t="str">
        <f>IFERROR(__xludf.DUMMYFUNCTION("GoogleTranslate(C136, ""en"", ""zh-TW"")"),"對公眾的心臟和肺部造成不良影響和惡化的可能性增加。")</f>
        <v>對公眾的心臟和肺部造成不良影響和惡化的可能性增加。</v>
      </c>
      <c r="Q136" s="7" t="str">
        <f>IFERROR(__xludf.DUMMYFUNCTION("GoogleTranslate(C136, ""en"", ""hr"")"),"Povećana vjerojatnost štetnih učinaka i pogoršanja srca i pluća u široj javnosti.")</f>
        <v>Povećana vjerojatnost štetnih učinaka i pogoršanja srca i pluća u široj javnosti.</v>
      </c>
      <c r="R136" s="7" t="str">
        <f>IFERROR(__xludf.DUMMYFUNCTION("GoogleTranslate(C136, ""en"", ""cs"")"),"Zvýšená pravděpodobnost nežádoucích účinků a zhoršení srdce a plic u široké veřejnosti.")</f>
        <v>Zvýšená pravděpodobnost nežádoucích účinků a zhoršení srdce a plic u široké veřejnosti.</v>
      </c>
      <c r="S136" s="7" t="str">
        <f>IFERROR(__xludf.DUMMYFUNCTION("GoogleTranslate(C136, ""en"", ""da"")"),"Øget sandsynlighed for bivirkninger og forværring af hjerte og lunger blandt offentligheden.")</f>
        <v>Øget sandsynlighed for bivirkninger og forværring af hjerte og lunger blandt offentligheden.</v>
      </c>
      <c r="T136" s="7" t="str">
        <f>IFERROR(__xludf.DUMMYFUNCTION("GoogleTranslate(C136, ""en"", ""nl"")"),"Verhoogde kans op bijwerkingen en verergering van het hart en de longen bij het grote publiek.")</f>
        <v>Verhoogde kans op bijwerkingen en verergering van het hart en de longen bij het grote publiek.</v>
      </c>
      <c r="U136" s="7" t="str">
        <f>IFERROR(__xludf.DUMMYFUNCTION("GoogleTranslate(C136, ""en"", ""et"")"),"Suurenenud ebasoodsate mõjude ja süvenemise tõenäosus südamele ja kopsudele elanikkonna hulgas.")</f>
        <v>Suurenenud ebasoodsate mõjude ja süvenemise tõenäosus südamele ja kopsudele elanikkonna hulgas.</v>
      </c>
      <c r="V136" s="5" t="str">
        <f t="shared" si="3"/>
        <v>Increased likelihood of adverse effects and aggravation to the heart and lungs among general public.</v>
      </c>
      <c r="W136" s="7" t="str">
        <f>IFERROR(__xludf.DUMMYFUNCTION("GoogleTranslate(C136, ""en"", ""fi"")"),"Suurempi haitallisten vaikutusten ja sydämen ja keuhkojen pahenemisen todennäköisyys suuren yleisön keskuudessa.")</f>
        <v>Suurempi haitallisten vaikutusten ja sydämen ja keuhkojen pahenemisen todennäköisyys suuren yleisön keskuudessa.</v>
      </c>
      <c r="X136" s="7" t="str">
        <f>IFERROR(__xludf.DUMMYFUNCTION("GoogleTranslate(C136, ""en"", ""fr"")"),"Probabilité accrue d'effets indésirables et d'aggravation du cœur et des poumons parmi le grand public.")</f>
        <v>Probabilité accrue d'effets indésirables et d'aggravation du cœur et des poumons parmi le grand public.</v>
      </c>
      <c r="Y136" s="7" t="str">
        <f>IFERROR(__xludf.DUMMYFUNCTION("GoogleTranslate(C136, ""en"", ""de"")"),"Erhöhte Wahrscheinlichkeit von Nebenwirkungen und Verschlimmerungen für Herz und Lunge in der Öffentlichkeit.")</f>
        <v>Erhöhte Wahrscheinlichkeit von Nebenwirkungen und Verschlimmerungen für Herz und Lunge in der Öffentlichkeit.</v>
      </c>
      <c r="Z136" s="7" t="str">
        <f>IFERROR(__xludf.DUMMYFUNCTION("GoogleTranslate(C136, ""en"", ""el"")"),"Αυξημένη πιθανότητα ανεπιθύμητων ενεργειών και επιδείνωσης στην καρδιά και τους πνεύμονες στο ευρύ κοινό.")</f>
        <v>Αυξημένη πιθανότητα ανεπιθύμητων ενεργειών και επιδείνωσης στην καρδιά και τους πνεύμονες στο ευρύ κοινό.</v>
      </c>
      <c r="AA136" s="7" t="str">
        <f>IFERROR(__xludf.DUMMYFUNCTION("GoogleTranslate(C136, ""en"", ""iw"")"),"עלייה בסבירות להשפעות שליליות והחמרה ללב ולריאות בקרב הציבור הרחב.")</f>
        <v>עלייה בסבירות להשפעות שליליות והחמרה ללב ולריאות בקרב הציבור הרחב.</v>
      </c>
      <c r="AB136" s="7" t="str">
        <f>IFERROR(__xludf.DUMMYFUNCTION("GoogleTranslate(C136, ""en"", ""hi"")"),"आम जनता के बीच हृदय और फेफड़ों पर प्रतिकूल प्रभाव और परेशानी की संभावना बढ़ गई है।")</f>
        <v>आम जनता के बीच हृदय और फेफड़ों पर प्रतिकूल प्रभाव और परेशानी की संभावना बढ़ गई है।</v>
      </c>
      <c r="AC136" s="7" t="str">
        <f>IFERROR(__xludf.DUMMYFUNCTION("GoogleTranslate(C136, ""en"", ""hu"")"),"Megnövekedett a szívre és a tüdőre gyakorolt ​​káros hatások és súlyosbodás valószínűsége a lakosság körében.")</f>
        <v>Megnövekedett a szívre és a tüdőre gyakorolt ​​káros hatások és súlyosbodás valószínűsége a lakosság körében.</v>
      </c>
      <c r="AD136" s="7" t="str">
        <f>IFERROR(__xludf.DUMMYFUNCTION("GoogleTranslate(C136, ""en"", ""is"")"),"Auknar líkur á skaðlegum áhrifum og versnun á hjarta og lungum meðal almennings.")</f>
        <v>Auknar líkur á skaðlegum áhrifum og versnun á hjarta og lungum meðal almennings.</v>
      </c>
      <c r="AE136" s="7" t="str">
        <f>IFERROR(__xludf.DUMMYFUNCTION("GoogleTranslate(C136, ""en"", ""id"")"),"Peningkatan kemungkinan efek buruk dan kejengkelan pada jantung dan paru-paru di kalangan masyarakat umum.")</f>
        <v>Peningkatan kemungkinan efek buruk dan kejengkelan pada jantung dan paru-paru di kalangan masyarakat umum.</v>
      </c>
      <c r="AF136" s="7" t="str">
        <f>IFERROR(__xludf.DUMMYFUNCTION("GoogleTranslate(C136, ""en"", ""in"")"),"Peningkatan kemungkinan efek buruk dan kejengkelan pada jantung dan paru-paru di kalangan masyarakat umum.")</f>
        <v>Peningkatan kemungkinan efek buruk dan kejengkelan pada jantung dan paru-paru di kalangan masyarakat umum.</v>
      </c>
      <c r="AG136" s="7" t="str">
        <f>IFERROR(__xludf.DUMMYFUNCTION("GoogleTranslate(C136, ""en"", ""it"")"),"Aumento della probabilità di effetti avversi e aggravamento del cuore e dei polmoni tra il pubblico in generale.")</f>
        <v>Aumento della probabilità di effetti avversi e aggravamento del cuore e dei polmoni tra il pubblico in generale.</v>
      </c>
      <c r="AH136" s="7" t="str">
        <f>IFERROR(__xludf.DUMMYFUNCTION("GoogleTranslate(C136, ""en"", ""ja"")"),"一般の人々において心臓や肺に悪影響や悪化を引き起こす可能性が高くなります。")</f>
        <v>一般の人々において心臓や肺に悪影響や悪化を引き起こす可能性が高くなります。</v>
      </c>
      <c r="AI136" s="7" t="str">
        <f>IFERROR(__xludf.DUMMYFUNCTION("GoogleTranslate(C136, ""en"", ""kn"")"),"ಸಾಮಾನ್ಯ ಜನರಲ್ಲಿ ಹೃದಯ ಮತ್ತು ಶ್ವಾಸಕೋಶಗಳಿಗೆ ಪ್ರತಿಕೂಲ ಪರಿಣಾಮಗಳು ಮತ್ತು ಉಲ್ಬಣಗೊಳ್ಳುವ ಸಾಧ್ಯತೆ ಹೆಚ್ಚಿದೆ.")</f>
        <v>ಸಾಮಾನ್ಯ ಜನರಲ್ಲಿ ಹೃದಯ ಮತ್ತು ಶ್ವಾಸಕೋಶಗಳಿಗೆ ಪ್ರತಿಕೂಲ ಪರಿಣಾಮಗಳು ಮತ್ತು ಉಲ್ಬಣಗೊಳ್ಳುವ ಸಾಧ್ಯತೆ ಹೆಚ್ಚಿದೆ.</v>
      </c>
      <c r="AJ136" s="7" t="str">
        <f>IFERROR(__xludf.DUMMYFUNCTION("GoogleTranslate(C136, ""en"", ""km"")"),"ការកើនឡើងលទ្ធភាពនៃផលប៉ះពាល់អវិជ្ជមាន និងធ្វើឱ្យកាន់តែធ្ងន់ធ្ងរដល់បេះដូង និងសួតក្នុងចំណោមមនុស្សទូទៅ។")</f>
        <v>ការកើនឡើងលទ្ធភាពនៃផលប៉ះពាល់អវិជ្ជមាន និងធ្វើឱ្យកាន់តែធ្ងន់ធ្ងរដល់បេះដូង និងសួតក្នុងចំណោមមនុស្សទូទៅ។</v>
      </c>
      <c r="AK136" s="7" t="str">
        <f>IFERROR(__xludf.DUMMYFUNCTION("GoogleTranslate(C136, ""en"", ""ko"")"),"일반 대중에게 심장과 폐에 대한 부작용 및 악화 가능성이 증가합니다.")</f>
        <v>일반 대중에게 심장과 폐에 대한 부작용 및 악화 가능성이 증가합니다.</v>
      </c>
      <c r="AL136" s="7" t="str">
        <f>IFERROR(__xludf.DUMMYFUNCTION("GoogleTranslate(C136, ""en"", ""lo"")"),"ຄວາມເປັນໄປໄດ້ເພີ່ມຂຶ້ນຂອງຜົນກະທົບທາງລົບແລະຮ້າຍແຮງຂຶ້ນຕໍ່ຫົວໃຈແລະປອດໃນບັນດາປະຊາຊົນທົ່ວໄປ.")</f>
        <v>ຄວາມເປັນໄປໄດ້ເພີ່ມຂຶ້ນຂອງຜົນກະທົບທາງລົບແລະຮ້າຍແຮງຂຶ້ນຕໍ່ຫົວໃຈແລະປອດໃນບັນດາປະຊາຊົນທົ່ວໄປ.</v>
      </c>
      <c r="AM136" s="7" t="str">
        <f>IFERROR(__xludf.DUMMYFUNCTION("GoogleTranslate(C136, ""en"", ""lv"")"),"Palielināta negatīvas ietekmes un sirds un plaušu pasliktināšanās iespējamība plašai sabiedrībai.")</f>
        <v>Palielināta negatīvas ietekmes un sirds un plaušu pasliktināšanās iespējamība plašai sabiedrībai.</v>
      </c>
      <c r="AN136" s="7" t="str">
        <f>IFERROR(__xludf.DUMMYFUNCTION("GoogleTranslate(C136, ""en"", ""lt"")"),"Didesnė neigiamo poveikio ir pasunkėjimo širdžiai bei plaučiams tikimybė plačiajai visuomenei.")</f>
        <v>Didesnė neigiamo poveikio ir pasunkėjimo širdžiai bei plaučiams tikimybė plačiajai visuomenei.</v>
      </c>
      <c r="AO136" s="7" t="str">
        <f>IFERROR(__xludf.DUMMYFUNCTION("GoogleTranslate(C136, ""en"", ""mk"")"),"Зголемена веројатност за негативни ефекти и влошување на срцето и белите дробови кај пошироката јавност.")</f>
        <v>Зголемена веројатност за негативни ефекти и влошување на срцето и белите дробови кај пошироката јавност.</v>
      </c>
      <c r="AP136" s="7" t="str">
        <f>IFERROR(__xludf.DUMMYFUNCTION("GoogleTranslate(C136, ""en"", ""ms"")"),"Peningkatan kemungkinan kesan buruk dan keterukan kepada jantung dan paru-paru di kalangan orang awam.")</f>
        <v>Peningkatan kemungkinan kesan buruk dan keterukan kepada jantung dan paru-paru di kalangan orang awam.</v>
      </c>
      <c r="AQ136" s="7" t="str">
        <f>IFERROR(__xludf.DUMMYFUNCTION("GoogleTranslate(C136, ""en"", ""ml"")"),"പൊതുജനങ്ങൾക്കിടയിൽ ഹൃദയത്തിനും ശ്വാസകോശത്തിനും ദോഷഫലങ്ങളും വഷളാകാനുള്ള സാധ്യതയും വർദ്ധിക്കുന്നു.")</f>
        <v>പൊതുജനങ്ങൾക്കിടയിൽ ഹൃദയത്തിനും ശ്വാസകോശത്തിനും ദോഷഫലങ്ങളും വഷളാകാനുള്ള സാധ്യതയും വർദ്ധിക്കുന്നു.</v>
      </c>
      <c r="AR136" s="7" t="str">
        <f>IFERROR(__xludf.DUMMYFUNCTION("GoogleTranslate(C136, ""en"", ""mr"")"),"सामान्य लोकांमध्ये हृदय आणि फुफ्फुसांवर प्रतिकूल परिणाम आणि त्रास होण्याची शक्यता वाढते.")</f>
        <v>सामान्य लोकांमध्ये हृदय आणि फुफ्फुसांवर प्रतिकूल परिणाम आणि त्रास होण्याची शक्यता वाढते.</v>
      </c>
      <c r="AS136" s="7" t="str">
        <f>IFERROR(__xludf.DUMMYFUNCTION("GoogleTranslate(C136, ""en"", ""mn"")"),"Олон нийтийн дунд зүрх, уушгинд сөрөг нөлөө үзүүлэх, хүндрүүлэх магадлал нэмэгддэг.")</f>
        <v>Олон нийтийн дунд зүрх, уушгинд сөрөг нөлөө үзүүлэх, хүндрүүлэх магадлал нэмэгддэг.</v>
      </c>
      <c r="AT136" s="7" t="str">
        <f>IFERROR(__xludf.DUMMYFUNCTION("GoogleTranslate(C136, ""en"", ""ne"")"),"सामान्य जनतामा मुटु र फोक्सोमा प्रतिकूल प्रभाव र उत्तेजित हुने सम्भावना बढ्छ।")</f>
        <v>सामान्य जनतामा मुटु र फोक्सोमा प्रतिकूल प्रभाव र उत्तेजित हुने सम्भावना बढ्छ।</v>
      </c>
      <c r="AU136" s="7" t="str">
        <f>IFERROR(__xludf.DUMMYFUNCTION("GoogleTranslate(C136, ""en"", ""nb"")"),"Økt sannsynlighet for uønskede effekter og forverring av hjerte og lunger blant allmennheten.")</f>
        <v>Økt sannsynlighet for uønskede effekter og forverring av hjerte og lunger blant allmennheten.</v>
      </c>
      <c r="AV136" s="7" t="str">
        <f>IFERROR(__xludf.DUMMYFUNCTION("GoogleTranslate(C136, ""en"", ""fa"")"),"افزایش احتمال عوارض جانبی و تشدید قلب و ریه در بین عموم مردم.")</f>
        <v>افزایش احتمال عوارض جانبی و تشدید قلب و ریه در بین عموم مردم.</v>
      </c>
      <c r="AW136" s="7" t="str">
        <f>IFERROR(__xludf.DUMMYFUNCTION("GoogleTranslate(C136, ""en"", ""pl"")"),"Zwiększone prawdopodobieństwo wystąpienia działań niepożądanych i pogorszenia stanu serca i płuc u ogółu społeczeństwa.")</f>
        <v>Zwiększone prawdopodobieństwo wystąpienia działań niepożądanych i pogorszenia stanu serca i płuc u ogółu społeczeństwa.</v>
      </c>
      <c r="AX136" s="7" t="str">
        <f>IFERROR(__xludf.DUMMYFUNCTION("GoogleTranslate(C136, ""en"", ""pt"")"),"Aumento da probabilidade de efeitos adversos e agravamento do coração e dos pulmões entre o público em geral.")</f>
        <v>Aumento da probabilidade de efeitos adversos e agravamento do coração e dos pulmões entre o público em geral.</v>
      </c>
      <c r="AY136" s="7" t="str">
        <f>IFERROR(__xludf.DUMMYFUNCTION("GoogleTranslate(C136, ""en"", ""ro"")"),"Probabilitate crescută de efecte adverse și agravare a inimii și plămânilor în rândul publicului larg.")</f>
        <v>Probabilitate crescută de efecte adverse și agravare a inimii și plămânilor în rândul publicului larg.</v>
      </c>
      <c r="AZ136" s="7" t="str">
        <f>IFERROR(__xludf.DUMMYFUNCTION("GoogleTranslate(C136, ""en"", ""ru"")"),"Повышенная вероятность побочных эффектов и ухудшения состояния сердца и легких среди населения.")</f>
        <v>Повышенная вероятность побочных эффектов и ухудшения состояния сердца и легких среди населения.</v>
      </c>
      <c r="BA136" s="7" t="str">
        <f>IFERROR(__xludf.DUMMYFUNCTION("GoogleTranslate(C136, ""en"", ""sr"")"),"Повећана вероватноћа нежељених ефеката и погоршања за срце и плућа у општој јавности.")</f>
        <v>Повећана вероватноћа нежељених ефеката и погоршања за срце и плућа у општој јавности.</v>
      </c>
      <c r="BB136" s="7" t="str">
        <f>IFERROR(__xludf.DUMMYFUNCTION("GoogleTranslate(C136, ""en"", ""si"")"),"සාමාන්‍ය ජනතාව අතර හෘදයට සහ පෙණහලුවලට අහිතකර බලපෑම් සහ උග්‍ර වීමේ සම්භාවිතාව වැඩි වීම.")</f>
        <v>සාමාන්‍ය ජනතාව අතර හෘදයට සහ පෙණහලුවලට අහිතකර බලපෑම් සහ උග්‍ර වීමේ සම්භාවිතාව වැඩි වීම.</v>
      </c>
      <c r="BC136" s="7" t="str">
        <f>IFERROR(__xludf.DUMMYFUNCTION("GoogleTranslate(C136, ""en"", ""sk"")"),"Zvýšená pravdepodobnosť nežiaducich účinkov a zhoršenia srdca a pľúc medzi širokou verejnosťou.")</f>
        <v>Zvýšená pravdepodobnosť nežiaducich účinkov a zhoršenia srdca a pľúc medzi širokou verejnosťou.</v>
      </c>
      <c r="BD136" s="7" t="str">
        <f>IFERROR(__xludf.DUMMYFUNCTION("GoogleTranslate(C136, ""en"", ""sl"")"),"Povečana verjetnost neželenih učinkov in poslabšanja srca in pljuč pri splošni javnosti.")</f>
        <v>Povečana verjetnost neželenih učinkov in poslabšanja srca in pljuč pri splošni javnosti.</v>
      </c>
      <c r="BE136" s="7" t="str">
        <f>IFERROR(__xludf.DUMMYFUNCTION("GoogleTranslate(C136, ""en"", ""es"")"),"Mayor probabilidad de efectos adversos y agravamiento del corazón y los pulmones entre el público en general.")</f>
        <v>Mayor probabilidad de efectos adversos y agravamiento del corazón y los pulmones entre el público en general.</v>
      </c>
      <c r="BF136" s="7" t="str">
        <f>IFERROR(__xludf.DUMMYFUNCTION("GoogleTranslate(C136, ""en"", ""sw"")"),"Kuongezeka kwa uwezekano wa athari mbaya na kuongezeka kwa moyo na mapafu kati ya umma kwa ujumla.")</f>
        <v>Kuongezeka kwa uwezekano wa athari mbaya na kuongezeka kwa moyo na mapafu kati ya umma kwa ujumla.</v>
      </c>
      <c r="BG136" s="7" t="str">
        <f>IFERROR(__xludf.DUMMYFUNCTION("GoogleTranslate(C136, ""en"", ""sv"")"),"Ökad sannolikhet för negativa effekter och förvärring av hjärtat och lungorna bland allmänheten.")</f>
        <v>Ökad sannolikhet för negativa effekter och förvärring av hjärtat och lungorna bland allmänheten.</v>
      </c>
      <c r="BH136" s="7" t="str">
        <f>IFERROR(__xludf.DUMMYFUNCTION("GoogleTranslate(C136, ""en"", ""te"")"),"సాధారణ ప్రజలలో గుండె మరియు ఊపిరితిత్తులకు ప్రతికూల ప్రభావాలు మరియు తీవ్రతరం అయ్యే సంభావ్యత పెరిగింది.")</f>
        <v>సాధారణ ప్రజలలో గుండె మరియు ఊపిరితిత్తులకు ప్రతికూల ప్రభావాలు మరియు తీవ్రతరం అయ్యే సంభావ్యత పెరిగింది.</v>
      </c>
      <c r="BI136" s="7" t="str">
        <f>IFERROR(__xludf.DUMMYFUNCTION("GoogleTranslate(C136, ""en"", ""th"")"),"เพิ่มโอกาสเกิดผลข้างเคียงและทำให้รุนแรงขึ้นต่อหัวใจและปอดในประชาชนทั่วไป")</f>
        <v>เพิ่มโอกาสเกิดผลข้างเคียงและทำให้รุนแรงขึ้นต่อหัวใจและปอดในประชาชนทั่วไป</v>
      </c>
      <c r="BJ136" s="7" t="str">
        <f>IFERROR(__xludf.DUMMYFUNCTION("GoogleTranslate(C136, ""en"", ""tr"")"),"Halk arasında kalp ve akciğerlerde yan etki ve kötüleşme olasılığının artması.")</f>
        <v>Halk arasında kalp ve akciğerlerde yan etki ve kötüleşme olasılığının artması.</v>
      </c>
      <c r="BK136" s="7" t="str">
        <f>IFERROR(__xludf.DUMMYFUNCTION("GoogleTranslate(C136, ""en"", ""uk"")"),"Підвищена ймовірність побічних ефектів і погіршення стану серця і легенів серед населення.")</f>
        <v>Підвищена ймовірність побічних ефектів і погіршення стану серця і легенів серед населення.</v>
      </c>
      <c r="BL136" s="7" t="str">
        <f>IFERROR(__xludf.DUMMYFUNCTION("GoogleTranslate(C136, ""en"", ""zu"")"),"Amathuba akhulayo okuba nemiphumela emibi kanye nokwanda kwenhliziyo namaphaphu phakathi komphakathi jikelele.")</f>
        <v>Amathuba akhulayo okuba nemiphumela emibi kanye nokwanda kwenhliziyo namaphaphu phakathi komphakathi jikelele.</v>
      </c>
    </row>
    <row r="137">
      <c r="A137" s="5" t="str">
        <f t="shared" si="1"/>
        <v>General_public_will_be_noticwably_affected._Sensitive_groups_should_restrict_outdoor_activities.</v>
      </c>
      <c r="B137" s="6" t="s">
        <v>193</v>
      </c>
      <c r="C137" s="5" t="str">
        <f t="shared" si="2"/>
        <v>General public will be noticwably affected. Sensitive groups should restrict outdoor activities.</v>
      </c>
      <c r="D137" s="7" t="str">
        <f>IFERROR(__xludf.DUMMYFUNCTION("GoogleTranslate(C137, ""en"", ""es"")"),"El público en general se verá notablemente afectado. Los grupos sensibles deben restringir las actividades al aire libre.")</f>
        <v>El público en general se verá notablemente afectado. Los grupos sensibles deben restringir las actividades al aire libre.</v>
      </c>
      <c r="E137" s="7" t="str">
        <f>IFERROR(__xludf.DUMMYFUNCTION("GoogleTranslate(C137, ""en"", ""ar"")"),"سوف يتأثر عامة الناس بشكل ملحوظ. يجب على المجموعات الحساسة تقييد الأنشطة الخارجية.")</f>
        <v>سوف يتأثر عامة الناس بشكل ملحوظ. يجب على المجموعات الحساسة تقييد الأنشطة الخارجية.</v>
      </c>
      <c r="F137" s="7" t="str">
        <f>IFERROR(__xludf.DUMMYFUNCTION("GoogleTranslate(C137, ""en"", ""hy"")"),"Լայն հասարակությունը նկատելիորեն կազդի. Զգայուն խմբերը պետք է սահմանափակեն բացօթյա գործունեությունը:")</f>
        <v>Լայն հասարակությունը նկատելիորեն կազդի. Զգայուն խմբերը պետք է սահմանափակեն բացօթյա գործունեությունը:</v>
      </c>
      <c r="G137" s="7" t="str">
        <f>IFERROR(__xludf.DUMMYFUNCTION("GoogleTranslate(C137, ""en"", ""vi"")"),"Công chúng sẽ bị ảnh hưởng rõ rệt. Nhóm nhạy cảm nên hạn chế các hoạt động ngoài trời.")</f>
        <v>Công chúng sẽ bị ảnh hưởng rõ rệt. Nhóm nhạy cảm nên hạn chế các hoạt động ngoài trời.</v>
      </c>
      <c r="H137" s="7" t="str">
        <f>IFERROR(__xludf.DUMMYFUNCTION("GoogleTranslate(C137, ""en"", ""az"")"),"Ümumi ictimaiyyət nəzərəçarpacaq dərəcədə təsirlənəcək. Həssas qruplar açıq hava fəaliyyətini məhdudlaşdırmalıdır.")</f>
        <v>Ümumi ictimaiyyət nəzərəçarpacaq dərəcədə təsirlənəcək. Həssas qruplar açıq hava fəaliyyətini məhdudlaşdırmalıdır.</v>
      </c>
      <c r="I137" s="7" t="str">
        <f>IFERROR(__xludf.DUMMYFUNCTION("GoogleTranslate(C137, ""en"", ""eu"")"),"Publiko orokorrak nabarmen eragingo du. Talde sentikorrek kanpoko jarduerak mugatu behar dituzte.")</f>
        <v>Publiko orokorrak nabarmen eragingo du. Talde sentikorrek kanpoko jarduerak mugatu behar dituzte.</v>
      </c>
      <c r="J137" s="7" t="str">
        <f>IFERROR(__xludf.DUMMYFUNCTION("GoogleTranslate(C137, ""en"", ""be"")"),"Шырокая грамадскасць будзе прыкметна закранута. Адчувальныя групы павінны абмежаваць прагулкі на свежым паветры.")</f>
        <v>Шырокая грамадскасць будзе прыкметна закранута. Адчувальныя групы павінны абмежаваць прагулкі на свежым паветры.</v>
      </c>
      <c r="K137" s="7" t="str">
        <f>IFERROR(__xludf.DUMMYFUNCTION("GoogleTranslate(C137, ""en"", ""bn"")"),"সাধারণ মানুষ লক্ষণীয়ভাবে ক্ষতিগ্রস্ত হবে। সংবেদনশীল গোষ্ঠীগুলিকে বহিরঙ্গন কার্যকলাপ সীমাবদ্ধ করা উচিত।")</f>
        <v>সাধারণ মানুষ লক্ষণীয়ভাবে ক্ষতিগ্রস্ত হবে। সংবেদনশীল গোষ্ঠীগুলিকে বহিরঙ্গন কার্যকলাপ সীমাবদ্ধ করা উচিত।</v>
      </c>
      <c r="L137" s="7" t="str">
        <f>IFERROR(__xludf.DUMMYFUNCTION("GoogleTranslate(C137, ""en"", ""bg"")"),"Широката общественост ще бъде осезаемо засегната. Чувствителните групи трябва да ограничат дейностите на открито.")</f>
        <v>Широката общественост ще бъде осезаемо засегната. Чувствителните групи трябва да ограничат дейностите на открито.</v>
      </c>
      <c r="M137" s="7" t="str">
        <f>IFERROR(__xludf.DUMMYFUNCTION("GoogleTranslate(C137, ""en"", ""my"")"),"အများသူငှာ သိသိသာသာ ထိခိုက်လာမယ်။ သိမ်မွေ့သောအုပ်စုများသည် ပြင်ပလှုပ်ရှားမှုများကို ကန့်သတ်သင့်သည်။")</f>
        <v>အများသူငှာ သိသိသာသာ ထိခိုက်လာမယ်။ သိမ်မွေ့သောအုပ်စုများသည် ပြင်ပလှုပ်ရှားမှုများကို ကန့်သတ်သင့်သည်။</v>
      </c>
      <c r="N137" s="7" t="str">
        <f>IFERROR(__xludf.DUMMYFUNCTION("GoogleTranslate(C137, ""en"", ""ca"")"),"El públic en general es veurà afectat notablement. Els grups sensibles haurien de restringir les activitats a l'aire lliure.")</f>
        <v>El públic en general es veurà afectat notablement. Els grups sensibles haurien de restringir les activitats a l'aire lliure.</v>
      </c>
      <c r="O137" s="7" t="str">
        <f>IFERROR(__xludf.DUMMYFUNCTION("GoogleTranslate(C137, ""en"", ""zh-cn"")"),"普通公众将受到明显影响。敏感人群应限制户外活动。")</f>
        <v>普通公众将受到明显影响。敏感人群应限制户外活动。</v>
      </c>
      <c r="P137" s="7" t="str">
        <f>IFERROR(__xludf.DUMMYFUNCTION("GoogleTranslate(C137, ""en"", ""zh-TW"")"),"一般公眾將受到明顯影響。敏感人群應限制戶外活動。")</f>
        <v>一般公眾將受到明顯影響。敏感人群應限制戶外活動。</v>
      </c>
      <c r="Q137" s="7" t="str">
        <f>IFERROR(__xludf.DUMMYFUNCTION("GoogleTranslate(C137, ""en"", ""hr"")"),"Opća javnost bit će znatno pogođena. Osjetljive skupine trebaju ograničiti aktivnosti na otvorenom.")</f>
        <v>Opća javnost bit će znatno pogođena. Osjetljive skupine trebaju ograničiti aktivnosti na otvorenom.</v>
      </c>
      <c r="R137" s="7" t="str">
        <f>IFERROR(__xludf.DUMMYFUNCTION("GoogleTranslate(C137, ""en"", ""cs"")"),"Široká veřejnost bude znatelně ovlivněna. Citlivé skupiny by měly omezit venkovní aktivity.")</f>
        <v>Široká veřejnost bude znatelně ovlivněna. Citlivé skupiny by měly omezit venkovní aktivity.</v>
      </c>
      <c r="S137" s="7" t="str">
        <f>IFERROR(__xludf.DUMMYFUNCTION("GoogleTranslate(C137, ""en"", ""da"")"),"Offentligheden vil blive mærkbart berørt. Følsomme grupper bør begrænse udendørs aktiviteter.")</f>
        <v>Offentligheden vil blive mærkbart berørt. Følsomme grupper bør begrænse udendørs aktiviteter.</v>
      </c>
      <c r="T137" s="7" t="str">
        <f>IFERROR(__xludf.DUMMYFUNCTION("GoogleTranslate(C137, ""en"", ""nl"")"),"Het grote publiek zal merkbaar getroffen worden. Gevoelige groepen moeten buitenactiviteiten beperken.")</f>
        <v>Het grote publiek zal merkbaar getroffen worden. Gevoelige groepen moeten buitenactiviteiten beperken.</v>
      </c>
      <c r="U137" s="7" t="str">
        <f>IFERROR(__xludf.DUMMYFUNCTION("GoogleTranslate(C137, ""en"", ""et"")"),"See mõjutab märgatavalt üldsust. Tundlikud rühmad peaksid piirama välitegevust.")</f>
        <v>See mõjutab märgatavalt üldsust. Tundlikud rühmad peaksid piirama välitegevust.</v>
      </c>
      <c r="V137" s="5" t="str">
        <f t="shared" si="3"/>
        <v>General public will be noticwably affected. Sensitive groups should restrict outdoor activities.</v>
      </c>
      <c r="W137" s="7" t="str">
        <f>IFERROR(__xludf.DUMMYFUNCTION("GoogleTranslate(C137, ""en"", ""fi"")"),"Vaikutus suureen yleisöön on huomattava. Herkkien ryhmien tulee rajoittaa ulkoilua.")</f>
        <v>Vaikutus suureen yleisöön on huomattava. Herkkien ryhmien tulee rajoittaa ulkoilua.</v>
      </c>
      <c r="X137" s="7" t="str">
        <f>IFERROR(__xludf.DUMMYFUNCTION("GoogleTranslate(C137, ""en"", ""fr"")"),"Le grand public sera sensiblement affecté. Les groupes sensibles devraient restreindre les activités de plein air.")</f>
        <v>Le grand public sera sensiblement affecté. Les groupes sensibles devraient restreindre les activités de plein air.</v>
      </c>
      <c r="Y137" s="7" t="str">
        <f>IFERROR(__xludf.DUMMYFUNCTION("GoogleTranslate(C137, ""en"", ""de"")"),"Die breite Öffentlichkeit wird spürbar betroffen sein. Sensible Gruppen sollten Outdoor-Aktivitäten einschränken.")</f>
        <v>Die breite Öffentlichkeit wird spürbar betroffen sein. Sensible Gruppen sollten Outdoor-Aktivitäten einschränken.</v>
      </c>
      <c r="Z137" s="7" t="str">
        <f>IFERROR(__xludf.DUMMYFUNCTION("GoogleTranslate(C137, ""en"", ""el"")"),"Το ευρύ κοινό θα επηρεαστεί αισθητά. Οι ευαίσθητες ομάδες θα πρέπει να περιορίζουν τις υπαίθριες δραστηριότητες.")</f>
        <v>Το ευρύ κοινό θα επηρεαστεί αισθητά. Οι ευαίσθητες ομάδες θα πρέπει να περιορίζουν τις υπαίθριες δραστηριότητες.</v>
      </c>
      <c r="AA137" s="7" t="str">
        <f>IFERROR(__xludf.DUMMYFUNCTION("GoogleTranslate(C137, ""en"", ""iw"")"),"הציבור הרחב יושפע באופן ניכר. קבוצות רגישות צריכות להגביל פעילויות בחוץ.")</f>
        <v>הציבור הרחב יושפע באופן ניכר. קבוצות רגישות צריכות להגביל פעילויות בחוץ.</v>
      </c>
      <c r="AB137" s="7" t="str">
        <f>IFERROR(__xludf.DUMMYFUNCTION("GoogleTranslate(C137, ""en"", ""hi"")"),"आम जनता काफ़ी प्रभावित होगी. संवेदनशील समूहों को बाहरी गतिविधियों को प्रतिबंधित करना चाहिए।")</f>
        <v>आम जनता काफ़ी प्रभावित होगी. संवेदनशील समूहों को बाहरी गतिविधियों को प्रतिबंधित करना चाहिए।</v>
      </c>
      <c r="AC137" s="7" t="str">
        <f>IFERROR(__xludf.DUMMYFUNCTION("GoogleTranslate(C137, ""en"", ""hu"")"),"A lakosságot ez érezhetően érinti. Az érzékeny csoportoknak korlátozniuk kell a szabadtéri tevékenységeket.")</f>
        <v>A lakosságot ez érezhetően érinti. Az érzékeny csoportoknak korlátozniuk kell a szabadtéri tevékenységeket.</v>
      </c>
      <c r="AD137" s="7" t="str">
        <f>IFERROR(__xludf.DUMMYFUNCTION("GoogleTranslate(C137, ""en"", ""is"")"),"Almenningur mun verða fyrir áberandi áhrifum. Viðkvæmir hópar ættu að takmarka útivist.")</f>
        <v>Almenningur mun verða fyrir áberandi áhrifum. Viðkvæmir hópar ættu að takmarka útivist.</v>
      </c>
      <c r="AE137" s="7" t="str">
        <f>IFERROR(__xludf.DUMMYFUNCTION("GoogleTranslate(C137, ""en"", ""id"")"),"Masyarakat umum akan sangat terkena dampaknya. Kelompok sensitif sebaiknya membatasi aktivitas di luar ruangan.")</f>
        <v>Masyarakat umum akan sangat terkena dampaknya. Kelompok sensitif sebaiknya membatasi aktivitas di luar ruangan.</v>
      </c>
      <c r="AF137" s="7" t="str">
        <f>IFERROR(__xludf.DUMMYFUNCTION("GoogleTranslate(C137, ""en"", ""in"")"),"Masyarakat umum akan sangat terkena dampaknya. Kelompok sensitif sebaiknya membatasi aktivitas di luar ruangan.")</f>
        <v>Masyarakat umum akan sangat terkena dampaknya. Kelompok sensitif sebaiknya membatasi aktivitas di luar ruangan.</v>
      </c>
      <c r="AG137" s="7" t="str">
        <f>IFERROR(__xludf.DUMMYFUNCTION("GoogleTranslate(C137, ""en"", ""it"")"),"Il pubblico in generale sarà notevolmente colpito. I gruppi sensibili dovrebbero limitare le attività all’aperto.")</f>
        <v>Il pubblico in generale sarà notevolmente colpito. I gruppi sensibili dovrebbero limitare le attività all’aperto.</v>
      </c>
      <c r="AH137" s="7" t="str">
        <f>IFERROR(__xludf.DUMMYFUNCTION("GoogleTranslate(C137, ""en"", ""ja"")"),"一般人は顕著な影響を受けるだろう。敏感なグループは屋外活動を制限する必要があります。")</f>
        <v>一般人は顕著な影響を受けるだろう。敏感なグループは屋外活動を制限する必要があります。</v>
      </c>
      <c r="AI137" s="7" t="str">
        <f>IFERROR(__xludf.DUMMYFUNCTION("GoogleTranslate(C137, ""en"", ""kn"")"),"ಸಾಮಾನ್ಯ ಜನರು ಗಮನಾರ್ಹವಾಗಿ ಪರಿಣಾಮ ಬೀರುತ್ತಾರೆ. ಸೂಕ್ಷ್ಮ ಗುಂಪುಗಳು ಹೊರಾಂಗಣ ಚಟುವಟಿಕೆಗಳನ್ನು ನಿರ್ಬಂಧಿಸಬೇಕು.")</f>
        <v>ಸಾಮಾನ್ಯ ಜನರು ಗಮನಾರ್ಹವಾಗಿ ಪರಿಣಾಮ ಬೀರುತ್ತಾರೆ. ಸೂಕ್ಷ್ಮ ಗುಂಪುಗಳು ಹೊರಾಂಗಣ ಚಟುವಟಿಕೆಗಳನ್ನು ನಿರ್ಬಂಧಿಸಬೇಕು.</v>
      </c>
      <c r="AJ137" s="7" t="str">
        <f>IFERROR(__xludf.DUMMYFUNCTION("GoogleTranslate(C137, ""en"", ""km"")"),"សាធារណជនទូទៅនឹងរងផលប៉ះពាល់គួរឱ្យកត់សម្គាល់។ ក្រុមដែលរសើបគួរដាក់កម្រិតលើសកម្មភាពខាងក្រៅ។")</f>
        <v>សាធារណជនទូទៅនឹងរងផលប៉ះពាល់គួរឱ្យកត់សម្គាល់។ ក្រុមដែលរសើបគួរដាក់កម្រិតលើសកម្មភាពខាងក្រៅ។</v>
      </c>
      <c r="AK137" s="7" t="str">
        <f>IFERROR(__xludf.DUMMYFUNCTION("GoogleTranslate(C137, ""en"", ""ko"")"),"일반 대중은 눈에 띄게 영향을 받을 것입니다. 민감한 그룹은 야외 활동을 제한해야 합니다.")</f>
        <v>일반 대중은 눈에 띄게 영향을 받을 것입니다. 민감한 그룹은 야외 활동을 제한해야 합니다.</v>
      </c>
      <c r="AL137" s="7" t="str">
        <f>IFERROR(__xludf.DUMMYFUNCTION("GoogleTranslate(C137, ""en"", ""lo"")"),"ປະຊາຊົນທົ່ວໄປຈະໄດ້ຮັບຜົນກະທົບຢ່າງຈະແຈ້ງ. ກຸ່ມທີ່ອ່ອນໄຫວຄວນຈໍາກັດກິດຈະກໍາກາງແຈ້ງ.")</f>
        <v>ປະຊາຊົນທົ່ວໄປຈະໄດ້ຮັບຜົນກະທົບຢ່າງຈະແຈ້ງ. ກຸ່ມທີ່ອ່ອນໄຫວຄວນຈໍາກັດກິດຈະກໍາກາງແຈ້ງ.</v>
      </c>
      <c r="AM137" s="7" t="str">
        <f>IFERROR(__xludf.DUMMYFUNCTION("GoogleTranslate(C137, ""en"", ""lv"")"),"Manāmi tiks ietekmēta plaša sabiedrība. Sensitīvām grupām jāierobežo aktivitātes brīvā dabā.")</f>
        <v>Manāmi tiks ietekmēta plaša sabiedrība. Sensitīvām grupām jāierobežo aktivitātes brīvā dabā.</v>
      </c>
      <c r="AN137" s="7" t="str">
        <f>IFERROR(__xludf.DUMMYFUNCTION("GoogleTranslate(C137, ""en"", ""lt"")"),"Tai bus pastebimai paveikta plačiajai visuomenei. Jautrios grupės turėtų apriboti veiklą lauke.")</f>
        <v>Tai bus pastebimai paveikta plačiajai visuomenei. Jautrios grupės turėtų apriboti veiklą lauke.</v>
      </c>
      <c r="AO137" s="7" t="str">
        <f>IFERROR(__xludf.DUMMYFUNCTION("GoogleTranslate(C137, ""en"", ""mk"")"),"Општата јавност ќе биде видливо погодена. Чувствителните групи треба да ги ограничат активностите на отворено.")</f>
        <v>Општата јавност ќе биде видливо погодена. Чувствителните групи треба да ги ограничат активностите на отворено.</v>
      </c>
      <c r="AP137" s="7" t="str">
        <f>IFERROR(__xludf.DUMMYFUNCTION("GoogleTranslate(C137, ""en"", ""ms"")"),"Orang awam akan terjejas dengan ketara. Kumpulan sensitif harus menyekat aktiviti luar.")</f>
        <v>Orang awam akan terjejas dengan ketara. Kumpulan sensitif harus menyekat aktiviti luar.</v>
      </c>
      <c r="AQ137" s="7" t="str">
        <f>IFERROR(__xludf.DUMMYFUNCTION("GoogleTranslate(C137, ""en"", ""ml"")"),"പൊതുജനങ്ങളെ കാര്യമായി ബാധിക്കും. സെൻസിറ്റീവ് ഗ്രൂപ്പുകൾ ഔട്ട്ഡോർ പ്രവർത്തനങ്ങൾ നിയന്ത്രിക്കണം.")</f>
        <v>പൊതുജനങ്ങളെ കാര്യമായി ബാധിക്കും. സെൻസിറ്റീവ് ഗ്രൂപ്പുകൾ ഔട്ട്ഡോർ പ്രവർത്തനങ്ങൾ നിയന്ത്രിക്കണം.</v>
      </c>
      <c r="AR137" s="7" t="str">
        <f>IFERROR(__xludf.DUMMYFUNCTION("GoogleTranslate(C137, ""en"", ""mr"")"),"याचा फटका सर्वसामान्यांना बसणार आहे. संवेदनशील गटांनी बाह्य क्रियाकलाप प्रतिबंधित केले पाहिजेत.")</f>
        <v>याचा फटका सर्वसामान्यांना बसणार आहे. संवेदनशील गटांनी बाह्य क्रियाकलाप प्रतिबंधित केले पाहिजेत.</v>
      </c>
      <c r="AS137" s="7" t="str">
        <f>IFERROR(__xludf.DUMMYFUNCTION("GoogleTranslate(C137, ""en"", ""mn"")"),"Олон нийт мэдэгдэхүйц нөлөөлнө. Эмзэг бүлгүүд гадаа үйл ажиллагааг хязгаарлах ёстой.")</f>
        <v>Олон нийт мэдэгдэхүйц нөлөөлнө. Эмзэг бүлгүүд гадаа үйл ажиллагааг хязгаарлах ёстой.</v>
      </c>
      <c r="AT137" s="7" t="str">
        <f>IFERROR(__xludf.DUMMYFUNCTION("GoogleTranslate(C137, ""en"", ""ne"")"),"सर्वसाधारण प्रभावित हुनेछन् । संवेदनशील समूहहरूले बाहिरी गतिविधिहरू प्रतिबन्धित गर्नुपर्छ।")</f>
        <v>सर्वसाधारण प्रभावित हुनेछन् । संवेदनशील समूहहरूले बाहिरी गतिविधिहरू प्रतिबन्धित गर्नुपर्छ।</v>
      </c>
      <c r="AU137" s="7" t="str">
        <f>IFERROR(__xludf.DUMMYFUNCTION("GoogleTranslate(C137, ""en"", ""nb"")"),"Allmennheten vil bli merkbart berørt. Sensitive grupper bør begrense utendørsaktiviteter.")</f>
        <v>Allmennheten vil bli merkbart berørt. Sensitive grupper bør begrense utendørsaktiviteter.</v>
      </c>
      <c r="AV137" s="7" t="str">
        <f>IFERROR(__xludf.DUMMYFUNCTION("GoogleTranslate(C137, ""en"", ""fa"")"),"عموم مردم به طور محسوسی تحت تاثیر قرار خواهند گرفت. گروه های حساس باید فعالیت های خارج از منزل را محدود کنند.")</f>
        <v>عموم مردم به طور محسوسی تحت تاثیر قرار خواهند گرفت. گروه های حساس باید فعالیت های خارج از منزل را محدود کنند.</v>
      </c>
      <c r="AW137" s="7" t="str">
        <f>IFERROR(__xludf.DUMMYFUNCTION("GoogleTranslate(C137, ""en"", ""pl"")"),"Opinia publiczna będzie zauważalnie dotknięta. Grupy wrażliwe powinny ograniczyć aktywność na świeżym powietrzu.")</f>
        <v>Opinia publiczna będzie zauważalnie dotknięta. Grupy wrażliwe powinny ograniczyć aktywność na świeżym powietrzu.</v>
      </c>
      <c r="AX137" s="7" t="str">
        <f>IFERROR(__xludf.DUMMYFUNCTION("GoogleTranslate(C137, ""en"", ""pt"")"),"O público em geral será visivelmente afetado. Grupos sensíveis devem restringir atividades ao ar livre.")</f>
        <v>O público em geral será visivelmente afetado. Grupos sensíveis devem restringir atividades ao ar livre.</v>
      </c>
      <c r="AY137" s="7" t="str">
        <f>IFERROR(__xludf.DUMMYFUNCTION("GoogleTranslate(C137, ""en"", ""ro"")"),"Publicul larg va fi afectat vizibil. Grupurile sensibile ar trebui să restricționeze activitățile în aer liber.")</f>
        <v>Publicul larg va fi afectat vizibil. Grupurile sensibile ar trebui să restricționeze activitățile în aer liber.</v>
      </c>
      <c r="AZ137" s="7" t="str">
        <f>IFERROR(__xludf.DUMMYFUNCTION("GoogleTranslate(C137, ""en"", ""ru"")"),"Широкая общественность будет заметно затронута. Чувствительным группам следует ограничить деятельность на свежем воздухе.")</f>
        <v>Широкая общественность будет заметно затронута. Чувствительным группам следует ограничить деятельность на свежем воздухе.</v>
      </c>
      <c r="BA137" s="7" t="str">
        <f>IFERROR(__xludf.DUMMYFUNCTION("GoogleTranslate(C137, ""en"", ""sr"")"),"Општа јавност ће бити приметно погођена. Осетљиве групе треба да ограниче активности на отвореном.")</f>
        <v>Општа јавност ће бити приметно погођена. Осетљиве групе треба да ограниче активности на отвореном.</v>
      </c>
      <c r="BB137" s="7" t="str">
        <f>IFERROR(__xludf.DUMMYFUNCTION("GoogleTranslate(C137, ""en"", ""si"")"),"සාමාන්‍ය ජනතාව සැලකිය යුතු ලෙස බලපානු ඇත. සංවේදී කණ්ඩායම් එළිමහන් ක්‍රියාකාරකම් සීමා කළ යුතුය.")</f>
        <v>සාමාන්‍ය ජනතාව සැලකිය යුතු ලෙස බලපානු ඇත. සංවේදී කණ්ඩායම් එළිමහන් ක්‍රියාකාරකම් සීමා කළ යුතුය.</v>
      </c>
      <c r="BC137" s="7" t="str">
        <f>IFERROR(__xludf.DUMMYFUNCTION("GoogleTranslate(C137, ""en"", ""sk"")"),"Široká verejnosť bude citeľne ovplyvnená. Citlivé skupiny by mali obmedziť vonkajšie aktivity.")</f>
        <v>Široká verejnosť bude citeľne ovplyvnená. Citlivé skupiny by mali obmedziť vonkajšie aktivity.</v>
      </c>
      <c r="BD137" s="7" t="str">
        <f>IFERROR(__xludf.DUMMYFUNCTION("GoogleTranslate(C137, ""en"", ""sl"")"),"Splošna javnost bo opazno prizadeta. Občutljive skupine naj omejijo dejavnosti na prostem.")</f>
        <v>Splošna javnost bo opazno prizadeta. Občutljive skupine naj omejijo dejavnosti na prostem.</v>
      </c>
      <c r="BE137" s="7" t="str">
        <f>IFERROR(__xludf.DUMMYFUNCTION("GoogleTranslate(C137, ""en"", ""es"")"),"El público en general se verá notablemente afectado. Los grupos sensibles deben restringir las actividades al aire libre.")</f>
        <v>El público en general se verá notablemente afectado. Los grupos sensibles deben restringir las actividades al aire libre.</v>
      </c>
      <c r="BF137" s="7" t="str">
        <f>IFERROR(__xludf.DUMMYFUNCTION("GoogleTranslate(C137, ""en"", ""sw"")"),"Umma kwa ujumla utaathiriwa dhahiri. Vikundi nyeti vinapaswa kuzuia shughuli za nje.")</f>
        <v>Umma kwa ujumla utaathiriwa dhahiri. Vikundi nyeti vinapaswa kuzuia shughuli za nje.</v>
      </c>
      <c r="BG137" s="7" t="str">
        <f>IFERROR(__xludf.DUMMYFUNCTION("GoogleTranslate(C137, ""en"", ""sv"")"),"Allmänheten kommer att påverkas märkbart. Känsliga grupper bör begränsa utomhusaktiviteter.")</f>
        <v>Allmänheten kommer att påverkas märkbart. Känsliga grupper bör begränsa utomhusaktiviteter.</v>
      </c>
      <c r="BH137" s="7" t="str">
        <f>IFERROR(__xludf.DUMMYFUNCTION("GoogleTranslate(C137, ""en"", ""te"")"),"సాధారణ ప్రజలు గమనించదగ్గ విధంగా ప్రభావితమవుతారు. సున్నితమైన సమూహాలు బహిరంగ కార్యకలాపాలను పరిమితం చేయాలి.")</f>
        <v>సాధారణ ప్రజలు గమనించదగ్గ విధంగా ప్రభావితమవుతారు. సున్నితమైన సమూహాలు బహిరంగ కార్యకలాపాలను పరిమితం చేయాలి.</v>
      </c>
      <c r="BI137" s="7" t="str">
        <f>IFERROR(__xludf.DUMMYFUNCTION("GoogleTranslate(C137, ""en"", ""th"")"),"ประชาชนทั่วไปจะได้รับผลกระทบอย่างเห็นได้ชัด กลุ่มที่มีความอ่อนไหวควรจำกัดกิจกรรมกลางแจ้ง")</f>
        <v>ประชาชนทั่วไปจะได้รับผลกระทบอย่างเห็นได้ชัด กลุ่มที่มีความอ่อนไหวควรจำกัดกิจกรรมกลางแจ้ง</v>
      </c>
      <c r="BJ137" s="7" t="str">
        <f>IFERROR(__xludf.DUMMYFUNCTION("GoogleTranslate(C137, ""en"", ""tr"")"),"Genel halk gözle görülür şekilde etkilenecektir. Hassas gruplar açık hava aktivitelerini kısıtlamalıdır.")</f>
        <v>Genel halk gözle görülür şekilde etkilenecektir. Hassas gruplar açık hava aktivitelerini kısıtlamalıdır.</v>
      </c>
      <c r="BK137" s="7" t="str">
        <f>IFERROR(__xludf.DUMMYFUNCTION("GoogleTranslate(C137, ""en"", ""uk"")"),"Відчутно постраждає широка громадськість. Чутливі групи повинні обмежити діяльність на свіжому повітрі.")</f>
        <v>Відчутно постраждає широка громадськість. Чутливі групи повинні обмежити діяльність на свіжому повітрі.</v>
      </c>
      <c r="BL137" s="7" t="str">
        <f>IFERROR(__xludf.DUMMYFUNCTION("GoogleTranslate(C137, ""en"", ""zu"")"),"Umphakathi jikelele uzothinteka ngokuphawulekayo. Amaqembu azwelayo kufanele akhawulele imisebenzi yangaphandle.")</f>
        <v>Umphakathi jikelele uzothinteka ngokuphawulekayo. Amaqembu azwelayo kufanele akhawulele imisebenzi yangaphandle.</v>
      </c>
    </row>
    <row r="138">
      <c r="A138" s="5" t="str">
        <f t="shared" si="1"/>
        <v>General_public_at_high_risk_of_experiencing_strong_irritations_and_adverse_healthy_effects._Should_avoid_outdoor_activities.</v>
      </c>
      <c r="B138" s="6" t="s">
        <v>194</v>
      </c>
      <c r="C138" s="5" t="str">
        <f t="shared" si="2"/>
        <v>General public at high risk of experiencing strong irritations and adverse healthy effects. Should avoid outdoor activities.</v>
      </c>
      <c r="D138" s="7" t="str">
        <f>IFERROR(__xludf.DUMMYFUNCTION("GoogleTranslate(C138, ""en"", ""es"")"),"Público en general con alto riesgo de sufrir fuertes irritaciones y efectos adversos para la salud. Debe evitar las actividades al aire libre.")</f>
        <v>Público en general con alto riesgo de sufrir fuertes irritaciones y efectos adversos para la salud. Debe evitar las actividades al aire libre.</v>
      </c>
      <c r="E138" s="7" t="str">
        <f>IFERROR(__xludf.DUMMYFUNCTION("GoogleTranslate(C138, ""en"", ""ar"")"),"عامة الناس معرضون بشكل كبير لخطر التعرض لتهيجات قوية وتأثيرات صحية ضارة. ينبغي تجنب الأنشطة في الهواء الطلق.")</f>
        <v>عامة الناس معرضون بشكل كبير لخطر التعرض لتهيجات قوية وتأثيرات صحية ضارة. ينبغي تجنب الأنشطة في الهواء الطلق.</v>
      </c>
      <c r="F138" s="7" t="str">
        <f>IFERROR(__xludf.DUMMYFUNCTION("GoogleTranslate(C138, ""en"", ""hy"")"),"Հասարակությունը ուժեղ գրգռվածության և առողջարար անբարենպաստ հետևանքների զգալու բարձր ռիսկի տակ է: Պետք է խուսափել բացօթյա գործունեությունից:")</f>
        <v>Հասարակությունը ուժեղ գրգռվածության և առողջարար անբարենպաստ հետևանքների զգալու բարձր ռիսկի տակ է: Պետք է խուսափել բացօթյա գործունեությունից:</v>
      </c>
      <c r="G138" s="7" t="str">
        <f>IFERROR(__xludf.DUMMYFUNCTION("GoogleTranslate(C138, ""en"", ""vi"")"),"Công chúng có nguy cơ cao bị kích ứng mạnh và ảnh hưởng xấu đến sức khỏe. Nên tránh các hoạt động ngoài trời.")</f>
        <v>Công chúng có nguy cơ cao bị kích ứng mạnh và ảnh hưởng xấu đến sức khỏe. Nên tránh các hoạt động ngoài trời.</v>
      </c>
      <c r="H138" s="7" t="str">
        <f>IFERROR(__xludf.DUMMYFUNCTION("GoogleTranslate(C138, ""en"", ""az"")"),"Güclü qıcıqlanma və mənfi sağlam təsirlərə məruz qalma riski yüksək olan ümumi ictimaiyyət. Açıq fəaliyyətlərdən qaçınmaq lazımdır.")</f>
        <v>Güclü qıcıqlanma və mənfi sağlam təsirlərə məruz qalma riski yüksək olan ümumi ictimaiyyət. Açıq fəaliyyətlərdən qaçınmaq lazımdır.</v>
      </c>
      <c r="I138" s="7" t="str">
        <f>IFERROR(__xludf.DUMMYFUNCTION("GoogleTranslate(C138, ""en"", ""eu"")"),"Publiko orokorrak narritadura gogorrak eta osasun-ondorio kaltegarriak izateko arrisku handia du. Kanpoko jarduerak saihestu behar dira.")</f>
        <v>Publiko orokorrak narritadura gogorrak eta osasun-ondorio kaltegarriak izateko arrisku handia du. Kanpoko jarduerak saihestu behar dira.</v>
      </c>
      <c r="J138" s="7" t="str">
        <f>IFERROR(__xludf.DUMMYFUNCTION("GoogleTranslate(C138, ""en"", ""be"")"),"Шырокая грамадскасць падвяргаецца высокай рызыцы моцнага раздражнення і негатыўных наступстваў для здароўя. Варта пазбягаць актыўнага адпачынку.")</f>
        <v>Шырокая грамадскасць падвяргаецца высокай рызыцы моцнага раздражнення і негатыўных наступстваў для здароўя. Варта пазбягаць актыўнага адпачынку.</v>
      </c>
      <c r="K138" s="7" t="str">
        <f>IFERROR(__xludf.DUMMYFUNCTION("GoogleTranslate(C138, ""en"", ""bn"")"),"সাধারণ জনগণ শক্তিশালী জ্বালা এবং প্রতিকূল স্বাস্থ্যকর প্রভাবের সম্মুখীন হওয়ার উচ্চ ঝুঁকিতে রয়েছে। বহিরঙ্গন কার্যকলাপ এড়াতে হবে।")</f>
        <v>সাধারণ জনগণ শক্তিশালী জ্বালা এবং প্রতিকূল স্বাস্থ্যকর প্রভাবের সম্মুখীন হওয়ার উচ্চ ঝুঁকিতে রয়েছে। বহিরঙ্গন কার্যকলাপ এড়াতে হবে।</v>
      </c>
      <c r="L138" s="7" t="str">
        <f>IFERROR(__xludf.DUMMYFUNCTION("GoogleTranslate(C138, ""en"", ""bg"")"),"Обществеността е изложена на висок риск от силно раздразнение и неблагоприятни последици за здравето. Трябва да се избягват дейности на открито.")</f>
        <v>Обществеността е изложена на висок риск от силно раздразнение и неблагоприятни последици за здравето. Трябва да се избягват дейности на открито.</v>
      </c>
      <c r="M138" s="7" t="str">
        <f>IFERROR(__xludf.DUMMYFUNCTION("GoogleTranslate(C138, ""en"", ""my"")"),"အများသူငှာ ပြင်းထန်သော ယားယံမှုများနှင့် ဆိုးရွားသော ကျန်းမာရေးဆိုးကျိုးများ ကြုံတွေ့နိုင်ခြေ မြင့်မားသည်။ ပြင်ပလှုပ်ရှားမှုများကို ရှောင်ကြဉ်သင့်သည်။")</f>
        <v>အများသူငှာ ပြင်းထန်သော ယားယံမှုများနှင့် ဆိုးရွားသော ကျန်းမာရေးဆိုးကျိုးများ ကြုံတွေ့နိုင်ခြေ မြင့်မားသည်။ ပြင်ပလှုပ်ရှားမှုများကို ရှောင်ကြဉ်သင့်သည်။</v>
      </c>
      <c r="N138" s="7" t="str">
        <f>IFERROR(__xludf.DUMMYFUNCTION("GoogleTranslate(C138, ""en"", ""ca"")"),"Públic en general amb alt risc de patir fortes irritacions i efectes adversos per a la salut. Cal evitar activitats a l'aire lliure.")</f>
        <v>Públic en general amb alt risc de patir fortes irritacions i efectes adversos per a la salut. Cal evitar activitats a l'aire lliure.</v>
      </c>
      <c r="O138" s="7" t="str">
        <f>IFERROR(__xludf.DUMMYFUNCTION("GoogleTranslate(C138, ""en"", ""zh-cn"")"),"普通公众面临强烈刺激和不良健康影响的高风险。应避免户外活动。")</f>
        <v>普通公众面临强烈刺激和不良健康影响的高风险。应避免户外活动。</v>
      </c>
      <c r="P138" s="7" t="str">
        <f>IFERROR(__xludf.DUMMYFUNCTION("GoogleTranslate(C138, ""en"", ""zh-TW"")"),"一般大眾面臨強烈刺激和不良健康影響的高風險。應避免戶外活動。")</f>
        <v>一般大眾面臨強烈刺激和不良健康影響的高風險。應避免戶外活動。</v>
      </c>
      <c r="Q138" s="7" t="str">
        <f>IFERROR(__xludf.DUMMYFUNCTION("GoogleTranslate(C138, ""en"", ""hr"")"),"Opća javnost u visokom riziku od jakih iritacija i štetnih učinaka na zdravlje. Treba izbjegavati aktivnosti na otvorenom.")</f>
        <v>Opća javnost u visokom riziku od jakih iritacija i štetnih učinaka na zdravlje. Treba izbjegavati aktivnosti na otvorenom.</v>
      </c>
      <c r="R138" s="7" t="str">
        <f>IFERROR(__xludf.DUMMYFUNCTION("GoogleTranslate(C138, ""en"", ""cs"")"),"Široká veřejnost s vysokým rizikem silného podráždění a nepříznivých zdravotních účinků. Měli byste se vyhnout venkovním aktivitám.")</f>
        <v>Široká veřejnost s vysokým rizikem silného podráždění a nepříznivých zdravotních účinků. Měli byste se vyhnout venkovním aktivitám.</v>
      </c>
      <c r="S138" s="7" t="str">
        <f>IFERROR(__xludf.DUMMYFUNCTION("GoogleTranslate(C138, ""en"", ""da"")"),"Almen offentlighed med høj risiko for at opleve stærke irritationer og negative sunde virkninger. Bør undgå udendørs aktiviteter.")</f>
        <v>Almen offentlighed med høj risiko for at opleve stærke irritationer og negative sunde virkninger. Bør undgå udendørs aktiviteter.</v>
      </c>
      <c r="T138" s="7" t="str">
        <f>IFERROR(__xludf.DUMMYFUNCTION("GoogleTranslate(C138, ""en"", ""nl"")"),"Het grote publiek loopt een hoog risico op sterke irritaties en nadelige gezondheidseffecten. Moet buitenactiviteiten vermijden.")</f>
        <v>Het grote publiek loopt een hoog risico op sterke irritaties en nadelige gezondheidseffecten. Moet buitenactiviteiten vermijden.</v>
      </c>
      <c r="U138" s="7" t="str">
        <f>IFERROR(__xludf.DUMMYFUNCTION("GoogleTranslate(C138, ""en"", ""et"")"),"Üldsus, kellel on suur oht tugeva ärrituse ja tervisele kahjulike mõjude tekkeks. Välistegevust tuleks vältida.")</f>
        <v>Üldsus, kellel on suur oht tugeva ärrituse ja tervisele kahjulike mõjude tekkeks. Välistegevust tuleks vältida.</v>
      </c>
      <c r="V138" s="5" t="str">
        <f t="shared" si="3"/>
        <v>General public at high risk of experiencing strong irritations and adverse healthy effects. Should avoid outdoor activities.</v>
      </c>
      <c r="W138" s="7" t="str">
        <f>IFERROR(__xludf.DUMMYFUNCTION("GoogleTranslate(C138, ""en"", ""fi"")"),"Suuri yleisö, jolla on suuri riski kokea voimakasta ärsytystä ja haitallisia terveydellisiä vaikutuksia. Ulkoilua kannattaa välttää.")</f>
        <v>Suuri yleisö, jolla on suuri riski kokea voimakasta ärsytystä ja haitallisia terveydellisiä vaikutuksia. Ulkoilua kannattaa välttää.</v>
      </c>
      <c r="X138" s="7" t="str">
        <f>IFERROR(__xludf.DUMMYFUNCTION("GoogleTranslate(C138, ""en"", ""fr"")"),"Le grand public est exposé à un risque élevé de fortes irritations et d'effets néfastes sur la santé. Devrait éviter les activités de plein air.")</f>
        <v>Le grand public est exposé à un risque élevé de fortes irritations et d'effets néfastes sur la santé. Devrait éviter les activités de plein air.</v>
      </c>
      <c r="Y138" s="7" t="str">
        <f>IFERROR(__xludf.DUMMYFUNCTION("GoogleTranslate(C138, ""en"", ""de"")"),"Für die breite Öffentlichkeit besteht ein hohes Risiko starker Reizungen und gesundheitsschädlicher Auswirkungen. Aktivitäten im Freien sollten vermieden werden.")</f>
        <v>Für die breite Öffentlichkeit besteht ein hohes Risiko starker Reizungen und gesundheitsschädlicher Auswirkungen. Aktivitäten im Freien sollten vermieden werden.</v>
      </c>
      <c r="Z138" s="7" t="str">
        <f>IFERROR(__xludf.DUMMYFUNCTION("GoogleTranslate(C138, ""en"", ""el"")"),"Το ευρύ κοινό διατρέχει υψηλό κίνδυνο να εμφανίσει ισχυρούς ερεθισμούς και δυσμενείς επιπτώσεις στην υγεία. Πρέπει να αποφεύγετε τις υπαίθριες δραστηριότητες.")</f>
        <v>Το ευρύ κοινό διατρέχει υψηλό κίνδυνο να εμφανίσει ισχυρούς ερεθισμούς και δυσμενείς επιπτώσεις στην υγεία. Πρέπει να αποφεύγετε τις υπαίθριες δραστηριότητες.</v>
      </c>
      <c r="AA138" s="7" t="str">
        <f>IFERROR(__xludf.DUMMYFUNCTION("GoogleTranslate(C138, ""en"", ""iw"")"),"ציבור כללי בסיכון גבוה לחוות גירויים חזקים והשפעות בריאות שליליות. יש להימנע מפעילויות חוצות.")</f>
        <v>ציבור כללי בסיכון גבוה לחוות גירויים חזקים והשפעות בריאות שליליות. יש להימנע מפעילויות חוצות.</v>
      </c>
      <c r="AB138" s="7" t="str">
        <f>IFERROR(__xludf.DUMMYFUNCTION("GoogleTranslate(C138, ""en"", ""hi"")"),"आम जनता को गंभीर जलन और प्रतिकूल स्वास्थ्य प्रभावों का अनुभव होने का उच्च जोखिम है। बाहरी गतिविधियों से बचना चाहिए।")</f>
        <v>आम जनता को गंभीर जलन और प्रतिकूल स्वास्थ्य प्रभावों का अनुभव होने का उच्च जोखिम है। बाहरी गतिविधियों से बचना चाहिए।</v>
      </c>
      <c r="AC138" s="7" t="str">
        <f>IFERROR(__xludf.DUMMYFUNCTION("GoogleTranslate(C138, ""en"", ""hu"")"),"A lakosság körében nagy a kockázata annak, hogy erős irritációt és káros egészségügyi hatásokat tapasztalhatnak. Kerülni kell a szabadtéri tevékenységeket.")</f>
        <v>A lakosság körében nagy a kockázata annak, hogy erős irritációt és káros egészségügyi hatásokat tapasztalhatnak. Kerülni kell a szabadtéri tevékenységeket.</v>
      </c>
      <c r="AD138" s="7" t="str">
        <f>IFERROR(__xludf.DUMMYFUNCTION("GoogleTranslate(C138, ""en"", ""is"")"),"Almenningur í mikilli hættu á að upplifa mikla ertingu og skaðleg heilsufarsleg áhrif. Ætti að forðast útivist.")</f>
        <v>Almenningur í mikilli hættu á að upplifa mikla ertingu og skaðleg heilsufarsleg áhrif. Ætti að forðast útivist.</v>
      </c>
      <c r="AE138" s="7" t="str">
        <f>IFERROR(__xludf.DUMMYFUNCTION("GoogleTranslate(C138, ""en"", ""id"")"),"Masyarakat umum berisiko tinggi mengalami iritasi parah dan dampak buruk bagi kesehatan. Sebaiknya hindari aktivitas di luar ruangan.")</f>
        <v>Masyarakat umum berisiko tinggi mengalami iritasi parah dan dampak buruk bagi kesehatan. Sebaiknya hindari aktivitas di luar ruangan.</v>
      </c>
      <c r="AF138" s="7" t="str">
        <f>IFERROR(__xludf.DUMMYFUNCTION("GoogleTranslate(C138, ""en"", ""in"")"),"Masyarakat umum berisiko tinggi mengalami iritasi parah dan dampak buruk bagi kesehatan. Sebaiknya hindari aktivitas di luar ruangan.")</f>
        <v>Masyarakat umum berisiko tinggi mengalami iritasi parah dan dampak buruk bagi kesehatan. Sebaiknya hindari aktivitas di luar ruangan.</v>
      </c>
      <c r="AG138" s="7" t="str">
        <f>IFERROR(__xludf.DUMMYFUNCTION("GoogleTranslate(C138, ""en"", ""it"")"),"Il pubblico in generale è ad alto rischio di subire forti irritazioni ed effetti negativi sulla salute. Dovrebbe evitare attività all'aperto.")</f>
        <v>Il pubblico in generale è ad alto rischio di subire forti irritazioni ed effetti negativi sulla salute. Dovrebbe evitare attività all'aperto.</v>
      </c>
      <c r="AH138" s="7" t="str">
        <f>IFERROR(__xludf.DUMMYFUNCTION("GoogleTranslate(C138, ""en"", ""ja"")"),"強い刺激や健康への悪影響を経験するリスクが高い一般の人々。屋外での活動は避けるべきです。")</f>
        <v>強い刺激や健康への悪影響を経験するリスクが高い一般の人々。屋外での活動は避けるべきです。</v>
      </c>
      <c r="AI138" s="7" t="str">
        <f>IFERROR(__xludf.DUMMYFUNCTION("GoogleTranslate(C138, ""en"", ""kn"")"),"ಬಲವಾದ ಕಿರಿಕಿರಿಗಳು ಮತ್ತು ಪ್ರತಿಕೂಲ ಆರೋಗ್ಯಕರ ಪರಿಣಾಮಗಳನ್ನು ಅನುಭವಿಸುವ ಹೆಚ್ಚಿನ ಅಪಾಯದಲ್ಲಿರುವ ಸಾಮಾನ್ಯ ಜನರು. ಹೊರಾಂಗಣ ಚಟುವಟಿಕೆಗಳನ್ನು ತಪ್ಪಿಸಬೇಕು.")</f>
        <v>ಬಲವಾದ ಕಿರಿಕಿರಿಗಳು ಮತ್ತು ಪ್ರತಿಕೂಲ ಆರೋಗ್ಯಕರ ಪರಿಣಾಮಗಳನ್ನು ಅನುಭವಿಸುವ ಹೆಚ್ಚಿನ ಅಪಾಯದಲ್ಲಿರುವ ಸಾಮಾನ್ಯ ಜನರು. ಹೊರಾಂಗಣ ಚಟುವಟಿಕೆಗಳನ್ನು ತಪ್ಪಿಸಬೇಕು.</v>
      </c>
      <c r="AJ138" s="7" t="str">
        <f>IFERROR(__xludf.DUMMYFUNCTION("GoogleTranslate(C138, ""en"", ""km"")"),"សាធារណជន​ទូទៅ​មាន​ហានិភ័យ​ខ្ពស់​នៃ​ការ​មាន​ការ​រលាក​ខ្លាំង និង​ផល​ប៉ះពាល់​ដល់​សុខភាព។ គួរចៀសវាងសកម្មភាពក្រៅ។")</f>
        <v>សាធារណជន​ទូទៅ​មាន​ហានិភ័យ​ខ្ពស់​នៃ​ការ​មាន​ការ​រលាក​ខ្លាំង និង​ផល​ប៉ះពាល់​ដល់​សុខភាព។ គួរចៀសវាងសកម្មភាពក្រៅ។</v>
      </c>
      <c r="AK138" s="7" t="str">
        <f>IFERROR(__xludf.DUMMYFUNCTION("GoogleTranslate(C138, ""en"", ""ko"")"),"강한 자극과 건강에 해로운 영향을 경험할 위험이 높은 일반 대중. 야외 활동을 피해야 합니다.")</f>
        <v>강한 자극과 건강에 해로운 영향을 경험할 위험이 높은 일반 대중. 야외 활동을 피해야 합니다.</v>
      </c>
      <c r="AL138" s="7" t="str">
        <f>IFERROR(__xludf.DUMMYFUNCTION("GoogleTranslate(C138, ""en"", ""lo"")"),"ປະຊາຊົນທົ່ວໄປມີຄວາມສ່ຽງສູງທີ່ຈະປະສົບກັບອາການຄັນຄາຍທີ່ເຂັ້ມແຂງແລະຜົນກະທົບທາງລົບຕໍ່ສຸຂະພາບ. ຄວນ​ຫຼີກ​ລ່ຽງ​ກິດ​ຈະ​ກຳ​ນອກ.")</f>
        <v>ປະຊາຊົນທົ່ວໄປມີຄວາມສ່ຽງສູງທີ່ຈະປະສົບກັບອາການຄັນຄາຍທີ່ເຂັ້ມແຂງແລະຜົນກະທົບທາງລົບຕໍ່ສຸຂະພາບ. ຄວນ​ຫຼີກ​ລ່ຽງ​ກິດ​ຈະ​ກຳ​ນອກ.</v>
      </c>
      <c r="AM138" s="7" t="str">
        <f>IFERROR(__xludf.DUMMYFUNCTION("GoogleTranslate(C138, ""en"", ""lv"")"),"Plaša sabiedrība, kurai ir liels risks izjust spēcīgu kairinājumu un nelabvēlīgu ietekmi uz veselību. Jāizvairās no āra aktivitātēm.")</f>
        <v>Plaša sabiedrība, kurai ir liels risks izjust spēcīgu kairinājumu un nelabvēlīgu ietekmi uz veselību. Jāizvairās no āra aktivitātēm.</v>
      </c>
      <c r="AN138" s="7" t="str">
        <f>IFERROR(__xludf.DUMMYFUNCTION("GoogleTranslate(C138, ""en"", ""lt"")"),"Plačiajai visuomenei kyla didelė rizika patirti stiprų sudirginimą ir neigiamą poveikį sveikatai. Reikėtų vengti veiklos lauke.")</f>
        <v>Plačiajai visuomenei kyla didelė rizika patirti stiprų sudirginimą ir neigiamą poveikį sveikatai. Reikėtų vengti veiklos lauke.</v>
      </c>
      <c r="AO138" s="7" t="str">
        <f>IFERROR(__xludf.DUMMYFUNCTION("GoogleTranslate(C138, ""en"", ""mk"")"),"Општата јавност е изложена на висок ризик да доживее силни иритации и негативни здрави ефекти. Треба да избегнувате активности на отворено.")</f>
        <v>Општата јавност е изложена на висок ризик да доживее силни иритации и негативни здрави ефекти. Треба да избегнувате активности на отворено.</v>
      </c>
      <c r="AP138" s="7" t="str">
        <f>IFERROR(__xludf.DUMMYFUNCTION("GoogleTranslate(C138, ""en"", ""ms"")"),"Orang awam berisiko tinggi mengalami kerengsaan yang kuat dan kesan buruk kepada kesihatan. Harus mengelakkan aktiviti luar.")</f>
        <v>Orang awam berisiko tinggi mengalami kerengsaan yang kuat dan kesan buruk kepada kesihatan. Harus mengelakkan aktiviti luar.</v>
      </c>
      <c r="AQ138" s="7" t="str">
        <f>IFERROR(__xludf.DUMMYFUNCTION("GoogleTranslate(C138, ""en"", ""ml"")"),"ശക്തമായ പ്രകോപനങ്ങളും ആരോഗ്യകരമായ പ്രതികൂല ഫലങ്ങളും അനുഭവിക്കുന്നതിനുള്ള ഉയർന്ന അപകടസാധ്യതയുള്ള പൊതുജനങ്ങൾ. ഔട്ട്ഡോർ പ്രവർത്തനങ്ങൾ ഒഴിവാക്കണം.")</f>
        <v>ശക്തമായ പ്രകോപനങ്ങളും ആരോഗ്യകരമായ പ്രതികൂല ഫലങ്ങളും അനുഭവിക്കുന്നതിനുള്ള ഉയർന്ന അപകടസാധ്യതയുള്ള പൊതുജനങ്ങൾ. ഔട്ട്ഡോർ പ്രവർത്തനങ്ങൾ ഒഴിവാക്കണം.</v>
      </c>
      <c r="AR138" s="7" t="str">
        <f>IFERROR(__xludf.DUMMYFUNCTION("GoogleTranslate(C138, ""en"", ""mr"")"),"सामान्य लोकांना तीव्र चिडचिड आणि प्रतिकूल आरोग्यदायी परिणामांचा उच्च धोका असतो. बाह्य क्रियाकलाप टाळावेत.")</f>
        <v>सामान्य लोकांना तीव्र चिडचिड आणि प्रतिकूल आरोग्यदायी परिणामांचा उच्च धोका असतो. बाह्य क्रियाकलाप टाळावेत.</v>
      </c>
      <c r="AS138" s="7" t="str">
        <f>IFERROR(__xludf.DUMMYFUNCTION("GoogleTranslate(C138, ""en"", ""mn"")"),"Хүчтэй цочрол, эрүүл мэндэд сөрөг нөлөө үзүүлэх эрсдэл өндөртэй олон нийт. Гадна үйл ажиллагаанаас зайлсхийх хэрэгтэй.")</f>
        <v>Хүчтэй цочрол, эрүүл мэндэд сөрөг нөлөө үзүүлэх эрсдэл өндөртэй олон нийт. Гадна үйл ажиллагаанаас зайлсхийх хэрэгтэй.</v>
      </c>
      <c r="AT138" s="7" t="str">
        <f>IFERROR(__xludf.DUMMYFUNCTION("GoogleTranslate(C138, ""en"", ""ne"")"),"बलियो जलन र प्रतिकूल स्वास्थ्य प्रभावहरू अनुभव गर्ने उच्च जोखिममा सामान्य जनता। बाहिरी गतिविधिबाट टाढा रहनुपर्छ।")</f>
        <v>बलियो जलन र प्रतिकूल स्वास्थ्य प्रभावहरू अनुभव गर्ने उच्च जोखिममा सामान्य जनता। बाहिरी गतिविधिबाट टाढा रहनुपर्छ।</v>
      </c>
      <c r="AU138" s="7" t="str">
        <f>IFERROR(__xludf.DUMMYFUNCTION("GoogleTranslate(C138, ""en"", ""nb"")"),"Allmennheten har høy risiko for å oppleve sterke irritasjoner og helseskadelige effekter. Bør unngå utendørsaktiviteter.")</f>
        <v>Allmennheten har høy risiko for å oppleve sterke irritasjoner og helseskadelige effekter. Bør unngå utendørsaktiviteter.</v>
      </c>
      <c r="AV138" s="7" t="str">
        <f>IFERROR(__xludf.DUMMYFUNCTION("GoogleTranslate(C138, ""en"", ""fa"")"),"عموم مردم در معرض خطر بالای تجربه تحریکات قوی و اثرات نامطلوب سلامتی هستند. باید از فعالیت در فضای باز خودداری کرد.")</f>
        <v>عموم مردم در معرض خطر بالای تجربه تحریکات قوی و اثرات نامطلوب سلامتی هستند. باید از فعالیت در فضای باز خودداری کرد.</v>
      </c>
      <c r="AW138" s="7" t="str">
        <f>IFERROR(__xludf.DUMMYFUNCTION("GoogleTranslate(C138, ""en"", ""pl"")"),"Ogół społeczeństwa o wysokim ryzyku wystąpienia silnych podrażnień i niekorzystnych skutków zdrowotnych. Należy unikać zajęć na świeżym powietrzu.")</f>
        <v>Ogół społeczeństwa o wysokim ryzyku wystąpienia silnych podrażnień i niekorzystnych skutków zdrowotnych. Należy unikać zajęć na świeżym powietrzu.</v>
      </c>
      <c r="AX138" s="7" t="str">
        <f>IFERROR(__xludf.DUMMYFUNCTION("GoogleTranslate(C138, ""en"", ""pt"")"),"Público em geral com alto risco de sofrer fortes irritações e efeitos adversos à saúde. Deve evitar atividades ao ar livre.")</f>
        <v>Público em geral com alto risco de sofrer fortes irritações e efeitos adversos à saúde. Deve evitar atividades ao ar livre.</v>
      </c>
      <c r="AY138" s="7" t="str">
        <f>IFERROR(__xludf.DUMMYFUNCTION("GoogleTranslate(C138, ""en"", ""ro"")"),"Publicul larg cu risc crescut de a experimenta iritații puternice și efecte adverse sănătoase. Ar trebui să evite activitățile în aer liber.")</f>
        <v>Publicul larg cu risc crescut de a experimenta iritații puternice și efecte adverse sănătoase. Ar trebui să evite activitățile în aer liber.</v>
      </c>
      <c r="AZ138" s="7" t="str">
        <f>IFERROR(__xludf.DUMMYFUNCTION("GoogleTranslate(C138, ""en"", ""ru"")"),"Широкая общественность подвергается высокому риску сильных раздражений и неблагоприятных последствий для здоровья. Следует избегать активного отдыха.")</f>
        <v>Широкая общественность подвергается высокому риску сильных раздражений и неблагоприятных последствий для здоровья. Следует избегать активного отдыха.</v>
      </c>
      <c r="BA138" s="7" t="str">
        <f>IFERROR(__xludf.DUMMYFUNCTION("GoogleTranslate(C138, ""en"", ""sr"")"),"Шира јавност под високим ризиком од јаких иритација и штетних здравствених ефеката. Треба избегавати активности на отвореном.")</f>
        <v>Шира јавност под високим ризиком од јаких иритација и штетних здравствених ефеката. Треба избегавати активности на отвореном.</v>
      </c>
      <c r="BB138" s="7" t="str">
        <f>IFERROR(__xludf.DUMMYFUNCTION("GoogleTranslate(C138, ""en"", ""si"")"),"දැඩි කෝපයක් සහ අහිතකර සෞඛ්‍ය සම්පන්න බලපෑම් අත්විඳීමේ ඉහළ අවදානමක් ඇති සාමාන්‍ය ජනතාව. එළිමහන් ක්‍රියාකාරකම් වලින් වැළකී සිටිය යුතුය.")</f>
        <v>දැඩි කෝපයක් සහ අහිතකර සෞඛ්‍ය සම්පන්න බලපෑම් අත්විඳීමේ ඉහළ අවදානමක් ඇති සාමාන්‍ය ජනතාව. එළිමහන් ක්‍රියාකාරකම් වලින් වැළකී සිටිය යුතුය.</v>
      </c>
      <c r="BC138" s="7" t="str">
        <f>IFERROR(__xludf.DUMMYFUNCTION("GoogleTranslate(C138, ""en"", ""sk"")"),"Široká verejnosť s vysokým rizikom silného podráždenia a nepriaznivých zdravotných účinkov. Mali by ste sa vyhnúť vonkajším aktivitám.")</f>
        <v>Široká verejnosť s vysokým rizikom silného podráždenia a nepriaznivých zdravotných účinkov. Mali by ste sa vyhnúť vonkajším aktivitám.</v>
      </c>
      <c r="BD138" s="7" t="str">
        <f>IFERROR(__xludf.DUMMYFUNCTION("GoogleTranslate(C138, ""en"", ""sl"")"),"Splošna javnost je izpostavljena visokemu tveganju močnega draženja in škodljivih učinkov na zdravje. Izogibati se je treba dejavnostim na prostem.")</f>
        <v>Splošna javnost je izpostavljena visokemu tveganju močnega draženja in škodljivih učinkov na zdravje. Izogibati se je treba dejavnostim na prostem.</v>
      </c>
      <c r="BE138" s="7" t="str">
        <f>IFERROR(__xludf.DUMMYFUNCTION("GoogleTranslate(C138, ""en"", ""es"")"),"Público en general con alto riesgo de sufrir fuertes irritaciones y efectos adversos para la salud. Debe evitar las actividades al aire libre.")</f>
        <v>Público en general con alto riesgo de sufrir fuertes irritaciones y efectos adversos para la salud. Debe evitar las actividades al aire libre.</v>
      </c>
      <c r="BF138" s="7" t="str">
        <f>IFERROR(__xludf.DUMMYFUNCTION("GoogleTranslate(C138, ""en"", ""sw"")"),"Umma kwa ujumla katika hatari kubwa ya kupata muwasho mkali na athari mbaya kiafya. Inapaswa kuepuka shughuli za nje.")</f>
        <v>Umma kwa ujumla katika hatari kubwa ya kupata muwasho mkali na athari mbaya kiafya. Inapaswa kuepuka shughuli za nje.</v>
      </c>
      <c r="BG138" s="7" t="str">
        <f>IFERROR(__xludf.DUMMYFUNCTION("GoogleTranslate(C138, ""en"", ""sv"")"),"Allmänheten löper stor risk att uppleva starka irritationer och negativa hälsoeffekter. Bör undvika utomhusaktiviteter.")</f>
        <v>Allmänheten löper stor risk att uppleva starka irritationer och negativa hälsoeffekter. Bör undvika utomhusaktiviteter.</v>
      </c>
      <c r="BH138" s="7" t="str">
        <f>IFERROR(__xludf.DUMMYFUNCTION("GoogleTranslate(C138, ""en"", ""te"")"),"బలమైన చికాకులు మరియు ప్రతికూల ఆరోగ్యకరమైన ప్రభావాలను అనుభవించే అధిక ప్రమాదం ఉన్న సాధారణ ప్రజలు. బహిరంగ కార్యకలాపాలకు దూరంగా ఉండాలి.")</f>
        <v>బలమైన చికాకులు మరియు ప్రతికూల ఆరోగ్యకరమైన ప్రభావాలను అనుభవించే అధిక ప్రమాదం ఉన్న సాధారణ ప్రజలు. బహిరంగ కార్యకలాపాలకు దూరంగా ఉండాలి.</v>
      </c>
      <c r="BI138" s="7" t="str">
        <f>IFERROR(__xludf.DUMMYFUNCTION("GoogleTranslate(C138, ""en"", ""th"")"),"ประชาชนทั่วไปที่มีความเสี่ยงสูงที่จะเกิดการระคายเคืองอย่างรุนแรงและผลเสียต่อสุขภาพ ควรหลีกเลี่ยงกิจกรรมกลางแจ้ง")</f>
        <v>ประชาชนทั่วไปที่มีความเสี่ยงสูงที่จะเกิดการระคายเคืองอย่างรุนแรงและผลเสียต่อสุขภาพ ควรหลีกเลี่ยงกิจกรรมกลางแจ้ง</v>
      </c>
      <c r="BJ138" s="7" t="str">
        <f>IFERROR(__xludf.DUMMYFUNCTION("GoogleTranslate(C138, ""en"", ""tr"")"),"Genel halk, güçlü tahrişler ve olumsuz sağlık etkileri yaşama riskiyle karşı karşıyadır. Açık hava aktivitelerinden kaçınılmalıdır.")</f>
        <v>Genel halk, güçlü tahrişler ve olumsuz sağlık etkileri yaşama riskiyle karşı karşıyadır. Açık hava aktivitelerinden kaçınılmalıdır.</v>
      </c>
      <c r="BK138" s="7" t="str">
        <f>IFERROR(__xludf.DUMMYFUNCTION("GoogleTranslate(C138, ""en"", ""uk"")"),"Громадськість із високим ризиком відчути сильне подразнення та негативні наслідки для здоров’я. Слід уникати активного відпочинку на природі.")</f>
        <v>Громадськість із високим ризиком відчути сильне подразнення та негативні наслідки для здоров’я. Слід уникати активного відпочинку на природі.</v>
      </c>
      <c r="BL138" s="7" t="str">
        <f>IFERROR(__xludf.DUMMYFUNCTION("GoogleTranslate(C138, ""en"", ""zu"")"),"Umphakathi jikelele osengozini enkulu yokuthola ukucasuka okunamandla kanye nemiphumela emibi enempilo. Kufanele igweme imisebenzi yangaphandle.")</f>
        <v>Umphakathi jikelele osengozini enkulu yokuthola ukucasuka okunamandla kanye nemiphumela emibi enempilo. Kufanele igweme imisebenzi yangaphandle.</v>
      </c>
    </row>
    <row r="139">
      <c r="A139" s="5" t="str">
        <f t="shared" si="1"/>
        <v>Healthy_Information</v>
      </c>
      <c r="B139" s="6" t="s">
        <v>195</v>
      </c>
      <c r="C139" s="5" t="str">
        <f t="shared" si="2"/>
        <v>Healthy Information</v>
      </c>
      <c r="D139" s="7" t="str">
        <f>IFERROR(__xludf.DUMMYFUNCTION("GoogleTranslate(C139, ""en"", ""es"")"),"Información Saludable")</f>
        <v>Información Saludable</v>
      </c>
      <c r="E139" s="7" t="str">
        <f>IFERROR(__xludf.DUMMYFUNCTION("GoogleTranslate(C139, ""en"", ""ar"")"),"معلومات صحية")</f>
        <v>معلومات صحية</v>
      </c>
      <c r="F139" s="7" t="str">
        <f>IFERROR(__xludf.DUMMYFUNCTION("GoogleTranslate(C139, ""en"", ""hy"")"),"Առողջ տեղեկատվություն")</f>
        <v>Առողջ տեղեկատվություն</v>
      </c>
      <c r="G139" s="7" t="str">
        <f>IFERROR(__xludf.DUMMYFUNCTION("GoogleTranslate(C139, ""en"", ""vi"")"),"Thông tin sức khỏe")</f>
        <v>Thông tin sức khỏe</v>
      </c>
      <c r="H139" s="7" t="str">
        <f>IFERROR(__xludf.DUMMYFUNCTION("GoogleTranslate(C139, ""en"", ""az"")"),"Sağlam məlumat")</f>
        <v>Sağlam məlumat</v>
      </c>
      <c r="I139" s="7" t="str">
        <f>IFERROR(__xludf.DUMMYFUNCTION("GoogleTranslate(C139, ""en"", ""eu"")"),"Informazio osasungarria")</f>
        <v>Informazio osasungarria</v>
      </c>
      <c r="J139" s="7" t="str">
        <f>IFERROR(__xludf.DUMMYFUNCTION("GoogleTranslate(C139, ""en"", ""be"")"),"Здаровая інфармацыя")</f>
        <v>Здаровая інфармацыя</v>
      </c>
      <c r="K139" s="7" t="str">
        <f>IFERROR(__xludf.DUMMYFUNCTION("GoogleTranslate(C139, ""en"", ""bn"")"),"স্বাস্থ্যকর তথ্য")</f>
        <v>স্বাস্থ্যকর তথ্য</v>
      </c>
      <c r="L139" s="7" t="str">
        <f>IFERROR(__xludf.DUMMYFUNCTION("GoogleTranslate(C139, ""en"", ""bg"")"),"Здравословна информация")</f>
        <v>Здравословна информация</v>
      </c>
      <c r="M139" s="7" t="str">
        <f>IFERROR(__xludf.DUMMYFUNCTION("GoogleTranslate(C139, ""en"", ""my"")"),"ကျန်းမာရေးဆိုင်ရာ အချက်အလက်")</f>
        <v>ကျန်းမာရေးဆိုင်ရာ အချက်အလက်</v>
      </c>
      <c r="N139" s="7" t="str">
        <f>IFERROR(__xludf.DUMMYFUNCTION("GoogleTranslate(C139, ""en"", ""ca"")"),"Informació saludable")</f>
        <v>Informació saludable</v>
      </c>
      <c r="O139" s="7" t="str">
        <f>IFERROR(__xludf.DUMMYFUNCTION("GoogleTranslate(C139, ""en"", ""zh-cn"")"),"健康资讯")</f>
        <v>健康资讯</v>
      </c>
      <c r="P139" s="7" t="str">
        <f>IFERROR(__xludf.DUMMYFUNCTION("GoogleTranslate(C139, ""en"", ""zh-TW"")"),"健康資訊")</f>
        <v>健康資訊</v>
      </c>
      <c r="Q139" s="7" t="str">
        <f>IFERROR(__xludf.DUMMYFUNCTION("GoogleTranslate(C139, ""en"", ""hr"")"),"Zdrave informacije")</f>
        <v>Zdrave informacije</v>
      </c>
      <c r="R139" s="7" t="str">
        <f>IFERROR(__xludf.DUMMYFUNCTION("GoogleTranslate(C139, ""en"", ""cs"")"),"Zdravé informace")</f>
        <v>Zdravé informace</v>
      </c>
      <c r="S139" s="7" t="str">
        <f>IFERROR(__xludf.DUMMYFUNCTION("GoogleTranslate(C139, ""en"", ""da"")"),"Sund information")</f>
        <v>Sund information</v>
      </c>
      <c r="T139" s="7" t="str">
        <f>IFERROR(__xludf.DUMMYFUNCTION("GoogleTranslate(C139, ""en"", ""nl"")"),"Gezonde informatie")</f>
        <v>Gezonde informatie</v>
      </c>
      <c r="U139" s="7" t="str">
        <f>IFERROR(__xludf.DUMMYFUNCTION("GoogleTranslate(C139, ""en"", ""et"")"),"Tervislik teave")</f>
        <v>Tervislik teave</v>
      </c>
      <c r="V139" s="5" t="str">
        <f t="shared" si="3"/>
        <v>Healthy Information</v>
      </c>
      <c r="W139" s="7" t="str">
        <f>IFERROR(__xludf.DUMMYFUNCTION("GoogleTranslate(C139, ""en"", ""fi"")"),"Terveellistä tietoa")</f>
        <v>Terveellistä tietoa</v>
      </c>
      <c r="X139" s="7" t="str">
        <f>IFERROR(__xludf.DUMMYFUNCTION("GoogleTranslate(C139, ""en"", ""fr"")"),"Informations saines")</f>
        <v>Informations saines</v>
      </c>
      <c r="Y139" s="7" t="str">
        <f>IFERROR(__xludf.DUMMYFUNCTION("GoogleTranslate(C139, ""en"", ""de"")"),"Gesunde Informationen")</f>
        <v>Gesunde Informationen</v>
      </c>
      <c r="Z139" s="7" t="str">
        <f>IFERROR(__xludf.DUMMYFUNCTION("GoogleTranslate(C139, ""en"", ""el"")"),"Υγιεινή ενημέρωση")</f>
        <v>Υγιεινή ενημέρωση</v>
      </c>
      <c r="AA139" s="7" t="str">
        <f>IFERROR(__xludf.DUMMYFUNCTION("GoogleTranslate(C139, ""en"", ""iw"")"),"מידע בריא")</f>
        <v>מידע בריא</v>
      </c>
      <c r="AB139" s="7" t="str">
        <f>IFERROR(__xludf.DUMMYFUNCTION("GoogleTranslate(C139, ""en"", ""hi"")"),"स्वस्थ जानकारी")</f>
        <v>स्वस्थ जानकारी</v>
      </c>
      <c r="AC139" s="7" t="str">
        <f>IFERROR(__xludf.DUMMYFUNCTION("GoogleTranslate(C139, ""en"", ""hu"")"),"Egészséges információk")</f>
        <v>Egészséges információk</v>
      </c>
      <c r="AD139" s="7" t="str">
        <f>IFERROR(__xludf.DUMMYFUNCTION("GoogleTranslate(C139, ""en"", ""is"")"),"Heilbrigðar upplýsingar")</f>
        <v>Heilbrigðar upplýsingar</v>
      </c>
      <c r="AE139" s="7" t="str">
        <f>IFERROR(__xludf.DUMMYFUNCTION("GoogleTranslate(C139, ""en"", ""id"")"),"Informasi Sehat")</f>
        <v>Informasi Sehat</v>
      </c>
      <c r="AF139" s="7" t="str">
        <f>IFERROR(__xludf.DUMMYFUNCTION("GoogleTranslate(C139, ""en"", ""in"")"),"Informasi Sehat")</f>
        <v>Informasi Sehat</v>
      </c>
      <c r="AG139" s="7" t="str">
        <f>IFERROR(__xludf.DUMMYFUNCTION("GoogleTranslate(C139, ""en"", ""it"")"),"Informazioni salutari")</f>
        <v>Informazioni salutari</v>
      </c>
      <c r="AH139" s="7" t="str">
        <f>IFERROR(__xludf.DUMMYFUNCTION("GoogleTranslate(C139, ""en"", ""ja"")"),"健康情報")</f>
        <v>健康情報</v>
      </c>
      <c r="AI139" s="7" t="str">
        <f>IFERROR(__xludf.DUMMYFUNCTION("GoogleTranslate(C139, ""en"", ""kn"")"),"ಆರೋಗ್ಯಕರ ಮಾಹಿತಿ")</f>
        <v>ಆರೋಗ್ಯಕರ ಮಾಹಿತಿ</v>
      </c>
      <c r="AJ139" s="7" t="str">
        <f>IFERROR(__xludf.DUMMYFUNCTION("GoogleTranslate(C139, ""en"", ""km"")"),"ព័ត៌មានសុខភាព")</f>
        <v>ព័ត៌មានសុខភាព</v>
      </c>
      <c r="AK139" s="7" t="str">
        <f>IFERROR(__xludf.DUMMYFUNCTION("GoogleTranslate(C139, ""en"", ""ko"")"),"건강한 정보")</f>
        <v>건강한 정보</v>
      </c>
      <c r="AL139" s="7" t="str">
        <f>IFERROR(__xludf.DUMMYFUNCTION("GoogleTranslate(C139, ""en"", ""lo"")"),"ຂໍ້ມູນສຸຂະພາບ")</f>
        <v>ຂໍ້ມູນສຸຂະພາບ</v>
      </c>
      <c r="AM139" s="7" t="str">
        <f>IFERROR(__xludf.DUMMYFUNCTION("GoogleTranslate(C139, ""en"", ""lv"")"),"Veselīga informācija")</f>
        <v>Veselīga informācija</v>
      </c>
      <c r="AN139" s="7" t="str">
        <f>IFERROR(__xludf.DUMMYFUNCTION("GoogleTranslate(C139, ""en"", ""lt"")"),"Sveika informacija")</f>
        <v>Sveika informacija</v>
      </c>
      <c r="AO139" s="7" t="str">
        <f>IFERROR(__xludf.DUMMYFUNCTION("GoogleTranslate(C139, ""en"", ""mk"")"),"Здрави информации")</f>
        <v>Здрави информации</v>
      </c>
      <c r="AP139" s="7" t="str">
        <f>IFERROR(__xludf.DUMMYFUNCTION("GoogleTranslate(C139, ""en"", ""ms"")"),"Maklumat Sihat")</f>
        <v>Maklumat Sihat</v>
      </c>
      <c r="AQ139" s="7" t="str">
        <f>IFERROR(__xludf.DUMMYFUNCTION("GoogleTranslate(C139, ""en"", ""ml"")"),"ആരോഗ്യകരമായ വിവരങ്ങൾ")</f>
        <v>ആരോഗ്യകരമായ വിവരങ്ങൾ</v>
      </c>
      <c r="AR139" s="7" t="str">
        <f>IFERROR(__xludf.DUMMYFUNCTION("GoogleTranslate(C139, ""en"", ""mr"")"),"आरोग्यदायी माहिती")</f>
        <v>आरोग्यदायी माहिती</v>
      </c>
      <c r="AS139" s="7" t="str">
        <f>IFERROR(__xludf.DUMMYFUNCTION("GoogleTranslate(C139, ""en"", ""mn"")"),"Эрүүл мэдээлэл")</f>
        <v>Эрүүл мэдээлэл</v>
      </c>
      <c r="AT139" s="7" t="str">
        <f>IFERROR(__xludf.DUMMYFUNCTION("GoogleTranslate(C139, ""en"", ""ne"")"),"स्वस्थ जानकारी")</f>
        <v>स्वस्थ जानकारी</v>
      </c>
      <c r="AU139" s="7" t="str">
        <f>IFERROR(__xludf.DUMMYFUNCTION("GoogleTranslate(C139, ""en"", ""nb"")"),"Sunn informasjon")</f>
        <v>Sunn informasjon</v>
      </c>
      <c r="AV139" s="7" t="str">
        <f>IFERROR(__xludf.DUMMYFUNCTION("GoogleTranslate(C139, ""en"", ""fa"")"),"اطلاعات سالم")</f>
        <v>اطلاعات سالم</v>
      </c>
      <c r="AW139" s="7" t="str">
        <f>IFERROR(__xludf.DUMMYFUNCTION("GoogleTranslate(C139, ""en"", ""pl"")"),"Zdrowe informacje")</f>
        <v>Zdrowe informacje</v>
      </c>
      <c r="AX139" s="7" t="str">
        <f>IFERROR(__xludf.DUMMYFUNCTION("GoogleTranslate(C139, ""en"", ""pt"")"),"Informação Saudável")</f>
        <v>Informação Saudável</v>
      </c>
      <c r="AY139" s="7" t="str">
        <f>IFERROR(__xludf.DUMMYFUNCTION("GoogleTranslate(C139, ""en"", ""ro"")"),"Informații sănătoase")</f>
        <v>Informații sănătoase</v>
      </c>
      <c r="AZ139" s="7" t="str">
        <f>IFERROR(__xludf.DUMMYFUNCTION("GoogleTranslate(C139, ""en"", ""ru"")"),"Здоровая информация")</f>
        <v>Здоровая информация</v>
      </c>
      <c r="BA139" s="7" t="str">
        <f>IFERROR(__xludf.DUMMYFUNCTION("GoogleTranslate(C139, ""en"", ""sr"")"),"Здраве информације")</f>
        <v>Здраве информације</v>
      </c>
      <c r="BB139" s="7" t="str">
        <f>IFERROR(__xludf.DUMMYFUNCTION("GoogleTranslate(C139, ""en"", ""si"")"),"සෞඛ්ය සම්පන්න තොරතුරු")</f>
        <v>සෞඛ්ය සම්පන්න තොරතුරු</v>
      </c>
      <c r="BC139" s="7" t="str">
        <f>IFERROR(__xludf.DUMMYFUNCTION("GoogleTranslate(C139, ""en"", ""sk"")"),"Zdravé informácie")</f>
        <v>Zdravé informácie</v>
      </c>
      <c r="BD139" s="7" t="str">
        <f>IFERROR(__xludf.DUMMYFUNCTION("GoogleTranslate(C139, ""en"", ""sl"")"),"Zdrave informacije")</f>
        <v>Zdrave informacije</v>
      </c>
      <c r="BE139" s="7" t="str">
        <f>IFERROR(__xludf.DUMMYFUNCTION("GoogleTranslate(C139, ""en"", ""es"")"),"Información Saludable")</f>
        <v>Información Saludable</v>
      </c>
      <c r="BF139" s="7" t="str">
        <f>IFERROR(__xludf.DUMMYFUNCTION("GoogleTranslate(C139, ""en"", ""sw"")"),"Habari za Afya")</f>
        <v>Habari za Afya</v>
      </c>
      <c r="BG139" s="7" t="str">
        <f>IFERROR(__xludf.DUMMYFUNCTION("GoogleTranslate(C139, ""en"", ""sv"")"),"Hälsosam information")</f>
        <v>Hälsosam information</v>
      </c>
      <c r="BH139" s="7" t="str">
        <f>IFERROR(__xludf.DUMMYFUNCTION("GoogleTranslate(C139, ""en"", ""te"")"),"ఆరోగ్యకరమైన సమాచారం")</f>
        <v>ఆరోగ్యకరమైన సమాచారం</v>
      </c>
      <c r="BI139" s="7" t="str">
        <f>IFERROR(__xludf.DUMMYFUNCTION("GoogleTranslate(C139, ""en"", ""th"")"),"ข้อมูลสุขภาพ")</f>
        <v>ข้อมูลสุขภาพ</v>
      </c>
      <c r="BJ139" s="7" t="str">
        <f>IFERROR(__xludf.DUMMYFUNCTION("GoogleTranslate(C139, ""en"", ""tr"")"),"Sağlıklı Bilgi")</f>
        <v>Sağlıklı Bilgi</v>
      </c>
      <c r="BK139" s="7" t="str">
        <f>IFERROR(__xludf.DUMMYFUNCTION("GoogleTranslate(C139, ""en"", ""uk"")"),"Здорова інформація")</f>
        <v>Здорова інформація</v>
      </c>
      <c r="BL139" s="7" t="str">
        <f>IFERROR(__xludf.DUMMYFUNCTION("GoogleTranslate(C139, ""en"", ""zu"")"),"Ulwazi Olunempilo")</f>
        <v>Ulwazi Olunempilo</v>
      </c>
    </row>
    <row r="140">
      <c r="A140" s="5" t="str">
        <f t="shared" si="1"/>
        <v>Air_quality_is_acceptable._However,_there_may_be_a_risk_for_some_people,_particularly_those_who_are_unusually_sensitive_to_air_pollution.</v>
      </c>
      <c r="B140" s="6" t="s">
        <v>196</v>
      </c>
      <c r="C140" s="5" t="str">
        <f t="shared" si="2"/>
        <v>Air quality is acceptable. However, there may be a risk for some people, particularly those who are unusually sensitive to air pollution.</v>
      </c>
      <c r="D140" s="7" t="str">
        <f>IFERROR(__xludf.DUMMYFUNCTION("GoogleTranslate(C140,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E140" s="7" t="str">
        <f>IFERROR(__xludf.DUMMYFUNCTION("GoogleTranslate(C140, ""en"", ""ar"")"),"جودة الهواء مقبولة. ومع ذلك، قد يكون هناك خطر بالنسبة لبعض الأشخاص، وخاصة أولئك الذين لديهم حساسية غير عادية لتلوث الهواء.")</f>
        <v>جودة الهواء مقبولة. ومع ذلك، قد يكون هناك خطر بالنسبة لبعض الأشخاص، وخاصة أولئك الذين لديهم حساسية غير عادية لتلوث الهواء.</v>
      </c>
      <c r="F140" s="7" t="str">
        <f>IFERROR(__xludf.DUMMYFUNCTION("GoogleTranslate(C140, ""en"", ""hy"")"),"Օդի որակը ընդունելի է։ Այնուամենայնիվ, որոշ մարդկանց համար կարող է վտանգ լինել, հատկապես նրանց համար, ովքեր անսովոր զգայուն են օդի աղտոտվածության նկատմամբ:")</f>
        <v>Օդի որակը ընդունելի է։ Այնուամենայնիվ, որոշ մարդկանց համար կարող է վտանգ լինել, հատկապես նրանց համար, ովքեր անսովոր զգայուն են օդի աղտոտվածության նկատմամբ:</v>
      </c>
      <c r="G140" s="7" t="str">
        <f>IFERROR(__xludf.DUMMYFUNCTION("GoogleTranslate(C140, ""en"", ""vi"")"),"Chất lượng không khí ở mức chấp nhận được. Tuy nhiên, có thể có rủi ro đối với một số người, đặc biệt là những người nhạy cảm bất thường với ô nhiễm không khí.")</f>
        <v>Chất lượng không khí ở mức chấp nhận được. Tuy nhiên, có thể có rủi ro đối với một số người, đặc biệt là những người nhạy cảm bất thường với ô nhiễm không khí.</v>
      </c>
      <c r="H140" s="7" t="str">
        <f>IFERROR(__xludf.DUMMYFUNCTION("GoogleTranslate(C140, ""en"", ""az"")"),"Hava keyfiyyəti məqbuldur. Bununla belə, bəzi insanlar, xüsusən də havanın çirklənməsinə qeyri-adi dərəcədə həssas olanlar üçün risk ola bilər.")</f>
        <v>Hava keyfiyyəti məqbuldur. Bununla belə, bəzi insanlar, xüsusən də havanın çirklənməsinə qeyri-adi dərəcədə həssas olanlar üçün risk ola bilər.</v>
      </c>
      <c r="I140" s="7" t="str">
        <f>IFERROR(__xludf.DUMMYFUNCTION("GoogleTranslate(C140, ""en"", ""eu"")"),"Airearen kalitatea onargarria da. Hala ere, arriskua egon daiteke pertsona batzuentzat, batez ere airearen kutsadurarekin ohiz sentikorrak direnentzat.")</f>
        <v>Airearen kalitatea onargarria da. Hala ere, arriskua egon daiteke pertsona batzuentzat, batez ere airearen kutsadurarekin ohiz sentikorrak direnentzat.</v>
      </c>
      <c r="J140" s="7" t="str">
        <f>IFERROR(__xludf.DUMMYFUNCTION("GoogleTranslate(C140, ""en"", ""be"")"),"Якасць паветра прымальная. Аднак для некаторых людзей, асабліва для тых, хто надзвычай адчувальны да забруджвання паветра, можа быць рызыка.")</f>
        <v>Якасць паветра прымальная. Аднак для некаторых людзей, асабліва для тых, хто надзвычай адчувальны да забруджвання паветра, можа быць рызыка.</v>
      </c>
      <c r="K140" s="7" t="str">
        <f>IFERROR(__xludf.DUMMYFUNCTION("GoogleTranslate(C140, ""en"", ""bn"")"),"বায়ুর মান গ্রহণযোগ্য। যাইহোক, কিছু লোকের জন্য ঝুঁকি থাকতে পারে, বিশেষ করে যারা বায়ু দূষণের প্রতি অস্বাভাবিকভাবে সংবেদনশীল।")</f>
        <v>বায়ুর মান গ্রহণযোগ্য। যাইহোক, কিছু লোকের জন্য ঝুঁকি থাকতে পারে, বিশেষ করে যারা বায়ু দূষণের প্রতি অস্বাভাবিকভাবে সংবেদনশীল।</v>
      </c>
      <c r="L140" s="7" t="str">
        <f>IFERROR(__xludf.DUMMYFUNCTION("GoogleTranslate(C140, ""en"", ""bg"")"),"Качеството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f>
        <v>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v>
      </c>
      <c r="M140" s="7" t="str">
        <f>IFERROR(__xludf.DUMMYFUNCTION("GoogleTranslate(C140, ""en"", ""my"")"),"လေထုအရည်အသွေးသည် လက်ခံနိုင်ဖွယ်ရှိသည်။ သို့ရာတွင်၊ အထူးသဖြင့် လေထုညစ်ညမ်းမှုကို ထူးထူးခြားခြား အာရုံမခံနိုင်သော လူအချို့အတွက် အန္တရာယ်ရှိနိုင်သည်။")</f>
        <v>လေထုအရည်အသွေးသည် လက်ခံနိုင်ဖွယ်ရှိသည်။ သို့ရာတွင်၊ အထူးသဖြင့် လေထုညစ်ညမ်းမှုကို ထူးထူးခြားခြား အာရုံမခံနိုင်သော လူအချို့အတွက် အန္တရာယ်ရှိနိုင်သည်။</v>
      </c>
      <c r="N140" s="7" t="str">
        <f>IFERROR(__xludf.DUMMYFUNCTION("GoogleTranslate(C140, ""en"", ""ca"")"),"La qualitat de l'aire és acceptable. Tanmateix, hi pot haver un risc per a algunes persones, especialment aquelles que són inusualment sensibles a la contaminació de l'aire.")</f>
        <v>La qualitat de l'aire és acceptable. Tanmateix, hi pot haver un risc per a algunes persones, especialment aquelles que són inusualment sensibles a la contaminació de l'aire.</v>
      </c>
      <c r="O140" s="7" t="str">
        <f>IFERROR(__xludf.DUMMYFUNCTION("GoogleTranslate(C140, ""en"", ""zh-cn"")"),"空气质量可以接受。然而，对于某些人来说，尤其是对空气污染异常敏感的人来说，可能存在风险。")</f>
        <v>空气质量可以接受。然而，对于某些人来说，尤其是对空气污染异常敏感的人来说，可能存在风险。</v>
      </c>
      <c r="P140" s="7" t="str">
        <f>IFERROR(__xludf.DUMMYFUNCTION("GoogleTranslate(C140, ""en"", ""zh-TW"")"),"空氣品質可以接受。然而，對於某些人來說，尤其是對空氣污染異常敏感的人來說，可能會有風險。")</f>
        <v>空氣品質可以接受。然而，對於某些人來說，尤其是對空氣污染異常敏感的人來說，可能會有風險。</v>
      </c>
      <c r="Q140" s="7" t="str">
        <f>IFERROR(__xludf.DUMMYFUNCTION("GoogleTranslate(C140, ""en"", ""hr"")"),"Kvaliteta zraka je prihvatljiva. Međutim, može postojati rizik za neke ljude, osobito one koji su neobično osjetljivi na onečišćenje zraka.")</f>
        <v>Kvaliteta zraka je prihvatljiva. Međutim, može postojati rizik za neke ljude, osobito one koji su neobično osjetljivi na onečišćenje zraka.</v>
      </c>
      <c r="R140" s="7" t="str">
        <f>IFERROR(__xludf.DUMMYFUNCTION("GoogleTranslate(C140, ""en"", ""cs"")"),"Kvalita vzduchu je přijatelná. Pro některé lidi však může existovat riziko, zejména pro ty, kteří jsou neobvykle citliví na znečištění ovzduší.")</f>
        <v>Kvalita vzduchu je přijatelná. Pro některé lidi však může existovat riziko, zejména pro ty, kteří jsou neobvykle citliví na znečištění ovzduší.</v>
      </c>
      <c r="S140" s="7" t="str">
        <f>IFERROR(__xludf.DUMMYFUNCTION("GoogleTranslate(C140, ""en"", ""da"")"),"Luftkvaliteten er acceptabel. Der kan dog være en risiko for nogle mennesker, især dem, der er usædvanligt følsomme over for luftforurening.")</f>
        <v>Luftkvaliteten er acceptabel. Der kan dog være en risiko for nogle mennesker, især dem, der er usædvanligt følsomme over for luftforurening.</v>
      </c>
      <c r="T140" s="7" t="str">
        <f>IFERROR(__xludf.DUMMYFUNCTION("GoogleTranslate(C140, ""en"", ""nl"")"),"De luchtkwaliteit is acceptabel. Voor sommige mensen kan er echter een risico bestaan, vooral voor degenen die buitengewoon gevoelig zijn voor luchtverontreiniging.")</f>
        <v>De luchtkwaliteit is acceptabel. Voor sommige mensen kan er echter een risico bestaan, vooral voor degenen die buitengewoon gevoelig zijn voor luchtverontreiniging.</v>
      </c>
      <c r="U140" s="7" t="str">
        <f>IFERROR(__xludf.DUMMYFUNCTION("GoogleTranslate(C140, ""en"", ""et"")"),"Õhukvaliteet on vastuvõetav. Siiski võib see ohustada mõningaid inimesi, eriti neid, kes on õhusaaste suhtes ebatavaliselt tundlikud.")</f>
        <v>Õhukvaliteet on vastuvõetav. Siiski võib see ohustada mõningaid inimesi, eriti neid, kes on õhusaaste suhtes ebatavaliselt tundlikud.</v>
      </c>
      <c r="V140" s="5" t="str">
        <f t="shared" si="3"/>
        <v>Air quality is acceptable. However, there may be a risk for some people, particularly those who are unusually sensitive to air pollution.</v>
      </c>
      <c r="W140" s="7" t="str">
        <f>IFERROR(__xludf.DUMMYFUNCTION("GoogleTranslate(C140, ""en"", ""fi"")"),"Ilmanlaatu on hyväksyttävä. Joillekin ihmisille, erityisesti niille, jotka ovat epätavallisen herkkiä ilmansaasteille, saattaa kuitenkin olla riski.")</f>
        <v>Ilmanlaatu on hyväksyttävä. Joillekin ihmisille, erityisesti niille, jotka ovat epätavallisen herkkiä ilmansaasteille, saattaa kuitenkin olla riski.</v>
      </c>
      <c r="X140" s="7" t="str">
        <f>IFERROR(__xludf.DUMMYFUNCTION("GoogleTranslate(C140, ""en"", ""fr"")"),"La qualité de l'air est acceptable. Cependant, il peut exister un risque pour certaines personnes, en particulier celles qui sont particulièrement sensibles à la pollution atmosphérique.")</f>
        <v>La qualité de l'air est acceptable. Cependant, il peut exister un risque pour certaines personnes, en particulier celles qui sont particulièrement sensibles à la pollution atmosphérique.</v>
      </c>
      <c r="Y140" s="7" t="str">
        <f>IFERROR(__xludf.DUMMYFUNCTION("GoogleTranslate(C140, ""en"", ""de"")"),"Die Luftqualität ist akzeptabel. Für einige Menschen kann jedoch ein Risiko bestehen, insbesondere für diejenigen, die ungewöhnlich empfindlich auf Luftverschmutzung reagieren.")</f>
        <v>Die Luftqualität ist akzeptabel. Für einige Menschen kann jedoch ein Risiko bestehen, insbesondere für diejenigen, die ungewöhnlich empfindlich auf Luftverschmutzung reagieren.</v>
      </c>
      <c r="Z140" s="7" t="str">
        <f>IFERROR(__xludf.DUMMYFUNCTION("GoogleTranslate(C140, ""en"", ""el"")"),"Η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f>
        <v>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v>
      </c>
      <c r="AA140" s="7" t="str">
        <f>IFERROR(__xludf.DUMMYFUNCTION("GoogleTranslate(C140, ""en"", ""iw"")"),"איכות האוויר מקובלת. עם זאת, עשוי להיות סיכון עבור אנשים מסוימים, במיוחד אלה הרגישים בצורה יוצאת דופן לזיהום אוויר.")</f>
        <v>איכות האוויר מקובלת. עם זאת, עשוי להיות סיכון עבור אנשים מסוימים, במיוחד אלה הרגישים בצורה יוצאת דופן לזיהום אוויר.</v>
      </c>
      <c r="AB140" s="7" t="str">
        <f>IFERROR(__xludf.DUMMYFUNCTION("GoogleTranslate(C140, ""en"", ""hi"")"),"वायु गुणवत्ता स्वीकार्य है. हालाँकि, कुछ लोगों के लिए जोखिम हो सकता है, विशेषकर उन लोगों के लिए जो वायु प्रदूषण के प्रति असामान्य रूप से संवेदनशील हैं।")</f>
        <v>वायु गुणवत्ता स्वीकार्य है. हालाँकि, कुछ लोगों के लिए जोखिम हो सकता है, विशेषकर उन लोगों के लिए जो वायु प्रदूषण के प्रति असामान्य रूप से संवेदनशील हैं।</v>
      </c>
      <c r="AC140" s="7" t="str">
        <f>IFERROR(__xludf.DUMMYFUNCTION("GoogleTranslate(C140, ""en"", ""hu"")"),"A levegő minősége elfogadható. Néhány ember számára azonban fennállhat a kockázat, különösen azok számára, akik szokatlanul érzékenyek a levegőszennyezésre.")</f>
        <v>A levegő minősége elfogadható. Néhány ember számára azonban fennállhat a kockázat, különösen azok számára, akik szokatlanul érzékenyek a levegőszennyezésre.</v>
      </c>
      <c r="AD140" s="7" t="str">
        <f>IFERROR(__xludf.DUMMYFUNCTION("GoogleTranslate(C140, ""en"", ""is"")"),"Loftgæði eru ásættanleg. Hins vegar getur verið hætta fyrir sumt fólk, sérstaklega þá sem eru óvenju viðkvæmir fyrir loftmengun.")</f>
        <v>Loftgæði eru ásættanleg. Hins vegar getur verið hætta fyrir sumt fólk, sérstaklega þá sem eru óvenju viðkvæmir fyrir loftmengun.</v>
      </c>
      <c r="AE140" s="7" t="str">
        <f>IFERROR(__xludf.DUMMYFUNCTION("GoogleTranslate(C140, ""en"", ""id"")"),"Kualitas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F140" s="7" t="str">
        <f>IFERROR(__xludf.DUMMYFUNCTION("GoogleTranslate(C140, ""en"", ""in"")"),"Kualitas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G140" s="7" t="str">
        <f>IFERROR(__xludf.DUMMYFUNCTION("GoogleTranslate(C140, ""en"", ""it"")"),"La qualità dell'aria è accettabile. Tuttavia, potrebbe esserci un rischio per alcune persone, in particolare per coloro che sono insolitamente sensibili all’inquinamento atmosferico.")</f>
        <v>La qualità dell'aria è accettabile. Tuttavia, potrebbe esserci un rischio per alcune persone, in particolare per coloro che sono insolitamente sensibili all’inquinamento atmosferico.</v>
      </c>
      <c r="AH140" s="7" t="str">
        <f>IFERROR(__xludf.DUMMYFUNCTION("GoogleTranslate(C140, ""en"", ""ja"")"),"空気の質は許容範囲内です。ただし、一部の人、特に大気汚染に異常に敏感な人にとってはリスクが存在する可能性があります。")</f>
        <v>空気の質は許容範囲内です。ただし、一部の人、特に大気汚染に異常に敏感な人にとってはリスクが存在する可能性があります。</v>
      </c>
      <c r="AI140" s="7" t="str">
        <f>IFERROR(__xludf.DUMMYFUNCTION("GoogleTranslate(C140, ""en"", ""kn"")"),"ಗಾಳಿಯ ಗುಣಮಟ್ಟ ಸ್ವೀಕಾರಾರ್ಹವಾಗಿದೆ. ಆದಾಗ್ಯೂ, ಕೆಲವು ಜನರಿಗೆ, ವಿಶೇಷವಾಗಿ ವಾಯುಮಾಲಿನ್ಯಕ್ಕೆ ಅಸಾಮಾನ್ಯವಾಗಿ ಸಂವೇದನಾಶೀಲರಾಗಿರುವವರಿಗೆ ಅಪಾಯವಿರಬಹುದು.")</f>
        <v>ಗಾಳಿಯ ಗುಣಮಟ್ಟ ಸ್ವೀಕಾರಾರ್ಹವಾಗಿದೆ. ಆದಾಗ್ಯೂ, ಕೆಲವು ಜನರಿಗೆ, ವಿಶೇಷವಾಗಿ ವಾಯುಮಾಲಿನ್ಯಕ್ಕೆ ಅಸಾಮಾನ್ಯವಾಗಿ ಸಂವೇದನಾಶೀಲರಾಗಿರುವವರಿಗೆ ಅಪಾಯವಿರಬಹುದು.</v>
      </c>
      <c r="AJ140" s="7" t="str">
        <f>IFERROR(__xludf.DUMMYFUNCTION("GoogleTranslate(C140, ""en"", ""km"")"),"គុណភាពខ្យល់អាចទទួលយកបាន។ ទោះយ៉ាងណាក៏ដោយ វាអាចមានហានិភ័យសម្រាប់មនុស្សមួយចំនួន ជាពិសេសអ្នកដែលងាយនឹងបំពុលខ្យល់។")</f>
        <v>គុណភាពខ្យល់អាចទទួលយកបាន។ ទោះយ៉ាងណាក៏ដោយ វាអាចមានហានិភ័យសម្រាប់មនុស្សមួយចំនួន ជាពិសេសអ្នកដែលងាយនឹងបំពុលខ្យល់។</v>
      </c>
      <c r="AK140" s="7" t="str">
        <f>IFERROR(__xludf.DUMMYFUNCTION("GoogleTranslate(C140, ""en"", ""ko"")"),"공기질은 괜찮습니다. 그러나 일부 사람들, 특히 대기 오염에 특별히 민감한 사람들에게는 위험이 있을 수 있습니다.")</f>
        <v>공기질은 괜찮습니다. 그러나 일부 사람들, 특히 대기 오염에 특별히 민감한 사람들에게는 위험이 있을 수 있습니다.</v>
      </c>
      <c r="AL140" s="7" t="str">
        <f>IFERROR(__xludf.DUMMYFUNCTION("GoogleTranslate(C140, ""en"", ""lo"")"),"ຄຸນນະພາບອາກາດເປັນທີ່ຍອມຮັບ.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f>
        <v>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v>
      </c>
      <c r="AM140" s="7" t="str">
        <f>IFERROR(__xludf.DUMMYFUNCTION("GoogleTranslate(C140, ""en"", ""lv"")"),"Gaisa kvalitāte ir pieņemama. Tomēr dažiem cilvēkiem var būt risks, jo īpaši tiem, kuri ir neparasti jutīgi pret gaisa piesārņojumu.")</f>
        <v>Gaisa kvalitāte ir pieņemama. Tomēr dažiem cilvēkiem var būt risks, jo īpaši tiem, kuri ir neparasti jutīgi pret gaisa piesārņojumu.</v>
      </c>
      <c r="AN140" s="7" t="str">
        <f>IFERROR(__xludf.DUMMYFUNCTION("GoogleTranslate(C140, ""en"", ""lt"")"),"Oro kokybė yra priimtina. Tačiau kai kuriems žmonėms, ypač neįprastai jautriems oro taršai, gali kilti pavojus.")</f>
        <v>Oro kokybė yra priimtina. Tačiau kai kuriems žmonėms, ypač neįprastai jautriems oro taršai, gali kilti pavojus.</v>
      </c>
      <c r="AO140" s="7" t="str">
        <f>IFERROR(__xludf.DUMMYFUNCTION("GoogleTranslate(C140, ""en"", ""mk"")"),"Квалитетот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f>
        <v>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v>
      </c>
      <c r="AP140" s="7" t="str">
        <f>IFERROR(__xludf.DUMMYFUNCTION("GoogleTranslate(C140, ""en"", ""ms"")"),"Kualiti udara boleh diterima. Walau bagaimanapun, mungkin terdapat risiko bagi sesetengah orang, terutamanya mereka yang luar biasa sensitif terhadap pencemaran udara.")</f>
        <v>Kualiti udara boleh diterima. Walau bagaimanapun, mungkin terdapat risiko bagi sesetengah orang, terutamanya mereka yang luar biasa sensitif terhadap pencemaran udara.</v>
      </c>
      <c r="AQ140" s="7" t="str">
        <f>IFERROR(__xludf.DUMMYFUNCTION("GoogleTranslate(C140, ""en"", ""ml"")"),"വായുവിൻ്റെ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f>
        <v>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v>
      </c>
      <c r="AR140" s="7" t="str">
        <f>IFERROR(__xludf.DUMMYFUNCTION("GoogleTranslate(C140, ""en"", ""mr"")"),"हवेची गुणवत्ता स्वीकार्य आहे. तथापि, काही लोकांसाठी धोका असू शकतो, विशेषत: जे वायू प्रदूषणासाठी असामान्यपणे संवेदनशील असतात.")</f>
        <v>हवेची गुणवत्ता स्वीकार्य आहे. तथापि, काही लोकांसाठी धोका असू शकतो, विशेषत: जे वायू प्रदूषणासाठी असामान्यपणे संवेदनशील असतात.</v>
      </c>
      <c r="AS140" s="7" t="str">
        <f>IFERROR(__xludf.DUMMYFUNCTION("GoogleTranslate(C140, ""en"", ""mn"")"),"Агаарын чанарыг хүлээн зөвшөөрөх боломжтой. Гэсэн хэдий ч зарим хүмүүст, ялангуяа агаарын бохирдолд хэт мэдрэмтгий хүмүүст эрсдэлтэй байж болно.")</f>
        <v>Агаарын чанарыг хүлээн зөвшөөрөх боломжтой. Гэсэн хэдий ч зарим хүмүүст, ялангуяа агаарын бохирдолд хэт мэдрэмтгий хүмүүст эрсдэлтэй байж болно.</v>
      </c>
      <c r="AT140" s="7" t="str">
        <f>IFERROR(__xludf.DUMMYFUNCTION("GoogleTranslate(C140, ""en"", ""ne"")"),"हावा गुणस्तर स्वीकार्य छ। यद्यपि, केही व्यक्तिहरूका लागि जोखिम हुन सक्छ, विशेष गरी जो वायु प्रदूषणप्रति असामान्य रूपमा संवेदनशील हुन्छन्।")</f>
        <v>हावा गुणस्तर स्वीकार्य छ। यद्यपि, केही व्यक्तिहरूका लागि जोखिम हुन सक्छ, विशेष गरी जो वायु प्रदूषणप्रति असामान्य रूपमा संवेदनशील हुन्छन्।</v>
      </c>
      <c r="AU140" s="7" t="str">
        <f>IFERROR(__xludf.DUMMYFUNCTION("GoogleTranslate(C140, ""en"", ""nb"")"),"Luftkvaliteten er akseptabel. Imidlertid kan det være en risiko for noen mennesker, spesielt de som er uvanlig følsomme for luftforurensning.")</f>
        <v>Luftkvaliteten er akseptabel. Imidlertid kan det være en risiko for noen mennesker, spesielt de som er uvanlig følsomme for luftforurensning.</v>
      </c>
      <c r="AV140" s="7" t="str">
        <f>IFERROR(__xludf.DUMMYFUNCTION("GoogleTranslate(C140, ""en"", ""fa"")"),"کیفیت هوا قابل قبول است. با این حال، ممکن است خطری برای برخی از افراد، به ویژه آنهایی که به طور غیرعادی نسبت به آلودگی هوا حساس هستند، وجود داشته باشد.")</f>
        <v>کیفیت هوا قابل قبول است. با این حال، ممکن است خطری برای برخی از افراد، به ویژه آنهایی که به طور غیرعادی نسبت به آلودگی هوا حساس هستند، وجود داشته باشد.</v>
      </c>
      <c r="AW140" s="7" t="str">
        <f>IFERROR(__xludf.DUMMYFUNCTION("GoogleTranslate(C140, ""en"", ""pl"")"),"Jakość powietrza jest akceptowalna. Jednakże może istnieć ryzyko dla niektórych osób, szczególnie tych, które są niezwykle wrażliwe na zanieczyszczenie powietrza.")</f>
        <v>Jakość powietrza jest akceptowalna. Jednakże może istnieć ryzyko dla niektórych osób, szczególnie tych, które są niezwykle wrażliwe na zanieczyszczenie powietrza.</v>
      </c>
      <c r="AX140" s="7" t="str">
        <f>IFERROR(__xludf.DUMMYFUNCTION("GoogleTranslate(C140, ""en"", ""pt"")"),"A qualidade do ar é aceitável. No entanto, pode existir um risco para algumas pessoas, especialmente aquelas que são invulgarmente sensíveis à poluição atmosférica.")</f>
        <v>A qualidade do ar é aceitável. No entanto, pode existir um risco para algumas pessoas, especialmente aquelas que são invulgarmente sensíveis à poluição atmosférica.</v>
      </c>
      <c r="AY140" s="7" t="str">
        <f>IFERROR(__xludf.DUMMYFUNCTION("GoogleTranslate(C140, ""en"", ""ro"")"),"Calitatea aerului este acceptabilă. Cu toate acestea, poate exista un risc pentru unii oameni, în special pentru cei care sunt neobișnuit de sensibili la poluarea aerului.")</f>
        <v>Calitatea aerului este acceptabilă. Cu toate acestea, poate exista un risc pentru unii oameni, în special pentru cei care sunt neobișnuit de sensibili la poluarea aerului.</v>
      </c>
      <c r="AZ140" s="7" t="str">
        <f>IFERROR(__xludf.DUMMYFUNCTION("GoogleTranslate(C140, ""en"", ""ru"")"),"Качество воздуха приемлемое. Однако для некоторых людей, особенно для тех, кто необычайно чувствителен к загрязнению воздуха, может существовать риск.")</f>
        <v>Качество воздуха приемлемое. Однако для некоторых людей, особенно для тех, кто необычайно чувствителен к загрязнению воздуха, может существовать риск.</v>
      </c>
      <c r="BA140" s="7" t="str">
        <f>IFERROR(__xludf.DUMMYFUNCTION("GoogleTranslate(C140, ""en"", ""sr"")"),"Квалитет ваздуха је прихватљив. Међутим, може постојати ризик за неке људе, посебно оне који су необично осетљиви на загађење ваздуха.")</f>
        <v>Квалитет ваздуха је прихватљив. Међутим, може постојати ризик за неке људе, посебно оне који су необично осетљиви на загађење ваздуха.</v>
      </c>
      <c r="BB140" s="7" t="str">
        <f>IFERROR(__xludf.DUMMYFUNCTION("GoogleTranslate(C140, ""en"", ""si"")"),"වාතයේ ගුණාත්මකභාවය පිළිගත හැකි ය. කෙසේ වෙතත්, සමහර පුද්ගලයින්ට, විශේෂයෙන් වායු දූෂණයට අසාමාන්‍ය ලෙස සංවේදී වන අයට අවදානමක් තිබිය හැකිය.")</f>
        <v>වාතයේ ගුණාත්මකභාවය පිළිගත හැකි ය. කෙසේ වෙතත්, සමහර පුද්ගලයින්ට, විශේෂයෙන් වායු දූෂණයට අසාමාන්‍ය ලෙස සංවේදී වන අයට අවදානමක් තිබිය හැකිය.</v>
      </c>
      <c r="BC140" s="7" t="str">
        <f>IFERROR(__xludf.DUMMYFUNCTION("GoogleTranslate(C140, ""en"", ""sk"")"),"Kvalita vzduchu je prijateľná. Pre niektorých ľudí však môže existovať riziko, najmä pre tých, ktorí sú nezvyčajne citliví na znečistenie ovzdušia.")</f>
        <v>Kvalita vzduchu je prijateľná. Pre niektorých ľudí však môže existovať riziko, najmä pre tých, ktorí sú nezvyčajne citliví na znečistenie ovzdušia.</v>
      </c>
      <c r="BD140" s="7" t="str">
        <f>IFERROR(__xludf.DUMMYFUNCTION("GoogleTranslate(C140, ""en"", ""sl"")"),"Kakovost zraka je sprejemljiva. Vendar pa lahko obstaja tveganje za nekatere ljudi, zlasti tiste, ki so neobičajno občutljivi na onesnažen zrak.")</f>
        <v>Kakovost zraka je sprejemljiva. Vendar pa lahko obstaja tveganje za nekatere ljudi, zlasti tiste, ki so neobičajno občutljivi na onesnažen zrak.</v>
      </c>
      <c r="BE140" s="7" t="str">
        <f>IFERROR(__xludf.DUMMYFUNCTION("GoogleTranslate(C140,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BF140" s="7" t="str">
        <f>IFERROR(__xludf.DUMMYFUNCTION("GoogleTranslate(C140, ""en"", ""sw"")"),"Ubora wa hewa unakubalika. Hata hivyo, kunaweza kuwa na hatari kwa baadhi ya watu, hasa wale ambao ni nyeti isivyo kawaida kwa uchafuzi wa hewa.")</f>
        <v>Ubora wa hewa unakubalika. Hata hivyo, kunaweza kuwa na hatari kwa baadhi ya watu, hasa wale ambao ni nyeti isivyo kawaida kwa uchafuzi wa hewa.</v>
      </c>
      <c r="BG140" s="7" t="str">
        <f>IFERROR(__xludf.DUMMYFUNCTION("GoogleTranslate(C140, ""en"", ""sv"")"),"Luftkvaliteten är acceptabel. Det kan dock finnas en risk för vissa människor, särskilt de som är ovanligt känsliga för luftföroreningar.")</f>
        <v>Luftkvaliteten är acceptabel. Det kan dock finnas en risk för vissa människor, särskilt de som är ovanligt känsliga för luftföroreningar.</v>
      </c>
      <c r="BH140" s="7" t="str">
        <f>IFERROR(__xludf.DUMMYFUNCTION("GoogleTranslate(C140, ""en"", ""te"")"),"గాలి నాణ్యత ఆమోదయోగ్యమైనది. అయినప్పటికీ, కొంతమందికి, ముఖ్యంగా వాయు కాలుష్యానికి అసాధారణంగా సున్నితంగా ఉండేవారికి ప్రమాదం ఉండవచ్చు.")</f>
        <v>గాలి నాణ్యత ఆమోదయోగ్యమైనది. అయినప్పటికీ, కొంతమందికి, ముఖ్యంగా వాయు కాలుష్యానికి అసాధారణంగా సున్నితంగా ఉండేవారికి ప్రమాదం ఉండవచ్చు.</v>
      </c>
      <c r="BI140" s="7" t="str">
        <f>IFERROR(__xludf.DUMMYFUNCTION("GoogleTranslate(C140, ""en"", ""th"")"),"คุณภาพอากาศเป็นที่ยอมรับ อย่างไรก็ตาม อาจมีความเสี่ยงสำหรับบางคน โดยเฉพาะผู้ที่มีความไวต่อมลพิษทางอากาศอย่างผิดปกติ")</f>
        <v>คุณภาพอากาศเป็นที่ยอมรับ อย่างไรก็ตาม อาจมีความเสี่ยงสำหรับบางคน โดยเฉพาะผู้ที่มีความไวต่อมลพิษทางอากาศอย่างผิดปกติ</v>
      </c>
      <c r="BJ140" s="7" t="str">
        <f>IFERROR(__xludf.DUMMYFUNCTION("GoogleTranslate(C140, ""en"", ""tr"")"),"Hava kalitesi kabul edilebilir. Ancak bazı insanlar, özellikle de hava kirliliğine karşı alışılmadık derecede hassas olanlar için risk söz konusu olabilir.")</f>
        <v>Hava kalitesi kabul edilebilir. Ancak bazı insanlar, özellikle de hava kirliliğine karşı alışılmadık derecede hassas olanlar için risk söz konusu olabilir.</v>
      </c>
      <c r="BK140" s="7" t="str">
        <f>IFERROR(__xludf.DUMMYFUNCTION("GoogleTranslate(C140, ""en"", ""uk"")"),"Якість повітря прийнятна. Однак для деяких людей, особливо для тих, хто надзвичайно чутливий до забруднення повітря, може бути ризик.")</f>
        <v>Якість повітря прийнятна. Однак для деяких людей, особливо для тих, хто надзвичайно чутливий до забруднення повітря, може бути ризик.</v>
      </c>
      <c r="BL140" s="7" t="str">
        <f>IFERROR(__xludf.DUMMYFUNCTION("GoogleTranslate(C140, ""en"", ""zu"")"),"Ikhwalithi yomoya yamukelekile. Nokho, kungase kube nengozi kwabanye abantu, ikakhulukazi labo abazwela ngokungavamile ukungcoliswa komoya.")</f>
        <v>Ikhwalithi yomoya yamukelekile. Nokho, kungase kube nengozi kwabanye abantu, ikakhulukazi labo abazwela ngokungavamile ukungcoliswa komoya.</v>
      </c>
    </row>
    <row r="141">
      <c r="A141" s="5" t="str">
        <f t="shared" si="1"/>
        <v>Recommended_Precautions</v>
      </c>
      <c r="B141" s="6" t="s">
        <v>197</v>
      </c>
      <c r="C141" s="5" t="str">
        <f t="shared" si="2"/>
        <v>Recommended Precautions</v>
      </c>
      <c r="D141" s="7" t="str">
        <f>IFERROR(__xludf.DUMMYFUNCTION("GoogleTranslate(C141, ""en"", ""es"")"),"Precauciones recomendadas")</f>
        <v>Precauciones recomendadas</v>
      </c>
      <c r="E141" s="7" t="str">
        <f>IFERROR(__xludf.DUMMYFUNCTION("GoogleTranslate(C141, ""en"", ""ar"")"),"الاحتياطات الموصى بها")</f>
        <v>الاحتياطات الموصى بها</v>
      </c>
      <c r="F141" s="7" t="str">
        <f>IFERROR(__xludf.DUMMYFUNCTION("GoogleTranslate(C141, ""en"", ""hy"")"),"Առաջարկվող նախազգուշական միջոցներ")</f>
        <v>Առաջարկվող նախազգուշական միջոցներ</v>
      </c>
      <c r="G141" s="7" t="str">
        <f>IFERROR(__xludf.DUMMYFUNCTION("GoogleTranslate(C141, ""en"", ""vi"")"),"Biện pháp phòng ngừa được đề xuất")</f>
        <v>Biện pháp phòng ngừa được đề xuất</v>
      </c>
      <c r="H141" s="7" t="str">
        <f>IFERROR(__xludf.DUMMYFUNCTION("GoogleTranslate(C141, ""en"", ""az"")"),"Tövsiyə olunan ehtiyat tədbirləri")</f>
        <v>Tövsiyə olunan ehtiyat tədbirləri</v>
      </c>
      <c r="I141" s="7" t="str">
        <f>IFERROR(__xludf.DUMMYFUNCTION("GoogleTranslate(C141, ""en"", ""eu"")"),"Gomendatutako neurriak")</f>
        <v>Gomendatutako neurriak</v>
      </c>
      <c r="J141" s="7" t="str">
        <f>IFERROR(__xludf.DUMMYFUNCTION("GoogleTranslate(C141, ""en"", ""be"")"),"Рэкамендуемыя меры засцярогі")</f>
        <v>Рэкамендуемыя меры засцярогі</v>
      </c>
      <c r="K141" s="7" t="str">
        <f>IFERROR(__xludf.DUMMYFUNCTION("GoogleTranslate(C141, ""en"", ""bn"")"),"সুপারিশকৃত সতর্কতা")</f>
        <v>সুপারিশকৃত সতর্কতা</v>
      </c>
      <c r="L141" s="7" t="str">
        <f>IFERROR(__xludf.DUMMYFUNCTION("GoogleTranslate(C141, ""en"", ""bg"")"),"Препоръчителни предпазни мерки")</f>
        <v>Препоръчителни предпазни мерки</v>
      </c>
      <c r="M141" s="7" t="str">
        <f>IFERROR(__xludf.DUMMYFUNCTION("GoogleTranslate(C141, ""en"", ""my"")"),"အကြံပြုထားသော ကြိုတင်ကာကွယ်မှုများ")</f>
        <v>အကြံပြုထားသော ကြိုတင်ကာကွယ်မှုများ</v>
      </c>
      <c r="N141" s="7" t="str">
        <f>IFERROR(__xludf.DUMMYFUNCTION("GoogleTranslate(C141, ""en"", ""ca"")"),"Precaucions recomanades")</f>
        <v>Precaucions recomanades</v>
      </c>
      <c r="O141" s="7" t="str">
        <f>IFERROR(__xludf.DUMMYFUNCTION("GoogleTranslate(C141, ""en"", ""zh-cn"")"),"建议的预防措施")</f>
        <v>建议的预防措施</v>
      </c>
      <c r="P141" s="7" t="str">
        <f>IFERROR(__xludf.DUMMYFUNCTION("GoogleTranslate(C141, ""en"", ""zh-TW"")"),"建議的預防措施")</f>
        <v>建議的預防措施</v>
      </c>
      <c r="Q141" s="7" t="str">
        <f>IFERROR(__xludf.DUMMYFUNCTION("GoogleTranslate(C141, ""en"", ""hr"")"),"Preporučene mjere opreza")</f>
        <v>Preporučene mjere opreza</v>
      </c>
      <c r="R141" s="7" t="str">
        <f>IFERROR(__xludf.DUMMYFUNCTION("GoogleTranslate(C141, ""en"", ""cs"")"),"Doporučená bezpečnostní opatření")</f>
        <v>Doporučená bezpečnostní opatření</v>
      </c>
      <c r="S141" s="7" t="str">
        <f>IFERROR(__xludf.DUMMYFUNCTION("GoogleTranslate(C141, ""en"", ""da"")"),"Anbefalede forholdsregler")</f>
        <v>Anbefalede forholdsregler</v>
      </c>
      <c r="T141" s="7" t="str">
        <f>IFERROR(__xludf.DUMMYFUNCTION("GoogleTranslate(C141, ""en"", ""nl"")"),"Aanbevolen voorzorgsmaatregelen")</f>
        <v>Aanbevolen voorzorgsmaatregelen</v>
      </c>
      <c r="U141" s="7" t="str">
        <f>IFERROR(__xludf.DUMMYFUNCTION("GoogleTranslate(C141, ""en"", ""et"")"),"Soovitatavad ettevaatusabinõud")</f>
        <v>Soovitatavad ettevaatusabinõud</v>
      </c>
      <c r="V141" s="5" t="str">
        <f t="shared" si="3"/>
        <v>Recommended Precautions</v>
      </c>
      <c r="W141" s="7" t="str">
        <f>IFERROR(__xludf.DUMMYFUNCTION("GoogleTranslate(C141, ""en"", ""fi"")"),"Suositeltavat varotoimet")</f>
        <v>Suositeltavat varotoimet</v>
      </c>
      <c r="X141" s="7" t="str">
        <f>IFERROR(__xludf.DUMMYFUNCTION("GoogleTranslate(C141, ""en"", ""fr"")"),"Précautions recommandées")</f>
        <v>Précautions recommandées</v>
      </c>
      <c r="Y141" s="7" t="str">
        <f>IFERROR(__xludf.DUMMYFUNCTION("GoogleTranslate(C141, ""en"", ""de"")"),"Empfohlene Vorsichtsmaßnahmen")</f>
        <v>Empfohlene Vorsichtsmaßnahmen</v>
      </c>
      <c r="Z141" s="7" t="str">
        <f>IFERROR(__xludf.DUMMYFUNCTION("GoogleTranslate(C141, ""en"", ""el"")"),"Συνιστώμενες προφυλάξεις")</f>
        <v>Συνιστώμενες προφυλάξεις</v>
      </c>
      <c r="AA141" s="7" t="str">
        <f>IFERROR(__xludf.DUMMYFUNCTION("GoogleTranslate(C141, ""en"", ""iw"")"),"אמצעי זהירות מומלצים")</f>
        <v>אמצעי זהירות מומלצים</v>
      </c>
      <c r="AB141" s="7" t="str">
        <f>IFERROR(__xludf.DUMMYFUNCTION("GoogleTranslate(C141, ""en"", ""hi"")"),"अनुशंसित सावधानियां")</f>
        <v>अनुशंसित सावधानियां</v>
      </c>
      <c r="AC141" s="7" t="str">
        <f>IFERROR(__xludf.DUMMYFUNCTION("GoogleTranslate(C141, ""en"", ""hu"")"),"Javasolt óvintézkedések")</f>
        <v>Javasolt óvintézkedések</v>
      </c>
      <c r="AD141" s="7" t="str">
        <f>IFERROR(__xludf.DUMMYFUNCTION("GoogleTranslate(C141, ""en"", ""is"")"),"Ráðlagðar varúðarráðstafanir")</f>
        <v>Ráðlagðar varúðarráðstafanir</v>
      </c>
      <c r="AE141" s="7" t="str">
        <f>IFERROR(__xludf.DUMMYFUNCTION("GoogleTranslate(C141, ""en"", ""id"")"),"Tindakan Pencegahan yang Disarankan")</f>
        <v>Tindakan Pencegahan yang Disarankan</v>
      </c>
      <c r="AF141" s="7" t="str">
        <f>IFERROR(__xludf.DUMMYFUNCTION("GoogleTranslate(C141, ""en"", ""in"")"),"Tindakan Pencegahan yang Disarankan")</f>
        <v>Tindakan Pencegahan yang Disarankan</v>
      </c>
      <c r="AG141" s="7" t="str">
        <f>IFERROR(__xludf.DUMMYFUNCTION("GoogleTranslate(C141, ""en"", ""it"")"),"Precauzioni consigliate")</f>
        <v>Precauzioni consigliate</v>
      </c>
      <c r="AH141" s="7" t="str">
        <f>IFERROR(__xludf.DUMMYFUNCTION("GoogleTranslate(C141, ""en"", ""ja"")"),"推奨される予防措置")</f>
        <v>推奨される予防措置</v>
      </c>
      <c r="AI141" s="7" t="str">
        <f>IFERROR(__xludf.DUMMYFUNCTION("GoogleTranslate(C141, ""en"", ""kn"")"),"ಶಿಫಾರಸು ಮಾಡಲಾದ ಮುನ್ನೆಚ್ಚರಿಕೆಗಳು")</f>
        <v>ಶಿಫಾರಸು ಮಾಡಲಾದ ಮುನ್ನೆಚ್ಚರಿಕೆಗಳು</v>
      </c>
      <c r="AJ141" s="7" t="str">
        <f>IFERROR(__xludf.DUMMYFUNCTION("GoogleTranslate(C141, ""en"", ""km"")"),"ការប្រុងប្រយ័ត្នដែលបានណែនាំ")</f>
        <v>ការប្រុងប្រយ័ត្នដែលបានណែនាំ</v>
      </c>
      <c r="AK141" s="7" t="str">
        <f>IFERROR(__xludf.DUMMYFUNCTION("GoogleTranslate(C141, ""en"", ""ko"")"),"권장 예방조치")</f>
        <v>권장 예방조치</v>
      </c>
      <c r="AL141" s="7" t="str">
        <f>IFERROR(__xludf.DUMMYFUNCTION("GoogleTranslate(C141, ""en"", ""lo"")"),"ຂໍ້ຄວນລະວັງທີ່ແນະນຳ")</f>
        <v>ຂໍ້ຄວນລະວັງທີ່ແນະນຳ</v>
      </c>
      <c r="AM141" s="7" t="str">
        <f>IFERROR(__xludf.DUMMYFUNCTION("GoogleTranslate(C141, ""en"", ""lv"")"),"Ieteicamie piesardzības pasākumi")</f>
        <v>Ieteicamie piesardzības pasākumi</v>
      </c>
      <c r="AN141" s="7" t="str">
        <f>IFERROR(__xludf.DUMMYFUNCTION("GoogleTranslate(C141, ""en"", ""lt"")"),"Rekomenduojamos atsargumo priemonės")</f>
        <v>Rekomenduojamos atsargumo priemonės</v>
      </c>
      <c r="AO141" s="7" t="str">
        <f>IFERROR(__xludf.DUMMYFUNCTION("GoogleTranslate(C141, ""en"", ""mk"")"),"Препорачани мерки на претпазливост")</f>
        <v>Препорачани мерки на претпазливост</v>
      </c>
      <c r="AP141" s="7" t="str">
        <f>IFERROR(__xludf.DUMMYFUNCTION("GoogleTranslate(C141, ""en"", ""ms"")"),"Langkah berjaga-jaga yang disyorkan")</f>
        <v>Langkah berjaga-jaga yang disyorkan</v>
      </c>
      <c r="AQ141" s="7" t="str">
        <f>IFERROR(__xludf.DUMMYFUNCTION("GoogleTranslate(C141, ""en"", ""ml"")"),"ശുപാർശ ചെയ്യുന്ന മുൻകരുതലുകൾ")</f>
        <v>ശുപാർശ ചെയ്യുന്ന മുൻകരുതലുകൾ</v>
      </c>
      <c r="AR141" s="7" t="str">
        <f>IFERROR(__xludf.DUMMYFUNCTION("GoogleTranslate(C141, ""en"", ""mr"")"),"शिफारस केलेली खबरदारी")</f>
        <v>शिफारस केलेली खबरदारी</v>
      </c>
      <c r="AS141" s="7" t="str">
        <f>IFERROR(__xludf.DUMMYFUNCTION("GoogleTranslate(C141, ""en"", ""mn"")"),"Зөвлөмж болгож буй урьдчилан сэргийлэх арга хэмжээ")</f>
        <v>Зөвлөмж болгож буй урьдчилан сэргийлэх арга хэмжээ</v>
      </c>
      <c r="AT141" s="7" t="str">
        <f>IFERROR(__xludf.DUMMYFUNCTION("GoogleTranslate(C141, ""en"", ""ne"")"),"सिफारिस गरिएका सावधानीहरू")</f>
        <v>सिफारिस गरिएका सावधानीहरू</v>
      </c>
      <c r="AU141" s="7" t="str">
        <f>IFERROR(__xludf.DUMMYFUNCTION("GoogleTranslate(C141, ""en"", ""nb"")"),"Anbefalte forholdsregler")</f>
        <v>Anbefalte forholdsregler</v>
      </c>
      <c r="AV141" s="7" t="str">
        <f>IFERROR(__xludf.DUMMYFUNCTION("GoogleTranslate(C141, ""en"", ""fa"")"),"اقدامات احتیاطی توصیه شده")</f>
        <v>اقدامات احتیاطی توصیه شده</v>
      </c>
      <c r="AW141" s="7" t="str">
        <f>IFERROR(__xludf.DUMMYFUNCTION("GoogleTranslate(C141, ""en"", ""pl"")"),"Zalecane środki ostrożności")</f>
        <v>Zalecane środki ostrożności</v>
      </c>
      <c r="AX141" s="7" t="str">
        <f>IFERROR(__xludf.DUMMYFUNCTION("GoogleTranslate(C141, ""en"", ""pt"")"),"Precauções recomendadas")</f>
        <v>Precauções recomendadas</v>
      </c>
      <c r="AY141" s="7" t="str">
        <f>IFERROR(__xludf.DUMMYFUNCTION("GoogleTranslate(C141, ""en"", ""ro"")"),"Precauții recomandate")</f>
        <v>Precauții recomandate</v>
      </c>
      <c r="AZ141" s="7" t="str">
        <f>IFERROR(__xludf.DUMMYFUNCTION("GoogleTranslate(C141, ""en"", ""ru"")"),"Рекомендуемые меры предосторожности")</f>
        <v>Рекомендуемые меры предосторожности</v>
      </c>
      <c r="BA141" s="7" t="str">
        <f>IFERROR(__xludf.DUMMYFUNCTION("GoogleTranslate(C141, ""en"", ""sr"")"),"Препоручене мере предострожности")</f>
        <v>Препоручене мере предострожности</v>
      </c>
      <c r="BB141" s="7" t="str">
        <f>IFERROR(__xludf.DUMMYFUNCTION("GoogleTranslate(C141, ""en"", ""si"")"),"නිර්දේශිත පූර්වාරක්ෂාවන්")</f>
        <v>නිර්දේශිත පූර්වාරක්ෂාවන්</v>
      </c>
      <c r="BC141" s="7" t="str">
        <f>IFERROR(__xludf.DUMMYFUNCTION("GoogleTranslate(C141, ""en"", ""sk"")"),"Odporúčané preventívne opatrenia")</f>
        <v>Odporúčané preventívne opatrenia</v>
      </c>
      <c r="BD141" s="7" t="str">
        <f>IFERROR(__xludf.DUMMYFUNCTION("GoogleTranslate(C141, ""en"", ""sl"")"),"Priporočeni previdnostni ukrepi")</f>
        <v>Priporočeni previdnostni ukrepi</v>
      </c>
      <c r="BE141" s="7" t="str">
        <f>IFERROR(__xludf.DUMMYFUNCTION("GoogleTranslate(C141, ""en"", ""es"")"),"Precauciones recomendadas")</f>
        <v>Precauciones recomendadas</v>
      </c>
      <c r="BF141" s="7" t="str">
        <f>IFERROR(__xludf.DUMMYFUNCTION("GoogleTranslate(C141, ""en"", ""sw"")"),"Tahadhari Zilizopendekezwa")</f>
        <v>Tahadhari Zilizopendekezwa</v>
      </c>
      <c r="BG141" s="7" t="str">
        <f>IFERROR(__xludf.DUMMYFUNCTION("GoogleTranslate(C141, ""en"", ""sv"")"),"Rekommenderade försiktighetsåtgärder")</f>
        <v>Rekommenderade försiktighetsåtgärder</v>
      </c>
      <c r="BH141" s="7" t="str">
        <f>IFERROR(__xludf.DUMMYFUNCTION("GoogleTranslate(C141, ""en"", ""te"")"),"సిఫార్సు చేసిన జాగ్రత్తలు")</f>
        <v>సిఫార్సు చేసిన జాగ్రత్తలు</v>
      </c>
      <c r="BI141" s="7" t="str">
        <f>IFERROR(__xludf.DUMMYFUNCTION("GoogleTranslate(C141, ""en"", ""th"")"),"ข้อควรระวังที่แนะนำ")</f>
        <v>ข้อควรระวังที่แนะนำ</v>
      </c>
      <c r="BJ141" s="7" t="str">
        <f>IFERROR(__xludf.DUMMYFUNCTION("GoogleTranslate(C141, ""en"", ""tr"")"),"Önerilen Önlemler")</f>
        <v>Önerilen Önlemler</v>
      </c>
      <c r="BK141" s="7" t="str">
        <f>IFERROR(__xludf.DUMMYFUNCTION("GoogleTranslate(C141, ""en"", ""uk"")"),"Рекомендовані запобіжні заходи")</f>
        <v>Рекомендовані запобіжні заходи</v>
      </c>
      <c r="BL141" s="7" t="str">
        <f>IFERROR(__xludf.DUMMYFUNCTION("GoogleTranslate(C141, ""en"", ""zu"")"),"Izinyathelo Zokuqapha Ezinconyiwe")</f>
        <v>Izinyathelo Zokuqapha Ezinconyiwe</v>
      </c>
    </row>
    <row r="142">
      <c r="A142" s="5" t="str">
        <f t="shared" si="1"/>
        <v>Unusually_sensitive_people_should_consider_reducing_prolonged_or_heavy_exertion.</v>
      </c>
      <c r="B142" s="6" t="s">
        <v>198</v>
      </c>
      <c r="C142" s="5" t="str">
        <f t="shared" si="2"/>
        <v>Unusually sensitive people should consider reducing prolonged or heavy exertion.</v>
      </c>
      <c r="D142" s="7" t="str">
        <f>IFERROR(__xludf.DUMMYFUNCTION("GoogleTranslate(C142, ""en"", ""es"")"),"Las personas inusualmente sensibles deberían considerar reducir el esfuerzo prolongado o intenso.")</f>
        <v>Las personas inusualmente sensibles deberían considerar reducir el esfuerzo prolongado o intenso.</v>
      </c>
      <c r="E142" s="7" t="str">
        <f>IFERROR(__xludf.DUMMYFUNCTION("GoogleTranslate(C142, ""en"", ""ar"")"),"يجب على الأشخاص ذوي الحساسية غير المعتادة أن يفكروا في تقليل المجهود لفترات طويلة أو ثقيلة.")</f>
        <v>يجب على الأشخاص ذوي الحساسية غير المعتادة أن يفكروا في تقليل المجهود لفترات طويلة أو ثقيلة.</v>
      </c>
      <c r="F142" s="7" t="str">
        <f>IFERROR(__xludf.DUMMYFUNCTION("GoogleTranslate(C142, ""en"", ""hy"")"),"Անսովոր զգայուն մարդիկ պետք է մտածեն երկարատև կամ ծանր ուժերը նվազեցնելու մասին:")</f>
        <v>Անսովոր զգայուն մարդիկ պետք է մտածեն երկարատև կամ ծանր ուժերը նվազեցնելու մասին:</v>
      </c>
      <c r="G142" s="7" t="str">
        <f>IFERROR(__xludf.DUMMYFUNCTION("GoogleTranslate(C142, ""en"", ""vi"")"),"Những người nhạy cảm bất thường nên cân nhắc giảm gắng sức kéo dài hoặc nặng nhọc.")</f>
        <v>Những người nhạy cảm bất thường nên cân nhắc giảm gắng sức kéo dài hoặc nặng nhọc.</v>
      </c>
      <c r="H142" s="7" t="str">
        <f>IFERROR(__xludf.DUMMYFUNCTION("GoogleTranslate(C142, ""en"", ""az"")"),"Qeyri-adi həssas insanlar uzunmüddətli və ya ağır yükü azaltmağı düşünməlidirlər.")</f>
        <v>Qeyri-adi həssas insanlar uzunmüddətli və ya ağır yükü azaltmağı düşünməlidirlər.</v>
      </c>
      <c r="I142" s="7" t="str">
        <f>IFERROR(__xludf.DUMMYFUNCTION("GoogleTranslate(C142, ""en"", ""eu"")"),"Ezohiko sentikorrak diren pertsonek esfortzu luzeak edo astunak murriztea kontuan hartu beharko lukete.")</f>
        <v>Ezohiko sentikorrak diren pertsonek esfortzu luzeak edo astunak murriztea kontuan hartu beharko lukete.</v>
      </c>
      <c r="J142" s="7" t="str">
        <f>IFERROR(__xludf.DUMMYFUNCTION("GoogleTranslate(C142, ""en"", ""be"")"),"Незвычайна адчувальным людзям варта падумаць аб зніжэнні працяглых або цяжкіх нагрузак.")</f>
        <v>Незвычайна адчувальным людзям варта падумаць аб зніжэнні працяглых або цяжкіх нагрузак.</v>
      </c>
      <c r="K142" s="7" t="str">
        <f>IFERROR(__xludf.DUMMYFUNCTION("GoogleTranslate(C142, ""en"", ""bn"")"),"অস্বাভাবিকভাবে সংবেদনশীল ব্যক্তিদের দীর্ঘায়িত বা ভারী পরিশ্রম কমানোর কথা বিবেচনা করা উচিত।")</f>
        <v>অস্বাভাবিকভাবে সংবেদনশীল ব্যক্তিদের দীর্ঘায়িত বা ভারী পরিশ্রম কমানোর কথা বিবেচনা করা উচিত।</v>
      </c>
      <c r="L142" s="7" t="str">
        <f>IFERROR(__xludf.DUMMYFUNCTION("GoogleTranslate(C142, ""en"", ""bg"")"),"Необичайно чувствителните хора трябва да обмислят намаляване на продължително или тежко натоварване.")</f>
        <v>Необичайно чувствителните хора трябва да обмислят намаляване на продължително или тежко натоварване.</v>
      </c>
      <c r="M142" s="7" t="str">
        <f>IFERROR(__xludf.DUMMYFUNCTION("GoogleTranslate(C142, ""en"", ""my"")"),"ပုံမှန်မဟုတ်သော အထိခိုက်လွယ်သူများသည် ကြာရှည်စွာ သို့မဟုတ် ပြင်းထန်သော အားထုတ်မှုကို လျှော့ချရန် စဉ်းစားသင့်သည်။")</f>
        <v>ပုံမှန်မဟုတ်သော အထိခိုက်လွယ်သူများသည် ကြာရှည်စွာ သို့မဟုတ် ပြင်းထန်သော အားထုတ်မှုကို လျှော့ချရန် စဉ်းစားသင့်သည်။</v>
      </c>
      <c r="N142" s="7" t="str">
        <f>IFERROR(__xludf.DUMMYFUNCTION("GoogleTranslate(C142, ""en"", ""ca"")"),"Les persones inusualment sensibles haurien de considerar reduir l'esforç prolongat o intens.")</f>
        <v>Les persones inusualment sensibles haurien de considerar reduir l'esforç prolongat o intens.</v>
      </c>
      <c r="O142" s="7" t="str">
        <f>IFERROR(__xludf.DUMMYFUNCTION("GoogleTranslate(C142, ""en"", ""zh-cn"")"),"异常敏感的人应考虑减少长时间或剧烈的劳累。")</f>
        <v>异常敏感的人应考虑减少长时间或剧烈的劳累。</v>
      </c>
      <c r="P142" s="7" t="str">
        <f>IFERROR(__xludf.DUMMYFUNCTION("GoogleTranslate(C142, ""en"", ""zh-TW"")"),"異常敏感的人應考慮減少長時間或劇烈的勞累。")</f>
        <v>異常敏感的人應考慮減少長時間或劇烈的勞累。</v>
      </c>
      <c r="Q142" s="7" t="str">
        <f>IFERROR(__xludf.DUMMYFUNCTION("GoogleTranslate(C142, ""en"", ""hr"")"),"Neobično osjetljive osobe trebale bi razmisliti o smanjenju dugotrajnog ili teškog napora.")</f>
        <v>Neobično osjetljive osobe trebale bi razmisliti o smanjenju dugotrajnog ili teškog napora.</v>
      </c>
      <c r="R142" s="7" t="str">
        <f>IFERROR(__xludf.DUMMYFUNCTION("GoogleTranslate(C142, ""en"", ""cs"")"),"Neobvykle citliví lidé by měli zvážit omezení dlouhodobé nebo těžké námahy.")</f>
        <v>Neobvykle citliví lidé by měli zvážit omezení dlouhodobé nebo těžké námahy.</v>
      </c>
      <c r="S142" s="7" t="str">
        <f>IFERROR(__xludf.DUMMYFUNCTION("GoogleTranslate(C142, ""en"", ""da"")"),"Usædvanligt sensitive mennesker bør overveje at reducere langvarig eller tung anstrengelse.")</f>
        <v>Usædvanligt sensitive mennesker bør overveje at reducere langvarig eller tung anstrengelse.</v>
      </c>
      <c r="T142" s="7" t="str">
        <f>IFERROR(__xludf.DUMMYFUNCTION("GoogleTranslate(C142, ""en"", ""nl"")"),"Ongewoon gevoelige mensen zouden moeten overwegen om langdurige of zware inspanning te verminderen.")</f>
        <v>Ongewoon gevoelige mensen zouden moeten overwegen om langdurige of zware inspanning te verminderen.</v>
      </c>
      <c r="U142" s="7" t="str">
        <f>IFERROR(__xludf.DUMMYFUNCTION("GoogleTranslate(C142, ""en"", ""et"")"),"Ebatavaliselt tundlikud inimesed peaksid kaaluma pikaajalise või raske koormuse vähendamist.")</f>
        <v>Ebatavaliselt tundlikud inimesed peaksid kaaluma pikaajalise või raske koormuse vähendamist.</v>
      </c>
      <c r="V142" s="5" t="str">
        <f t="shared" si="3"/>
        <v>Unusually sensitive people should consider reducing prolonged or heavy exertion.</v>
      </c>
      <c r="W142" s="7" t="str">
        <f>IFERROR(__xludf.DUMMYFUNCTION("GoogleTranslate(C142, ""en"", ""fi"")"),"Epätavallisen herkkien ihmisten tulisi harkita pitkäaikaisen tai raskaan rasituksen vähentämistä.")</f>
        <v>Epätavallisen herkkien ihmisten tulisi harkita pitkäaikaisen tai raskaan rasituksen vähentämistä.</v>
      </c>
      <c r="X142" s="7" t="str">
        <f>IFERROR(__xludf.DUMMYFUNCTION("GoogleTranslate(C142, ""en"", ""fr"")"),"Les personnes exceptionnellement sensibles devraient envisager de réduire les efforts prolongés ou intenses.")</f>
        <v>Les personnes exceptionnellement sensibles devraient envisager de réduire les efforts prolongés ou intenses.</v>
      </c>
      <c r="Y142" s="7" t="str">
        <f>IFERROR(__xludf.DUMMYFUNCTION("GoogleTranslate(C142, ""en"", ""de"")"),"Besonders empfindliche Menschen sollten darüber nachdenken, längere oder schwere Anstrengungen zu reduzieren.")</f>
        <v>Besonders empfindliche Menschen sollten darüber nachdenken, längere oder schwere Anstrengungen zu reduzieren.</v>
      </c>
      <c r="Z142" s="7" t="str">
        <f>IFERROR(__xludf.DUMMYFUNCTION("GoogleTranslate(C142, ""en"", ""el"")"),"Τα ασυνήθιστα ευαίσθητα άτομα θα πρέπει να εξετάσουν το ενδεχόμενο μείωσης της παρατεταμένης ή βαριάς προσπάθειας.")</f>
        <v>Τα ασυνήθιστα ευαίσθητα άτομα θα πρέπει να εξετάσουν το ενδεχόμενο μείωσης της παρατεταμένης ή βαριάς προσπάθειας.</v>
      </c>
      <c r="AA142" s="7" t="str">
        <f>IFERROR(__xludf.DUMMYFUNCTION("GoogleTranslate(C142, ""en"", ""iw"")"),"אנשים רגישים בצורה יוצאת דופן צריכים לשקול להפחית מאמץ ממושך או כבד.")</f>
        <v>אנשים רגישים בצורה יוצאת דופן צריכים לשקול להפחית מאמץ ממושך או כבד.</v>
      </c>
      <c r="AB142" s="7" t="str">
        <f>IFERROR(__xludf.DUMMYFUNCTION("GoogleTranslate(C142, ""en"", ""hi"")"),"असामान्य रूप से संवेदनशील लोगों को लंबे समय तक या भारी परिश्रम को कम करने पर विचार करना चाहिए।")</f>
        <v>असामान्य रूप से संवेदनशील लोगों को लंबे समय तक या भारी परिश्रम को कम करने पर विचार करना चाहिए।</v>
      </c>
      <c r="AC142" s="7" t="str">
        <f>IFERROR(__xludf.DUMMYFUNCTION("GoogleTranslate(C142, ""en"", ""hu"")"),"A szokatlanul érzékeny embereknek fontolóra kell venniük a hosszan tartó vagy erős megerőltetés csökkentését.")</f>
        <v>A szokatlanul érzékeny embereknek fontolóra kell venniük a hosszan tartó vagy erős megerőltetés csökkentését.</v>
      </c>
      <c r="AD142" s="7" t="str">
        <f>IFERROR(__xludf.DUMMYFUNCTION("GoogleTranslate(C142, ""en"", ""is"")"),"Óvenjulega viðkvæmt fólk ætti að íhuga að draga úr langvarandi eða mikilli áreynslu.")</f>
        <v>Óvenjulega viðkvæmt fólk ætti að íhuga að draga úr langvarandi eða mikilli áreynslu.</v>
      </c>
      <c r="AE142" s="7" t="str">
        <f>IFERROR(__xludf.DUMMYFUNCTION("GoogleTranslate(C142, ""en"", ""id"")"),"Orang yang sangat sensitif harus mempertimbangkan untuk mengurangi aktivitas yang berkepanjangan atau berat.")</f>
        <v>Orang yang sangat sensitif harus mempertimbangkan untuk mengurangi aktivitas yang berkepanjangan atau berat.</v>
      </c>
      <c r="AF142" s="7" t="str">
        <f>IFERROR(__xludf.DUMMYFUNCTION("GoogleTranslate(C142, ""en"", ""in"")"),"Orang yang sangat sensitif harus mempertimbangkan untuk mengurangi aktivitas yang berkepanjangan atau berat.")</f>
        <v>Orang yang sangat sensitif harus mempertimbangkan untuk mengurangi aktivitas yang berkepanjangan atau berat.</v>
      </c>
      <c r="AG142" s="7" t="str">
        <f>IFERROR(__xludf.DUMMYFUNCTION("GoogleTranslate(C142, ""en"", ""it"")"),"Le persone insolitamente sensibili dovrebbero considerare di ridurre lo sforzo prolungato o intenso.")</f>
        <v>Le persone insolitamente sensibili dovrebbero considerare di ridurre lo sforzo prolungato o intenso.</v>
      </c>
      <c r="AH142" s="7" t="str">
        <f>IFERROR(__xludf.DUMMYFUNCTION("GoogleTranslate(C142, ""en"", ""ja"")"),"異常に敏感な人は、長時間または激しい運動を減らすことを検討する必要があります。")</f>
        <v>異常に敏感な人は、長時間または激しい運動を減らすことを検討する必要があります。</v>
      </c>
      <c r="AI142" s="7" t="str">
        <f>IFERROR(__xludf.DUMMYFUNCTION("GoogleTranslate(C142, ""en"", ""kn"")"),"ಅಸಾಮಾನ್ಯವಾಗಿ ಸೂಕ್ಷ್ಮ ಜನರು ದೀರ್ಘಕಾಲದ ಅಥವಾ ಭಾರೀ ಪರಿಶ್ರಮವನ್ನು ಕಡಿಮೆ ಮಾಡಲು ಪರಿಗಣಿಸಬೇಕು.")</f>
        <v>ಅಸಾಮಾನ್ಯವಾಗಿ ಸೂಕ್ಷ್ಮ ಜನರು ದೀರ್ಘಕಾಲದ ಅಥವಾ ಭಾರೀ ಪರಿಶ್ರಮವನ್ನು ಕಡಿಮೆ ಮಾಡಲು ಪರಿಗಣಿಸಬೇಕು.</v>
      </c>
      <c r="AJ142" s="7" t="str">
        <f>IFERROR(__xludf.DUMMYFUNCTION("GoogleTranslate(C142, ""en"", ""km"")"),"មនុស្ស​ដែល​មាន​អារម្មណ៍​មិន​ប្រក្រតី គួរ​ពិចារណា​កាត់​បន្ថយ​ការ​ធ្វើ​លំហាត់​ប្រាណ​យូរ ឬ​ធ្ងន់។")</f>
        <v>មនុស្ស​ដែល​មាន​អារម្មណ៍​មិន​ប្រក្រតី គួរ​ពិចារណា​កាត់​បន្ថយ​ការ​ធ្វើ​លំហាត់​ប្រាណ​យូរ ឬ​ធ្ងន់។</v>
      </c>
      <c r="AK142" s="7" t="str">
        <f>IFERROR(__xludf.DUMMYFUNCTION("GoogleTranslate(C142, ""en"", ""ko"")"),"비정상적으로 민감한 사람들은 장시간 또는 심한 운동을 줄이는 것을 고려해야 합니다.")</f>
        <v>비정상적으로 민감한 사람들은 장시간 또는 심한 운동을 줄이는 것을 고려해야 합니다.</v>
      </c>
      <c r="AL142" s="7" t="str">
        <f>IFERROR(__xludf.DUMMYFUNCTION("GoogleTranslate(C142, ""en"", ""lo"")"),"ຄົນທີ່ມີຄວາມອ່ອນໄຫວຜິດປົກກະຕິຄວນພິຈາລະນາຫຼຸດຜ່ອນການອອກແຮງທີ່ຍາວນານ ຫຼືໜັກ.")</f>
        <v>ຄົນທີ່ມີຄວາມອ່ອນໄຫວຜິດປົກກະຕິຄວນພິຈາລະນາຫຼຸດຜ່ອນການອອກແຮງທີ່ຍາວນານ ຫຼືໜັກ.</v>
      </c>
      <c r="AM142" s="7" t="str">
        <f>IFERROR(__xludf.DUMMYFUNCTION("GoogleTranslate(C142, ""en"", ""lv"")"),"Neparasti jutīgiem cilvēkiem jāapsver ilgstošas ​​vai smagas slodzes samazināšana.")</f>
        <v>Neparasti jutīgiem cilvēkiem jāapsver ilgstošas ​​vai smagas slodzes samazināšana.</v>
      </c>
      <c r="AN142" s="7" t="str">
        <f>IFERROR(__xludf.DUMMYFUNCTION("GoogleTranslate(C142, ""en"", ""lt"")"),"Neįprastai jautrūs žmonės turėtų apsvarstyti galimybę sumažinti ilgalaikį ar sunkų krūvį.")</f>
        <v>Neįprastai jautrūs žmonės turėtų apsvarstyti galimybę sumažinti ilgalaikį ar sunkų krūvį.</v>
      </c>
      <c r="AO142" s="7" t="str">
        <f>IFERROR(__xludf.DUMMYFUNCTION("GoogleTranslate(C142, ""en"", ""mk"")"),"Невообичаено чувствителните луѓе треба да размислат за намалување на продолжениот или тежок напор.")</f>
        <v>Невообичаено чувствителните луѓе треба да размислат за намалување на продолжениот или тежок напор.</v>
      </c>
      <c r="AP142" s="7" t="str">
        <f>IFERROR(__xludf.DUMMYFUNCTION("GoogleTranslate(C142, ""en"", ""ms"")"),"Orang yang luar biasa sensitif harus mempertimbangkan untuk mengurangkan usaha yang berpanjangan atau berat.")</f>
        <v>Orang yang luar biasa sensitif harus mempertimbangkan untuk mengurangkan usaha yang berpanjangan atau berat.</v>
      </c>
      <c r="AQ142" s="7" t="str">
        <f>IFERROR(__xludf.DUMMYFUNCTION("GoogleTranslate(C142, ""en"", ""ml"")"),"അസാധാരണമായ സെൻസിറ്റീവായ ആളുകൾ ദീർഘമായ അല്ലെങ്കിൽ കനത്ത അദ്ധ്വാനം കുറയ്ക്കുന്നത് പരിഗണിക്കണം.")</f>
        <v>അസാധാരണമായ സെൻസിറ്റീവായ ആളുകൾ ദീർഘമായ അല്ലെങ്കിൽ കനത്ത അദ്ധ്വാനം കുറയ്ക്കുന്നത് പരിഗണിക്കണം.</v>
      </c>
      <c r="AR142" s="7" t="str">
        <f>IFERROR(__xludf.DUMMYFUNCTION("GoogleTranslate(C142, ""en"", ""mr"")"),"असामान्यपणे संवेदनशील लोकांनी दीर्घकाळ किंवा जड श्रम कमी करण्याचा विचार केला पाहिजे.")</f>
        <v>असामान्यपणे संवेदनशील लोकांनी दीर्घकाळ किंवा जड श्रम कमी करण्याचा विचार केला पाहिजे.</v>
      </c>
      <c r="AS142" s="7" t="str">
        <f>IFERROR(__xludf.DUMMYFUNCTION("GoogleTranslate(C142, ""en"", ""mn"")"),"Ер бусын мэдрэмтгий хүмүүс удаан хугацаагаар эсвэл хүнд ачааллыг багасгах талаар бодох хэрэгтэй.")</f>
        <v>Ер бусын мэдрэмтгий хүмүүс удаан хугацаагаар эсвэл хүнд ачааллыг багасгах талаар бодох хэрэгтэй.</v>
      </c>
      <c r="AT142" s="7" t="str">
        <f>IFERROR(__xludf.DUMMYFUNCTION("GoogleTranslate(C142, ""en"", ""ne"")"),"असामान्य रूपमा संवेदनशील व्यक्तिहरूले लामो वा भारी परिश्रम कम गर्ने विचार गर्नुपर्छ।")</f>
        <v>असामान्य रूपमा संवेदनशील व्यक्तिहरूले लामो वा भारी परिश्रम कम गर्ने विचार गर्नुपर्छ।</v>
      </c>
      <c r="AU142" s="7" t="str">
        <f>IFERROR(__xludf.DUMMYFUNCTION("GoogleTranslate(C142, ""en"", ""nb"")"),"Uvanlig sensitive personer bør vurdere å redusere langvarig eller tung anstrengelse.")</f>
        <v>Uvanlig sensitive personer bør vurdere å redusere langvarig eller tung anstrengelse.</v>
      </c>
      <c r="AV142" s="7" t="str">
        <f>IFERROR(__xludf.DUMMYFUNCTION("GoogleTranslate(C142, ""en"", ""fa"")"),"افراد غیرمعمول حساس باید تلاش طولانی یا سنگین را کاهش دهند.")</f>
        <v>افراد غیرمعمول حساس باید تلاش طولانی یا سنگین را کاهش دهند.</v>
      </c>
      <c r="AW142" s="7" t="str">
        <f>IFERROR(__xludf.DUMMYFUNCTION("GoogleTranslate(C142, ""en"", ""pl"")"),"Osoby wyjątkowo wrażliwe powinny rozważyć ograniczenie długotrwałego lub ciężkiego wysiłku.")</f>
        <v>Osoby wyjątkowo wrażliwe powinny rozważyć ograniczenie długotrwałego lub ciężkiego wysiłku.</v>
      </c>
      <c r="AX142" s="7" t="str">
        <f>IFERROR(__xludf.DUMMYFUNCTION("GoogleTranslate(C142, ""en"", ""pt"")"),"Pessoas excepcionalmente sensíveis devem considerar a redução do esforço prolongado ou pesado.")</f>
        <v>Pessoas excepcionalmente sensíveis devem considerar a redução do esforço prolongado ou pesado.</v>
      </c>
      <c r="AY142" s="7" t="str">
        <f>IFERROR(__xludf.DUMMYFUNCTION("GoogleTranslate(C142, ""en"", ""ro"")"),"Persoanele neobișnuit de sensibile ar trebui să ia în considerare reducerea efortului prelungit sau greu.")</f>
        <v>Persoanele neobișnuit de sensibile ar trebui să ia în considerare reducerea efortului prelungit sau greu.</v>
      </c>
      <c r="AZ142" s="7" t="str">
        <f>IFERROR(__xludf.DUMMYFUNCTION("GoogleTranslate(C142, ""en"", ""ru"")"),"Необычно чувствительным людям следует рассмотреть возможность снижения длительных или тяжелых нагрузок.")</f>
        <v>Необычно чувствительным людям следует рассмотреть возможность снижения длительных или тяжелых нагрузок.</v>
      </c>
      <c r="BA142" s="7" t="str">
        <f>IFERROR(__xludf.DUMMYFUNCTION("GoogleTranslate(C142, ""en"", ""sr"")"),"Неуобичајено осетљиве особе треба да размотре смањење продуженог или тешког напора.")</f>
        <v>Неуобичајено осетљиве особе треба да размотре смањење продуженог или тешког напора.</v>
      </c>
      <c r="BB142" s="7" t="str">
        <f>IFERROR(__xludf.DUMMYFUNCTION("GoogleTranslate(C142, ""en"", ""si"")"),"අසාමාන්ය ලෙස සංවේදී පුද්ගලයන් දිගු හෝ අධික වෙහෙස අඩු කිරීම ගැන සලකා බැලිය යුතුය.")</f>
        <v>අසාමාන්ය ලෙස සංවේදී පුද්ගලයන් දිගු හෝ අධික වෙහෙස අඩු කිරීම ගැන සලකා බැලිය යුතුය.</v>
      </c>
      <c r="BC142" s="7" t="str">
        <f>IFERROR(__xludf.DUMMYFUNCTION("GoogleTranslate(C142, ""en"", ""sk"")"),"Nezvyčajne citliví ľudia by mali zvážiť zníženie dlhodobej alebo ťažkej námahy.")</f>
        <v>Nezvyčajne citliví ľudia by mali zvážiť zníženie dlhodobej alebo ťažkej námahy.</v>
      </c>
      <c r="BD142" s="7" t="str">
        <f>IFERROR(__xludf.DUMMYFUNCTION("GoogleTranslate(C142, ""en"", ""sl"")"),"Nenavadno občutljivi ljudje bi morali razmisliti o zmanjšanju dolgotrajnega ali močnega napora.")</f>
        <v>Nenavadno občutljivi ljudje bi morali razmisliti o zmanjšanju dolgotrajnega ali močnega napora.</v>
      </c>
      <c r="BE142" s="7" t="str">
        <f>IFERROR(__xludf.DUMMYFUNCTION("GoogleTranslate(C142, ""en"", ""es"")"),"Las personas inusualmente sensibles deberían considerar reducir el esfuerzo prolongado o intenso.")</f>
        <v>Las personas inusualmente sensibles deberían considerar reducir el esfuerzo prolongado o intenso.</v>
      </c>
      <c r="BF142" s="7" t="str">
        <f>IFERROR(__xludf.DUMMYFUNCTION("GoogleTranslate(C142, ""en"", ""sw"")"),"Watu wenye hisia zisizo za kawaida wanapaswa kuzingatia kupunguza bidii ya muda mrefu au nzito.")</f>
        <v>Watu wenye hisia zisizo za kawaida wanapaswa kuzingatia kupunguza bidii ya muda mrefu au nzito.</v>
      </c>
      <c r="BG142" s="7" t="str">
        <f>IFERROR(__xludf.DUMMYFUNCTION("GoogleTranslate(C142, ""en"", ""sv"")"),"Ovanligt känsliga personer bör överväga att minska långvarig eller tung ansträngning.")</f>
        <v>Ovanligt känsliga personer bör överväga att minska långvarig eller tung ansträngning.</v>
      </c>
      <c r="BH142" s="7" t="str">
        <f>IFERROR(__xludf.DUMMYFUNCTION("GoogleTranslate(C142, ""en"", ""te"")"),"అసాధారణంగా సున్నితమైన వ్యక్తులు సుదీర్ఘమైన లేదా భారీ శ్రమను తగ్గించడాన్ని పరిగణించాలి.")</f>
        <v>అసాధారణంగా సున్నితమైన వ్యక్తులు సుదీర్ఘమైన లేదా భారీ శ్రమను తగ్గించడాన్ని పరిగణించాలి.</v>
      </c>
      <c r="BI142" s="7" t="str">
        <f>IFERROR(__xludf.DUMMYFUNCTION("GoogleTranslate(C142, ""en"", ""th"")"),"คนที่อ่อนไหวอย่างผิดปกติควรพิจารณาลดการออกแรงที่ยืดเยื้อหรือหนักหน่วงลง")</f>
        <v>คนที่อ่อนไหวอย่างผิดปกติควรพิจารณาลดการออกแรงที่ยืดเยื้อหรือหนักหน่วงลง</v>
      </c>
      <c r="BJ142" s="7" t="str">
        <f>IFERROR(__xludf.DUMMYFUNCTION("GoogleTranslate(C142, ""en"", ""tr"")"),"Alışılmadık derecede hassas kişiler, uzun süreli veya ağır eforları azaltmayı düşünmelidir.")</f>
        <v>Alışılmadık derecede hassas kişiler, uzun süreli veya ağır eforları azaltmayı düşünmelidir.</v>
      </c>
      <c r="BK142" s="7" t="str">
        <f>IFERROR(__xludf.DUMMYFUNCTION("GoogleTranslate(C142, ""en"", ""uk"")"),"Надзвичайно чутливі люди повинні зменшити тривале або важке навантаження.")</f>
        <v>Надзвичайно чутливі люди повинні зменшити тривале або важке навантаження.</v>
      </c>
      <c r="BL142" s="7" t="str">
        <f>IFERROR(__xludf.DUMMYFUNCTION("GoogleTranslate(C142, ""en"", ""zu"")"),"Abantu abazwela ngokungavamile kufanele bacabangele ukunciphisa ukuzikhandla okude noma okukhulu.")</f>
        <v>Abantu abazwela ngokungavamile kufanele bacabangele ukunciphisa ukuzikhandla okude noma okukhulu.</v>
      </c>
    </row>
    <row r="143">
      <c r="A143" s="5" t="str">
        <f t="shared" si="1"/>
        <v>Primary_Pollutant</v>
      </c>
      <c r="B143" s="6" t="s">
        <v>199</v>
      </c>
      <c r="C143" s="5" t="str">
        <f t="shared" si="2"/>
        <v>Primary Pollutant</v>
      </c>
      <c r="D143" s="7" t="str">
        <f>IFERROR(__xludf.DUMMYFUNCTION("GoogleTranslate(C143, ""en"", ""es"")"),"Contaminante primario")</f>
        <v>Contaminante primario</v>
      </c>
      <c r="E143" s="7" t="str">
        <f>IFERROR(__xludf.DUMMYFUNCTION("GoogleTranslate(C143, ""en"", ""ar"")"),"الملوث الأولي")</f>
        <v>الملوث الأولي</v>
      </c>
      <c r="F143" s="7" t="str">
        <f>IFERROR(__xludf.DUMMYFUNCTION("GoogleTranslate(C143, ""en"", ""hy"")"),"Առաջնային աղտոտիչ")</f>
        <v>Առաջնային աղտոտիչ</v>
      </c>
      <c r="G143" s="7" t="str">
        <f>IFERROR(__xludf.DUMMYFUNCTION("GoogleTranslate(C143, ""en"", ""vi"")"),"Chất ô nhiễm chính")</f>
        <v>Chất ô nhiễm chính</v>
      </c>
      <c r="H143" s="7" t="str">
        <f>IFERROR(__xludf.DUMMYFUNCTION("GoogleTranslate(C143, ""en"", ""az"")"),"İlkin Çirkləndirici")</f>
        <v>İlkin Çirkləndirici</v>
      </c>
      <c r="I143" s="7" t="str">
        <f>IFERROR(__xludf.DUMMYFUNCTION("GoogleTranslate(C143, ""en"", ""eu"")"),"Kutsatzaile primarioa")</f>
        <v>Kutsatzaile primarioa</v>
      </c>
      <c r="J143" s="7" t="str">
        <f>IFERROR(__xludf.DUMMYFUNCTION("GoogleTranslate(C143, ""en"", ""be"")"),"Асноўны забруджвальнік")</f>
        <v>Асноўны забруджвальнік</v>
      </c>
      <c r="K143" s="7" t="str">
        <f>IFERROR(__xludf.DUMMYFUNCTION("GoogleTranslate(C143, ""en"", ""bn"")"),"প্রাথমিক দূষণকারী")</f>
        <v>প্রাথমিক দূষণকারী</v>
      </c>
      <c r="L143" s="7" t="str">
        <f>IFERROR(__xludf.DUMMYFUNCTION("GoogleTranslate(C143, ""en"", ""bg"")"),"Основен замърсител")</f>
        <v>Основен замърсител</v>
      </c>
      <c r="M143" s="7" t="str">
        <f>IFERROR(__xludf.DUMMYFUNCTION("GoogleTranslate(C143, ""en"", ""my"")"),"Primary Pollutant")</f>
        <v>Primary Pollutant</v>
      </c>
      <c r="N143" s="7" t="str">
        <f>IFERROR(__xludf.DUMMYFUNCTION("GoogleTranslate(C143, ""en"", ""ca"")"),"Contaminant primari")</f>
        <v>Contaminant primari</v>
      </c>
      <c r="O143" s="7" t="str">
        <f>IFERROR(__xludf.DUMMYFUNCTION("GoogleTranslate(C143, ""en"", ""zh-cn"")"),"主要污染物")</f>
        <v>主要污染物</v>
      </c>
      <c r="P143" s="7" t="str">
        <f>IFERROR(__xludf.DUMMYFUNCTION("GoogleTranslate(C143, ""en"", ""zh-TW"")"),"主要污染物")</f>
        <v>主要污染物</v>
      </c>
      <c r="Q143" s="7" t="str">
        <f>IFERROR(__xludf.DUMMYFUNCTION("GoogleTranslate(C143, ""en"", ""hr"")"),"Primarni zagađivač")</f>
        <v>Primarni zagađivač</v>
      </c>
      <c r="R143" s="7" t="str">
        <f>IFERROR(__xludf.DUMMYFUNCTION("GoogleTranslate(C143, ""en"", ""cs"")"),"Primární znečišťující látka")</f>
        <v>Primární znečišťující látka</v>
      </c>
      <c r="S143" s="7" t="str">
        <f>IFERROR(__xludf.DUMMYFUNCTION("GoogleTranslate(C143, ""en"", ""da"")"),"Primært forurenende stof")</f>
        <v>Primært forurenende stof</v>
      </c>
      <c r="T143" s="7" t="str">
        <f>IFERROR(__xludf.DUMMYFUNCTION("GoogleTranslate(C143, ""en"", ""nl"")"),"Primaire verontreinigende stof")</f>
        <v>Primaire verontreinigende stof</v>
      </c>
      <c r="U143" s="7" t="str">
        <f>IFERROR(__xludf.DUMMYFUNCTION("GoogleTranslate(C143, ""en"", ""et"")"),"Esmane saasteaine")</f>
        <v>Esmane saasteaine</v>
      </c>
      <c r="V143" s="5" t="str">
        <f t="shared" si="3"/>
        <v>Primary Pollutant</v>
      </c>
      <c r="W143" s="7" t="str">
        <f>IFERROR(__xludf.DUMMYFUNCTION("GoogleTranslate(C143, ""en"", ""fi"")"),"Ensisijainen saaste")</f>
        <v>Ensisijainen saaste</v>
      </c>
      <c r="X143" s="7" t="str">
        <f>IFERROR(__xludf.DUMMYFUNCTION("GoogleTranslate(C143, ""en"", ""fr"")"),"Polluant primaire")</f>
        <v>Polluant primaire</v>
      </c>
      <c r="Y143" s="7" t="str">
        <f>IFERROR(__xludf.DUMMYFUNCTION("GoogleTranslate(C143, ""en"", ""de"")"),"Primärer Schadstoff")</f>
        <v>Primärer Schadstoff</v>
      </c>
      <c r="Z143" s="7" t="str">
        <f>IFERROR(__xludf.DUMMYFUNCTION("GoogleTranslate(C143, ""en"", ""el"")"),"Πρωτογενής Ρύπος")</f>
        <v>Πρωτογενής Ρύπος</v>
      </c>
      <c r="AA143" s="7" t="str">
        <f>IFERROR(__xludf.DUMMYFUNCTION("GoogleTranslate(C143, ""en"", ""iw"")"),"מזהם ראשוני")</f>
        <v>מזהם ראשוני</v>
      </c>
      <c r="AB143" s="7" t="str">
        <f>IFERROR(__xludf.DUMMYFUNCTION("GoogleTranslate(C143, ""en"", ""hi"")"),"प्राथमिक प्रदूषक")</f>
        <v>प्राथमिक प्रदूषक</v>
      </c>
      <c r="AC143" s="7" t="str">
        <f>IFERROR(__xludf.DUMMYFUNCTION("GoogleTranslate(C143, ""en"", ""hu"")"),"Elsődleges szennyezőanyag")</f>
        <v>Elsődleges szennyezőanyag</v>
      </c>
      <c r="AD143" s="7" t="str">
        <f>IFERROR(__xludf.DUMMYFUNCTION("GoogleTranslate(C143, ""en"", ""is"")"),"Aðalmengun")</f>
        <v>Aðalmengun</v>
      </c>
      <c r="AE143" s="7" t="str">
        <f>IFERROR(__xludf.DUMMYFUNCTION("GoogleTranslate(C143, ""en"", ""id"")"),"Polutan Primer")</f>
        <v>Polutan Primer</v>
      </c>
      <c r="AF143" s="7" t="str">
        <f>IFERROR(__xludf.DUMMYFUNCTION("GoogleTranslate(C143, ""en"", ""in"")"),"Polutan Primer")</f>
        <v>Polutan Primer</v>
      </c>
      <c r="AG143" s="7" t="str">
        <f>IFERROR(__xludf.DUMMYFUNCTION("GoogleTranslate(C143, ""en"", ""it"")"),"Inquinante primario")</f>
        <v>Inquinante primario</v>
      </c>
      <c r="AH143" s="7" t="str">
        <f>IFERROR(__xludf.DUMMYFUNCTION("GoogleTranslate(C143, ""en"", ""ja"")"),"一次汚染物質")</f>
        <v>一次汚染物質</v>
      </c>
      <c r="AI143" s="7" t="str">
        <f>IFERROR(__xludf.DUMMYFUNCTION("GoogleTranslate(C143, ""en"", ""kn"")"),"ಪ್ರಾಥಮಿಕ ಮಾಲಿನ್ಯಕಾರಕ")</f>
        <v>ಪ್ರಾಥಮಿಕ ಮಾಲಿನ್ಯಕಾರಕ</v>
      </c>
      <c r="AJ143" s="7" t="str">
        <f>IFERROR(__xludf.DUMMYFUNCTION("GoogleTranslate(C143, ""en"", ""km"")"),"សារធាតុពុលបឋម")</f>
        <v>សារធាតុពុលបឋម</v>
      </c>
      <c r="AK143" s="7" t="str">
        <f>IFERROR(__xludf.DUMMYFUNCTION("GoogleTranslate(C143, ""en"", ""ko"")"),"1차 오염물질")</f>
        <v>1차 오염물질</v>
      </c>
      <c r="AL143" s="7" t="str">
        <f>IFERROR(__xludf.DUMMYFUNCTION("GoogleTranslate(C143, ""en"", ""lo"")"),"ມົນລະພິດຂັ້ນຕົ້ນ")</f>
        <v>ມົນລະພິດຂັ້ນຕົ້ນ</v>
      </c>
      <c r="AM143" s="7" t="str">
        <f>IFERROR(__xludf.DUMMYFUNCTION("GoogleTranslate(C143, ""en"", ""lv"")"),"Primārais piesārņotājs")</f>
        <v>Primārais piesārņotājs</v>
      </c>
      <c r="AN143" s="7" t="str">
        <f>IFERROR(__xludf.DUMMYFUNCTION("GoogleTranslate(C143, ""en"", ""lt"")"),"Pirminis teršalas")</f>
        <v>Pirminis teršalas</v>
      </c>
      <c r="AO143" s="7" t="str">
        <f>IFERROR(__xludf.DUMMYFUNCTION("GoogleTranslate(C143, ""en"", ""mk"")"),"Примарен загадувач")</f>
        <v>Примарен загадувач</v>
      </c>
      <c r="AP143" s="7" t="str">
        <f>IFERROR(__xludf.DUMMYFUNCTION("GoogleTranslate(C143, ""en"", ""ms"")"),"Pencemaran Utama")</f>
        <v>Pencemaran Utama</v>
      </c>
      <c r="AQ143" s="7" t="str">
        <f>IFERROR(__xludf.DUMMYFUNCTION("GoogleTranslate(C143, ""en"", ""ml"")"),"പ്രാഥമിക മലിനീകരണം")</f>
        <v>പ്രാഥമിക മലിനീകരണം</v>
      </c>
      <c r="AR143" s="7" t="str">
        <f>IFERROR(__xludf.DUMMYFUNCTION("GoogleTranslate(C143, ""en"", ""mr"")"),"प्राथमिक प्रदूषक")</f>
        <v>प्राथमिक प्रदूषक</v>
      </c>
      <c r="AS143" s="7" t="str">
        <f>IFERROR(__xludf.DUMMYFUNCTION("GoogleTranslate(C143, ""en"", ""mn"")"),"Анхдагч бохирдуулагч")</f>
        <v>Анхдагч бохирдуулагч</v>
      </c>
      <c r="AT143" s="7" t="str">
        <f>IFERROR(__xludf.DUMMYFUNCTION("GoogleTranslate(C143, ""en"", ""ne"")"),"प्राथमिक प्रदूषक")</f>
        <v>प्राथमिक प्रदूषक</v>
      </c>
      <c r="AU143" s="7" t="str">
        <f>IFERROR(__xludf.DUMMYFUNCTION("GoogleTranslate(C143, ""en"", ""nb"")"),"Primær forurensning")</f>
        <v>Primær forurensning</v>
      </c>
      <c r="AV143" s="7" t="str">
        <f>IFERROR(__xludf.DUMMYFUNCTION("GoogleTranslate(C143, ""en"", ""fa"")"),"آلاینده اولیه")</f>
        <v>آلاینده اولیه</v>
      </c>
      <c r="AW143" s="7" t="str">
        <f>IFERROR(__xludf.DUMMYFUNCTION("GoogleTranslate(C143, ""en"", ""pl"")"),"Pierwotna substancja zanieczyszczająca")</f>
        <v>Pierwotna substancja zanieczyszczająca</v>
      </c>
      <c r="AX143" s="7" t="str">
        <f>IFERROR(__xludf.DUMMYFUNCTION("GoogleTranslate(C143, ""en"", ""pt"")"),"Poluente Primário")</f>
        <v>Poluente Primário</v>
      </c>
      <c r="AY143" s="7" t="str">
        <f>IFERROR(__xludf.DUMMYFUNCTION("GoogleTranslate(C143, ""en"", ""ro"")"),"Poluant primar")</f>
        <v>Poluant primar</v>
      </c>
      <c r="AZ143" s="7" t="str">
        <f>IFERROR(__xludf.DUMMYFUNCTION("GoogleTranslate(C143, ""en"", ""ru"")"),"Первичный загрязнитель")</f>
        <v>Первичный загрязнитель</v>
      </c>
      <c r="BA143" s="7" t="str">
        <f>IFERROR(__xludf.DUMMYFUNCTION("GoogleTranslate(C143, ""en"", ""sr"")"),"Примарни загађивач")</f>
        <v>Примарни загађивач</v>
      </c>
      <c r="BB143" s="7" t="str">
        <f>IFERROR(__xludf.DUMMYFUNCTION("GoogleTranslate(C143, ""en"", ""si"")"),"ප්‍රාථමික දූෂක")</f>
        <v>ප්‍රාථමික දූෂක</v>
      </c>
      <c r="BC143" s="7" t="str">
        <f>IFERROR(__xludf.DUMMYFUNCTION("GoogleTranslate(C143, ""en"", ""sk"")"),"Primárna znečisťujúca látka")</f>
        <v>Primárna znečisťujúca látka</v>
      </c>
      <c r="BD143" s="7" t="str">
        <f>IFERROR(__xludf.DUMMYFUNCTION("GoogleTranslate(C143, ""en"", ""sl"")"),"Primarni onesnaževalec")</f>
        <v>Primarni onesnaževalec</v>
      </c>
      <c r="BE143" s="7" t="str">
        <f>IFERROR(__xludf.DUMMYFUNCTION("GoogleTranslate(C143, ""en"", ""es"")"),"Contaminante primario")</f>
        <v>Contaminante primario</v>
      </c>
      <c r="BF143" s="7" t="str">
        <f>IFERROR(__xludf.DUMMYFUNCTION("GoogleTranslate(C143, ""en"", ""sw"")"),"Kichafuzi cha Msingi")</f>
        <v>Kichafuzi cha Msingi</v>
      </c>
      <c r="BG143" s="7" t="str">
        <f>IFERROR(__xludf.DUMMYFUNCTION("GoogleTranslate(C143, ""en"", ""sv"")"),"Primär förorening")</f>
        <v>Primär förorening</v>
      </c>
      <c r="BH143" s="7" t="str">
        <f>IFERROR(__xludf.DUMMYFUNCTION("GoogleTranslate(C143, ""en"", ""te"")"),"ప్రాథమిక కాలుష్య కారకం")</f>
        <v>ప్రాథమిక కాలుష్య కారకం</v>
      </c>
      <c r="BI143" s="7" t="str">
        <f>IFERROR(__xludf.DUMMYFUNCTION("GoogleTranslate(C143, ""en"", ""th"")"),"มลพิษเบื้องต้น")</f>
        <v>มลพิษเบื้องต้น</v>
      </c>
      <c r="BJ143" s="7" t="str">
        <f>IFERROR(__xludf.DUMMYFUNCTION("GoogleTranslate(C143, ""en"", ""tr"")"),"Birincil Kirletici")</f>
        <v>Birincil Kirletici</v>
      </c>
      <c r="BK143" s="7" t="str">
        <f>IFERROR(__xludf.DUMMYFUNCTION("GoogleTranslate(C143, ""en"", ""uk"")"),"Основний забруднювач")</f>
        <v>Основний забруднювач</v>
      </c>
      <c r="BL143" s="7" t="str">
        <f>IFERROR(__xludf.DUMMYFUNCTION("GoogleTranslate(C143, ""en"", ""zu"")"),"Ukungcola Okuyinhloko")</f>
        <v>Ukungcola Okuyinhloko</v>
      </c>
    </row>
    <row r="144">
      <c r="A144" s="5" t="str">
        <f t="shared" si="1"/>
        <v>PM2.5_(Particles_matter_under_2.5μm)</v>
      </c>
      <c r="B144" s="6" t="s">
        <v>200</v>
      </c>
      <c r="C144" s="5" t="str">
        <f t="shared" si="2"/>
        <v>PM2.5 (Particles matter under 2.5μm)</v>
      </c>
      <c r="D144" s="7" t="str">
        <f>IFERROR(__xludf.DUMMYFUNCTION("GoogleTranslate(C144, ""en"", ""es"")"),"PM2.5 (partículas importantes por debajo de 2,5 μm)")</f>
        <v>PM2.5 (partículas importantes por debajo de 2,5 μm)</v>
      </c>
      <c r="E144" s="7" t="str">
        <f>IFERROR(__xludf.DUMMYFUNCTION("GoogleTranslate(C144, ""en"", ""ar"")"),"PM2.5 (الجسيمات أقل من 2.5 ميكرومتر)")</f>
        <v>PM2.5 (الجسيمات أقل من 2.5 ميكرومتر)</v>
      </c>
      <c r="F144" s="7" t="str">
        <f>IFERROR(__xludf.DUMMYFUNCTION("GoogleTranslate(C144, ""en"", ""hy"")"),"PM2.5 (2,5 մկմ-ից ցածր մասնիկները)")</f>
        <v>PM2.5 (2,5 մկմ-ից ցածր մասնիկները)</v>
      </c>
      <c r="G144" s="7" t="str">
        <f>IFERROR(__xludf.DUMMYFUNCTION("GoogleTranslate(C144, ""en"", ""vi"")"),"PM2.5 (Các hạt nhỏ dưới 2,5μm)")</f>
        <v>PM2.5 (Các hạt nhỏ dưới 2,5μm)</v>
      </c>
      <c r="H144" s="7" t="str">
        <f>IFERROR(__xludf.DUMMYFUNCTION("GoogleTranslate(C144, ""en"", ""az"")"),"PM2.5 (2.5μm-dən aşağı hissəciklər)")</f>
        <v>PM2.5 (2.5μm-dən aşağı hissəciklər)</v>
      </c>
      <c r="I144" s="7" t="str">
        <f>IFERROR(__xludf.DUMMYFUNCTION("GoogleTranslate(C144, ""en"", ""eu"")"),"PM2,5 (partikulek 2,5 μm-tik beherako materia)")</f>
        <v>PM2,5 (partikulek 2,5 μm-tik beherako materia)</v>
      </c>
      <c r="J144" s="7" t="str">
        <f>IFERROR(__xludf.DUMMYFUNCTION("GoogleTranslate(C144, ""en"", ""be"")"),"PM2,5 (часціцы менш за 2,5 мкм)")</f>
        <v>PM2,5 (часціцы менш за 2,5 мкм)</v>
      </c>
      <c r="K144" s="7" t="str">
        <f>IFERROR(__xludf.DUMMYFUNCTION("GoogleTranslate(C144, ""en"", ""bn"")"),"PM2.5 (2.5μm এর নিচে কণার ব্যাপার)")</f>
        <v>PM2.5 (2.5μm এর নিচে কণার ব্যাপার)</v>
      </c>
      <c r="L144" s="7" t="str">
        <f>IFERROR(__xludf.DUMMYFUNCTION("GoogleTranslate(C144, ""en"", ""bg"")"),"PM2.5 (Материални частици под 2,5 μm)")</f>
        <v>PM2.5 (Материални частици под 2,5 μm)</v>
      </c>
      <c r="M144" s="7" t="str">
        <f>IFERROR(__xludf.DUMMYFUNCTION("GoogleTranslate(C144, ""en"", ""my"")"),"PM2.5 (အမှုန်အမွှားများသည် 2.5μm အောက်)၊")</f>
        <v>PM2.5 (အမှုန်အမွှားများသည် 2.5μm အောက်)၊</v>
      </c>
      <c r="N144" s="7" t="str">
        <f>IFERROR(__xludf.DUMMYFUNCTION("GoogleTranslate(C144, ""en"", ""ca"")"),"PM2,5 (les partícules importen per sota de 2,5 μm)")</f>
        <v>PM2,5 (les partícules importen per sota de 2,5 μm)</v>
      </c>
      <c r="O144" s="7" t="str">
        <f>IFERROR(__xludf.DUMMYFUNCTION("GoogleTranslate(C144, ""en"", ""zh-cn"")"),"PM2.5（2.5μm以下颗粒物）")</f>
        <v>PM2.5（2.5μm以下颗粒物）</v>
      </c>
      <c r="P144" s="7" t="str">
        <f>IFERROR(__xludf.DUMMYFUNCTION("GoogleTranslate(C144, ""en"", ""zh-TW"")"),"PM2.5（2.5μm以下粒狀物）")</f>
        <v>PM2.5（2.5μm以下粒狀物）</v>
      </c>
      <c r="Q144" s="7" t="str">
        <f>IFERROR(__xludf.DUMMYFUNCTION("GoogleTranslate(C144, ""en"", ""hr"")"),"PM2,5 (čestice materije ispod 2,5 μm)")</f>
        <v>PM2,5 (čestice materije ispod 2,5 μm)</v>
      </c>
      <c r="R144" s="7" t="str">
        <f>IFERROR(__xludf.DUMMYFUNCTION("GoogleTranslate(C144, ""en"", ""cs"")"),"PM2,5 (částice o velikosti menší než 2,5 μm)")</f>
        <v>PM2,5 (částice o velikosti menší než 2,5 μm)</v>
      </c>
      <c r="S144" s="7" t="str">
        <f>IFERROR(__xludf.DUMMYFUNCTION("GoogleTranslate(C144, ""en"", ""da"")"),"PM2.5 (partikler er mindre end 2,5 μm)")</f>
        <v>PM2.5 (partikler er mindre end 2,5 μm)</v>
      </c>
      <c r="T144" s="7" t="str">
        <f>IFERROR(__xludf.DUMMYFUNCTION("GoogleTranslate(C144, ""en"", ""nl"")"),"PM2,5 (deeltjes zijn kleiner dan 2,5 μm)")</f>
        <v>PM2,5 (deeltjes zijn kleiner dan 2,5 μm)</v>
      </c>
      <c r="U144" s="7" t="str">
        <f>IFERROR(__xludf.DUMMYFUNCTION("GoogleTranslate(C144, ""en"", ""et"")"),"PM2,5 (osakesed on alla 2,5 μm)")</f>
        <v>PM2,5 (osakesed on alla 2,5 μm)</v>
      </c>
      <c r="V144" s="5" t="str">
        <f t="shared" si="3"/>
        <v>PM2.5 (Particles matter under 2.5μm)</v>
      </c>
      <c r="W144" s="7" t="str">
        <f>IFERROR(__xludf.DUMMYFUNCTION("GoogleTranslate(C144, ""en"", ""fi"")"),"PM2,5 (hiukkasten materiaali on alle 2,5 μm)")</f>
        <v>PM2,5 (hiukkasten materiaali on alle 2,5 μm)</v>
      </c>
      <c r="X144" s="7" t="str">
        <f>IFERROR(__xludf.DUMMYFUNCTION("GoogleTranslate(C144, ""en"", ""fr"")"),"PM2,5 (les particules comptent moins de 2,5 μm)")</f>
        <v>PM2,5 (les particules comptent moins de 2,5 μm)</v>
      </c>
      <c r="Y144" s="7" t="str">
        <f>IFERROR(__xludf.DUMMYFUNCTION("GoogleTranslate(C144, ""en"", ""de"")"),"PM2,5 (Partikel sind kleiner als 2,5 μm)")</f>
        <v>PM2,5 (Partikel sind kleiner als 2,5 μm)</v>
      </c>
      <c r="Z144" s="7" t="str">
        <f>IFERROR(__xludf.DUMMYFUNCTION("GoogleTranslate(C144, ""en"", ""el"")"),"PM2,5 (Τα σωματίδια κάτω από 2,5 μm)")</f>
        <v>PM2,5 (Τα σωματίδια κάτω από 2,5 μm)</v>
      </c>
      <c r="AA144" s="7" t="str">
        <f>IFERROR(__xludf.DUMMYFUNCTION("GoogleTranslate(C144, ""en"", ""iw"")"),"PM2.5 (חלקיקים חומרים מתחת ל-2.5μm)")</f>
        <v>PM2.5 (חלקיקים חומרים מתחת ל-2.5μm)</v>
      </c>
      <c r="AB144" s="7" t="str">
        <f>IFERROR(__xludf.DUMMYFUNCTION("GoogleTranslate(C144, ""en"", ""hi"")"),"PM2.5 (2.5μm से कम के कण मायने रखते हैं)")</f>
        <v>PM2.5 (2.5μm से कम के कण मायने रखते हैं)</v>
      </c>
      <c r="AC144" s="7" t="str">
        <f>IFERROR(__xludf.DUMMYFUNCTION("GoogleTranslate(C144, ""en"", ""hu"")"),"PM2,5 (2,5 μm alatti részecskék)")</f>
        <v>PM2,5 (2,5 μm alatti részecskék)</v>
      </c>
      <c r="AD144" s="7" t="str">
        <f>IFERROR(__xludf.DUMMYFUNCTION("GoogleTranslate(C144, ""en"", ""is"")"),"PM2.5 (agnir skipta minna en 2.5μm)")</f>
        <v>PM2.5 (agnir skipta minna en 2.5μm)</v>
      </c>
      <c r="AE144" s="7" t="str">
        <f>IFERROR(__xludf.DUMMYFUNCTION("GoogleTranslate(C144, ""en"", ""id"")"),"PM2.5 (Partikel penting di bawah 2,5μm)")</f>
        <v>PM2.5 (Partikel penting di bawah 2,5μm)</v>
      </c>
      <c r="AF144" s="7" t="str">
        <f>IFERROR(__xludf.DUMMYFUNCTION("GoogleTranslate(C144, ""en"", ""in"")"),"PM2.5 (Partikel penting di bawah 2,5μm)")</f>
        <v>PM2.5 (Partikel penting di bawah 2,5μm)</v>
      </c>
      <c r="AG144" s="7" t="str">
        <f>IFERROR(__xludf.DUMMYFUNCTION("GoogleTranslate(C144, ""en"", ""it"")"),"PM2.5 (Le particelle contano sotto i 2,5μm)")</f>
        <v>PM2.5 (Le particelle contano sotto i 2,5μm)</v>
      </c>
      <c r="AH144" s="7" t="str">
        <f>IFERROR(__xludf.DUMMYFUNCTION("GoogleTranslate(C144, ""en"", ""ja"")"),"PM2.5（2.5μm以下の粒子状物質）")</f>
        <v>PM2.5（2.5μm以下の粒子状物質）</v>
      </c>
      <c r="AI144" s="7" t="str">
        <f>IFERROR(__xludf.DUMMYFUNCTION("GoogleTranslate(C144, ""en"", ""kn"")"),"PM2.5 (2.5μm ಗಿಂತ ಕಡಿಮೆ ಇರುವ ಕಣಗಳು)")</f>
        <v>PM2.5 (2.5μm ಗಿಂತ ಕಡಿಮೆ ಇರುವ ಕಣಗಳು)</v>
      </c>
      <c r="AJ144" s="7" t="str">
        <f>IFERROR(__xludf.DUMMYFUNCTION("GoogleTranslate(C144, ""en"", ""km"")"),"PM2.5 (ភាគល្អិតមានទម្ងន់ក្រោម 2.5μm)")</f>
        <v>PM2.5 (ភាគល្អិតមានទម្ងន់ក្រោម 2.5μm)</v>
      </c>
      <c r="AK144" s="7" t="str">
        <f>IFERROR(__xludf.DUMMYFUNCTION("GoogleTranslate(C144, ""en"", ""ko"")"),"PM2.5(2.5μm 이하의 입자 물질)")</f>
        <v>PM2.5(2.5μm 이하의 입자 물질)</v>
      </c>
      <c r="AL144" s="7" t="str">
        <f>IFERROR(__xludf.DUMMYFUNCTION("GoogleTranslate(C144, ""en"", ""lo"")"),"PM2.5 (ອະນຸພາກສຳຄັນກວ່າ 2.5μm)")</f>
        <v>PM2.5 (ອະນຸພາກສຳຄັນກວ່າ 2.5μm)</v>
      </c>
      <c r="AM144" s="7" t="str">
        <f>IFERROR(__xludf.DUMMYFUNCTION("GoogleTranslate(C144, ""en"", ""lv"")"),"PM2,5 (daļiņas mazākas par 2,5 μm)")</f>
        <v>PM2,5 (daļiņas mazākas par 2,5 μm)</v>
      </c>
      <c r="AN144" s="7" t="str">
        <f>IFERROR(__xludf.DUMMYFUNCTION("GoogleTranslate(C144, ""en"", ""lt"")"),"PM2,5 (dalelės mažesnės nei 2,5 μm)")</f>
        <v>PM2,5 (dalelės mažesnės nei 2,5 μm)</v>
      </c>
      <c r="AO144" s="7" t="str">
        <f>IFERROR(__xludf.DUMMYFUNCTION("GoogleTranslate(C144, ""en"", ""mk"")"),"PM2.5 (Честички се материја под 2,5 μm)")</f>
        <v>PM2.5 (Честички се материја под 2,5 μm)</v>
      </c>
      <c r="AP144" s="7" t="str">
        <f>IFERROR(__xludf.DUMMYFUNCTION("GoogleTranslate(C144, ""en"", ""ms"")"),"PM2.5 (Jiri zarah di bawah 2.5μm)")</f>
        <v>PM2.5 (Jiri zarah di bawah 2.5μm)</v>
      </c>
      <c r="AQ144" s="7" t="str">
        <f>IFERROR(__xludf.DUMMYFUNCTION("GoogleTranslate(C144, ""en"", ""ml"")"),"PM2.5 (2.5μm-ൽ താഴെയുള്ള കണികകൾ)")</f>
        <v>PM2.5 (2.5μm-ൽ താഴെയുള്ള കണികകൾ)</v>
      </c>
      <c r="AR144" s="7" t="str">
        <f>IFERROR(__xludf.DUMMYFUNCTION("GoogleTranslate(C144, ""en"", ""mr"")"),"PM2.5 (2.5μm अंतर्गत कणांचे प्रमाण)")</f>
        <v>PM2.5 (2.5μm अंतर्गत कणांचे प्रमाण)</v>
      </c>
      <c r="AS144" s="7" t="str">
        <f>IFERROR(__xludf.DUMMYFUNCTION("GoogleTranslate(C144, ""en"", ""mn"")"),"PM2.5 (2.5μm-ээс бага хэмжээтэй тоосонцор)")</f>
        <v>PM2.5 (2.5μm-ээс бага хэмжээтэй тоосонцор)</v>
      </c>
      <c r="AT144" s="7" t="str">
        <f>IFERROR(__xludf.DUMMYFUNCTION("GoogleTranslate(C144, ""en"", ""ne"")"),"PM2.5 (2.5μm भन्दा कम कणहरू)")</f>
        <v>PM2.5 (2.5μm भन्दा कम कणहरू)</v>
      </c>
      <c r="AU144" s="7" t="str">
        <f>IFERROR(__xludf.DUMMYFUNCTION("GoogleTranslate(C144, ""en"", ""nb"")"),"PM2,5 (partikler er mindre enn 2,5 μm)")</f>
        <v>PM2,5 (partikler er mindre enn 2,5 μm)</v>
      </c>
      <c r="AV144" s="7" t="str">
        <f>IFERROR(__xludf.DUMMYFUNCTION("GoogleTranslate(C144, ""en"", ""fa"")"),"PM2.5 (ذرات زیر 2.5 میکرومتر)")</f>
        <v>PM2.5 (ذرات زیر 2.5 میکرومتر)</v>
      </c>
      <c r="AW144" s="7" t="str">
        <f>IFERROR(__xludf.DUMMYFUNCTION("GoogleTranslate(C144, ""en"", ""pl"")"),"PM2,5 (Cząsteczki mają znaczenie poniżej 2,5 μm)")</f>
        <v>PM2,5 (Cząsteczki mają znaczenie poniżej 2,5 μm)</v>
      </c>
      <c r="AX144" s="7" t="str">
        <f>IFERROR(__xludf.DUMMYFUNCTION("GoogleTranslate(C144, ""en"", ""pt"")"),"PM2.5 (partículas importam abaixo de 2,5 μm)")</f>
        <v>PM2.5 (partículas importam abaixo de 2,5 μm)</v>
      </c>
      <c r="AY144" s="7" t="str">
        <f>IFERROR(__xludf.DUMMYFUNCTION("GoogleTranslate(C144, ""en"", ""ro"")"),"PM2.5 (Particulele contează sub 2,5 μm)")</f>
        <v>PM2.5 (Particulele contează sub 2,5 μm)</v>
      </c>
      <c r="AZ144" s="7" t="str">
        <f>IFERROR(__xludf.DUMMYFUNCTION("GoogleTranslate(C144, ""en"", ""ru"")"),"PM2,5 (частицы размером менее 2,5 мкм)")</f>
        <v>PM2,5 (частицы размером менее 2,5 мкм)</v>
      </c>
      <c r="BA144" s="7" t="str">
        <f>IFERROR(__xludf.DUMMYFUNCTION("GoogleTranslate(C144, ""en"", ""sr"")"),"ПМ2,5 (честице су мање од 2,5 μм)")</f>
        <v>ПМ2,5 (честице су мање од 2,5 μм)</v>
      </c>
      <c r="BB144" s="7" t="str">
        <f>IFERROR(__xludf.DUMMYFUNCTION("GoogleTranslate(C144, ""en"", ""si"")"),"PM2.5 (2.5μm ට අඩු අංශු පදාර්ථ)")</f>
        <v>PM2.5 (2.5μm ට අඩු අංශු පදාර්ථ)</v>
      </c>
      <c r="BC144" s="7" t="str">
        <f>IFERROR(__xludf.DUMMYFUNCTION("GoogleTranslate(C144, ""en"", ""sk"")"),"PM2,5 (častice menšie ako 2,5 μm)")</f>
        <v>PM2,5 (častice menšie ako 2,5 μm)</v>
      </c>
      <c r="BD144" s="7" t="str">
        <f>IFERROR(__xludf.DUMMYFUNCTION("GoogleTranslate(C144, ""en"", ""sl"")"),"PM2,5 (delci pod 2,5 μm)")</f>
        <v>PM2,5 (delci pod 2,5 μm)</v>
      </c>
      <c r="BE144" s="7" t="str">
        <f>IFERROR(__xludf.DUMMYFUNCTION("GoogleTranslate(C144, ""en"", ""es"")"),"PM2.5 (partículas importantes por debajo de 2,5 μm)")</f>
        <v>PM2.5 (partículas importantes por debajo de 2,5 μm)</v>
      </c>
      <c r="BF144" s="7" t="str">
        <f>IFERROR(__xludf.DUMMYFUNCTION("GoogleTranslate(C144, ""en"", ""sw"")"),"PM2.5 (Chembe ni muhimu chini ya 2.5μm)")</f>
        <v>PM2.5 (Chembe ni muhimu chini ya 2.5μm)</v>
      </c>
      <c r="BG144" s="7" t="str">
        <f>IFERROR(__xludf.DUMMYFUNCTION("GoogleTranslate(C144, ""en"", ""sv"")"),"PM2,5 (partiklar är mindre än 2,5 μm)")</f>
        <v>PM2,5 (partiklar är mindre än 2,5 μm)</v>
      </c>
      <c r="BH144" s="7" t="str">
        <f>IFERROR(__xludf.DUMMYFUNCTION("GoogleTranslate(C144, ""en"", ""te"")"),"PM2.5 (కణాలు 2.5μm లోపు పదార్థం)")</f>
        <v>PM2.5 (కణాలు 2.5μm లోపు పదార్థం)</v>
      </c>
      <c r="BI144" s="7" t="str">
        <f>IFERROR(__xludf.DUMMYFUNCTION("GoogleTranslate(C144, ""en"", ""th"")"),"PM2.5 (อนุภาคมีขนาดไม่เกิน 2.5μm)")</f>
        <v>PM2.5 (อนุภาคมีขนาดไม่เกิน 2.5μm)</v>
      </c>
      <c r="BJ144" s="7" t="str">
        <f>IFERROR(__xludf.DUMMYFUNCTION("GoogleTranslate(C144, ""en"", ""tr"")"),"PM2.5 (2,5μm'nin altındaki parçacıklar önemlidir)")</f>
        <v>PM2.5 (2,5μm'nin altındaki parçacıklar önemlidir)</v>
      </c>
      <c r="BK144" s="7" t="str">
        <f>IFERROR(__xludf.DUMMYFUNCTION("GoogleTranslate(C144, ""en"", ""uk"")"),"PM2,5 (частинки розміром менше 2,5 мкм)")</f>
        <v>PM2,5 (частинки розміром менше 2,5 мкм)</v>
      </c>
      <c r="BL144" s="7" t="str">
        <f>IFERROR(__xludf.DUMMYFUNCTION("GoogleTranslate(C144, ""en"", ""zu"")"),"PM2.5 (Izinhlayiya zibalulekile ngaphansi kuka-2.5μm)")</f>
        <v>PM2.5 (Izinhlayiya zibalulekile ngaphansi kuka-2.5μm)</v>
      </c>
    </row>
    <row r="145">
      <c r="A145" s="5" t="str">
        <f t="shared" si="1"/>
        <v>PM2.5_particles_are_small_enough_to_enter_the_bloodstream_and_typically_result_from_wildfires,_smoke_ashes,_bacteria_or_small_dust_particles</v>
      </c>
      <c r="B145" s="6" t="s">
        <v>201</v>
      </c>
      <c r="C145" s="5" t="str">
        <f t="shared" si="2"/>
        <v>PM2.5 particles are small enough to enter the bloodstream and typically result from wildfires, smoke ashes, bacteria or small dust particles</v>
      </c>
      <c r="D145" s="7" t="str">
        <f>IFERROR(__xludf.DUMMYFUNCTION("GoogleTranslate(C145,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E145" s="7" t="str">
        <f>IFERROR(__xludf.DUMMYFUNCTION("GoogleTranslate(C145, ""en"", ""ar"")"),"جسيمات PM2.5 صغيرة بما يكفي لدخول مجرى الدم وتنتج عادةً عن حرائق الغابات أو الرماد الدخاني أو البكتيريا أو جزيئات الغبار الصغيرة")</f>
        <v>جسيمات PM2.5 صغيرة بما يكفي لدخول مجرى الدم وتنتج عادةً عن حرائق الغابات أو الرماد الدخاني أو البكتيريا أو جزيئات الغبار الصغيرة</v>
      </c>
      <c r="F145" s="7" t="str">
        <f>IFERROR(__xludf.DUMMYFUNCTION("GoogleTranslate(C145, ""en"", ""hy"")"),"PM2.5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f>
        <v>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v>
      </c>
      <c r="G145" s="7" t="str">
        <f>IFERROR(__xludf.DUMMYFUNCTION("GoogleTranslate(C145, ""en"", ""vi"")"),"Các hạt PM2.5 đủ nhỏ để đi vào máu và thường là kết quả của cháy rừng, tro khói, vi khuẩn hoặc các hạt bụi nhỏ")</f>
        <v>Các hạt PM2.5 đủ nhỏ để đi vào máu và thường là kết quả của cháy rừng, tro khói, vi khuẩn hoặc các hạt bụi nhỏ</v>
      </c>
      <c r="H145" s="7" t="str">
        <f>IFERROR(__xludf.DUMMYFUNCTION("GoogleTranslate(C145, ""en"", ""az"")"),"PM2.5 hissəcikləri qan dövranına daxil olmaq üçün kifayət qədər kiçikdir və adətən meşə yanğınları, tüstü külləri, bakteriyalar və ya kiçik toz hissəcikləri nəticəsində yaranır.")</f>
        <v>PM2.5 hissəcikləri qan dövranına daxil olmaq üçün kifayət qədər kiçikdir və adətən meşə yanğınları, tüstü külləri, bakteriyalar və ya kiçik toz hissəcikləri nəticəsində yaranır.</v>
      </c>
      <c r="I145" s="7" t="str">
        <f>IFERROR(__xludf.DUMMYFUNCTION("GoogleTranslate(C145, ""en"", ""eu"")"),"PM2,5 partikulak odolera sartzeko bezain txikiak dira eta normalean suteen, ke errautsen, bakterioen edo hauts partikula txikien ondorioz sortzen dira.")</f>
        <v>PM2,5 partikulak odolera sartzeko bezain txikiak dira eta normalean suteen, ke errautsen, bakterioen edo hauts partikula txikien ondorioz sortzen dira.</v>
      </c>
      <c r="J145" s="7" t="str">
        <f>IFERROR(__xludf.DUMMYFUNCTION("GoogleTranslate(C145, ""en"", ""be"")"),"Часціцы PM2,5 досыць малыя, каб патрапіць у кроў, і звычайна ўзнікаюць у выніку лясных пажараў, попелу дыму, бактэрый або дробных часціц пылу")</f>
        <v>Часціцы PM2,5 досыць малыя, каб патрапіць у кроў, і звычайна ўзнікаюць у выніку лясных пажараў, попелу дыму, бактэрый або дробных часціц пылу</v>
      </c>
      <c r="K145" s="7" t="str">
        <f>IFERROR(__xludf.DUMMYFUNCTION("GoogleTranslate(C145, ""en"", ""bn"")"),"PM2.5 কণা রক্তের প্রবাহে প্রবেশ করার জন্য যথেষ্ট ছোট এবং সাধারণত দাবানল, ধোঁয়ার ছাই, ব্যাকটেরিয়া বা ছোট ধুলো কণার ফলে")</f>
        <v>PM2.5 কণা রক্তের প্রবাহে প্রবেশ করার জন্য যথেষ্ট ছোট এবং সাধারণত দাবানল, ধোঁয়ার ছাই, ব্যাকটেরিয়া বা ছোট ধুলো কণার ফলে</v>
      </c>
      <c r="L145" s="7" t="str">
        <f>IFERROR(__xludf.DUMMYFUNCTION("GoogleTranslate(C145, ""en"", ""bg"")"),"Частиците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f>
        <v>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v>
      </c>
      <c r="M145" s="7" t="str">
        <f>IFERROR(__xludf.DUMMYFUNCTION("GoogleTranslate(C145, ""en"", ""my"")"),"PM2.5 အမှုန်အမွှားများသည် သွေးကြောထဲသို့ဝင်ရောက်ရန် လုံလောက်သောသေးငယ်ပြီး များသောအားဖြင့် တောမီးများ၊ မီးခိုးပြာများ၊")</f>
        <v>PM2.5 အမှုန်အမွှားများသည် သွေးကြောထဲသို့ဝင်ရောက်ရန် လုံလောက်သောသေးငယ်ပြီး များသောအားဖြင့် တောမီးများ၊ မီးခိုးပြာများ၊</v>
      </c>
      <c r="N145" s="7" t="str">
        <f>IFERROR(__xludf.DUMMYFUNCTION("GoogleTranslate(C145, ""en"", ""ca"")"),"Les partícules de PM2,5 són prou petites com per entrar al torrent sanguini i normalment resulten d'incendis forestals, cendres de fum, bacteris o petites partícules de pols.")</f>
        <v>Les partícules de PM2,5 són prou petites com per entrar al torrent sanguini i normalment resulten d'incendis forestals, cendres de fum, bacteris o petites partícules de pols.</v>
      </c>
      <c r="O145" s="7" t="str">
        <f>IFERROR(__xludf.DUMMYFUNCTION("GoogleTranslate(C145, ""en"", ""zh-cn"")"),"PM2.5 颗粒小到足以进入血液，通常由野火、烟灰、细菌或小灰尘颗粒产生")</f>
        <v>PM2.5 颗粒小到足以进入血液，通常由野火、烟灰、细菌或小灰尘颗粒产生</v>
      </c>
      <c r="P145" s="7" t="str">
        <f>IFERROR(__xludf.DUMMYFUNCTION("GoogleTranslate(C145, ""en"", ""zh-TW"")"),"PM2.5 顆粒小到足以進入血液，通常由野火、煙灰、細菌或小灰塵顆粒產生")</f>
        <v>PM2.5 顆粒小到足以進入血液，通常由野火、煙灰、細菌或小灰塵顆粒產生</v>
      </c>
      <c r="Q145" s="7" t="str">
        <f>IFERROR(__xludf.DUMMYFUNCTION("GoogleTranslate(C145, ""en"", ""hr"")"),"Čestice PM2.5 dovoljno su male da uđu u krvotok i obično nastaju od šumskih požara, dimnog pepela, bakterija ili malih čestica prašine")</f>
        <v>Čestice PM2.5 dovoljno su male da uđu u krvotok i obično nastaju od šumskih požara, dimnog pepela, bakterija ili malih čestica prašine</v>
      </c>
      <c r="R145" s="7" t="str">
        <f>IFERROR(__xludf.DUMMYFUNCTION("GoogleTranslate(C145, ""en"", ""cs"")"),"Částice PM2,5 jsou dostatečně malé na to, aby se dostaly do krevního oběhu a obvykle pocházejí z lesních požárů, kouřového popela, bakterií nebo malých prachových částic.")</f>
        <v>Částice PM2,5 jsou dostatečně malé na to, aby se dostaly do krevního oběhu a obvykle pocházejí z lesních požárů, kouřového popela, bakterií nebo malých prachových částic.</v>
      </c>
      <c r="S145" s="7" t="str">
        <f>IFERROR(__xludf.DUMMYFUNCTION("GoogleTranslate(C145, ""en"", ""da"")"),"PM2.5-partikler er små nok til at komme ind i blodbanen og skyldes typisk naturbrande, røgaske, bakterier eller små støvpartikler")</f>
        <v>PM2.5-partikler er små nok til at komme ind i blodbanen og skyldes typisk naturbrande, røgaske, bakterier eller små støvpartikler</v>
      </c>
      <c r="T145" s="7" t="str">
        <f>IFERROR(__xludf.DUMMYFUNCTION("GoogleTranslate(C145, ""en"", ""nl"")"),"PM2.5-deeltjes zijn klein genoeg om in de bloedbaan terecht te komen en zijn meestal het gevolg van bosbranden, rookas, bacteriën of kleine stofdeeltjes")</f>
        <v>PM2.5-deeltjes zijn klein genoeg om in de bloedbaan terecht te komen en zijn meestal het gevolg van bosbranden, rookas, bacteriën of kleine stofdeeltjes</v>
      </c>
      <c r="U145" s="7" t="str">
        <f>IFERROR(__xludf.DUMMYFUNCTION("GoogleTranslate(C145, ""en"", ""et"")"),"PM2,5 osakesed on vereringesse sisenemiseks piisavalt väikesed ja tekivad tavaliselt metsatulekahjude, suitsutuha, bakterite või väikeste tolmuosakeste tagajärjel")</f>
        <v>PM2,5 osakesed on vereringesse sisenemiseks piisavalt väikesed ja tekivad tavaliselt metsatulekahjude, suitsutuha, bakterite või väikeste tolmuosakeste tagajärjel</v>
      </c>
      <c r="V145" s="5" t="str">
        <f t="shared" si="3"/>
        <v>PM2.5 particles are small enough to enter the bloodstream and typically result from wildfires, smoke ashes, bacteria or small dust particles</v>
      </c>
      <c r="W145" s="7" t="str">
        <f>IFERROR(__xludf.DUMMYFUNCTION("GoogleTranslate(C145, ""en"", ""fi"")"),"PM2.5-hiukkaset ovat riittävän pieniä päästäkseen verenkiertoon ja ovat tyypillisesti seurausta metsäpaloista, savutuhkasta, bakteereista tai pienistä pölyhiukkasista")</f>
        <v>PM2.5-hiukkaset ovat riittävän pieniä päästäkseen verenkiertoon ja ovat tyypillisesti seurausta metsäpaloista, savutuhkasta, bakteereista tai pienistä pölyhiukkasista</v>
      </c>
      <c r="X145" s="7" t="str">
        <f>IFERROR(__xludf.DUMMYFUNCTION("GoogleTranslate(C145, ""en"", ""fr"")"),"Les particules PM2,5 sont suffisamment petites pour pénétrer dans la circulation sanguine et résultent généralement d'incendies de forêt, de cendres de fumée, de bactéries ou de petites particules de poussière.")</f>
        <v>Les particules PM2,5 sont suffisamment petites pour pénétrer dans la circulation sanguine et résultent généralement d'incendies de forêt, de cendres de fumée, de bactéries ou de petites particules de poussière.</v>
      </c>
      <c r="Y145" s="7" t="str">
        <f>IFERROR(__xludf.DUMMYFUNCTION("GoogleTranslate(C145, ""en"", ""de"")"),"PM2,5-Partikel sind klein genug, um in den Blutkreislauf zu gelangen und entstehen typischerweise durch Waldbrände, Rauchasche, Bakterien oder kleine Staubpartikel")</f>
        <v>PM2,5-Partikel sind klein genug, um in den Blutkreislauf zu gelangen und entstehen typischerweise durch Waldbrände, Rauchasche, Bakterien oder kleine Staubpartikel</v>
      </c>
      <c r="Z145" s="7" t="str">
        <f>IFERROR(__xludf.DUMMYFUNCTION("GoogleTranslate(C145, ""en"", ""el"")"),"Τα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f>
        <v>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v>
      </c>
      <c r="AA145" s="7" t="str">
        <f>IFERROR(__xludf.DUMMYFUNCTION("GoogleTranslate(C145, ""en"", ""iw"")"),"חלקיקי PM2.5 קטנים מספיק כדי להיכנס לזרם הדם ובדרך כלל נובעים משריפות יער, אפר עשן, חיידקים או חלקיקי אבק קטנים")</f>
        <v>חלקיקי PM2.5 קטנים מספיק כדי להיכנס לזרם הדם ובדרך כלל נובעים משריפות יער, אפר עשן, חיידקים או חלקיקי אבק קטנים</v>
      </c>
      <c r="AB145" s="7" t="str">
        <f>IFERROR(__xludf.DUMMYFUNCTION("GoogleTranslate(C145, ""en"", ""hi"")"),"PM2.5 कण रक्तप्रवाह में प्रवेश करने के लिए काफी छोटे होते हैं और आमतौर पर जंगल की आग, धुएं की राख, बैक्टीरिया या छोटे धूल कणों के परिणामस्वरूप होते हैं")</f>
        <v>PM2.5 कण रक्तप्रवाह में प्रवेश करने के लिए काफी छोटे होते हैं और आमतौर पर जंगल की आग, धुएं की राख, बैक्टीरिया या छोटे धूल कणों के परिणामस्वरूप होते हैं</v>
      </c>
      <c r="AC145" s="7" t="str">
        <f>IFERROR(__xludf.DUMMYFUNCTION("GoogleTranslate(C145, ""en"", ""hu"")"),"A PM2.5 részecskék elég kicsik ahhoz, hogy bejussanak a véráramba, és jellemzően erdőtüzekből, füsthamuból, baktériumokból vagy apró porszemcsékből származnak")</f>
        <v>A PM2.5 részecskék elég kicsik ahhoz, hogy bejussanak a véráramba, és jellemzően erdőtüzekből, füsthamuból, baktériumokból vagy apró porszemcsékből származnak</v>
      </c>
      <c r="AD145" s="7" t="str">
        <f>IFERROR(__xludf.DUMMYFUNCTION("GoogleTranslate(C145, ""en"", ""is"")"),"PM2.5 agnir eru nógu litlar til að komast inn í blóðrásina og stafa venjulega af skógareldum, reykösku, bakteríum eða litlum rykagnum")</f>
        <v>PM2.5 agnir eru nógu litlar til að komast inn í blóðrásina og stafa venjulega af skógareldum, reykösku, bakteríum eða litlum rykagnum</v>
      </c>
      <c r="AE145" s="7" t="str">
        <f>IFERROR(__xludf.DUMMYFUNCTION("GoogleTranslate(C145, ""en"", ""id"")"),"Partikel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F145" s="7" t="str">
        <f>IFERROR(__xludf.DUMMYFUNCTION("GoogleTranslate(C145, ""en"", ""in"")"),"Partikel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G145" s="7" t="str">
        <f>IFERROR(__xludf.DUMMYFUNCTION("GoogleTranslate(C145, ""en"", ""it"")"),"Le particelle PM2,5 sono abbastanza piccole da entrare nel flusso sanguigno e in genere derivano da incendi, ceneri di fumo, batteri o piccole particelle di polvere")</f>
        <v>Le particelle PM2,5 sono abbastanza piccole da entrare nel flusso sanguigno e in genere derivano da incendi, ceneri di fumo, batteri o piccole particelle di polvere</v>
      </c>
      <c r="AH145" s="7" t="str">
        <f>IFERROR(__xludf.DUMMYFUNCTION("GoogleTranslate(C145, ""en"", ""ja"")"),"PM2.5 粒子は血流に入るほど小さく、通常は山火事、煙の灰、細菌、または小さな粉塵粒子によって発生します。")</f>
        <v>PM2.5 粒子は血流に入るほど小さく、通常は山火事、煙の灰、細菌、または小さな粉塵粒子によって発生します。</v>
      </c>
      <c r="AI145" s="7" t="str">
        <f>IFERROR(__xludf.DUMMYFUNCTION("GoogleTranslate(C145, ""en"", ""kn"")"),"PM2.5 ಕಣಗಳು ರಕ್ತಪ್ರವಾಹಕ್ಕೆ ಪ್ರವೇಶಿಸುವಷ್ಟು ಚಿಕ್ಕದಾಗಿದೆ ಮತ್ತು ಸಾಮಾನ್ಯವಾಗಿ ಕಾಳ್ಗಿಚ್ಚು, ಹೊಗೆ ಬೂದಿ, ಬ್ಯಾಕ್ಟೀರಿಯಾ ಅಥವಾ ಸಣ್ಣ ಧೂಳಿನ ಕಣಗಳಿಂದ ಉಂಟಾಗುತ್ತದೆ.")</f>
        <v>PM2.5 ಕಣಗಳು ರಕ್ತಪ್ರವಾಹಕ್ಕೆ ಪ್ರವೇಶಿಸುವಷ್ಟು ಚಿಕ್ಕದಾಗಿದೆ ಮತ್ತು ಸಾಮಾನ್ಯವಾಗಿ ಕಾಳ್ಗಿಚ್ಚು, ಹೊಗೆ ಬೂದಿ, ಬ್ಯಾಕ್ಟೀರಿಯಾ ಅಥವಾ ಸಣ್ಣ ಧೂಳಿನ ಕಣಗಳಿಂದ ಉಂಟಾಗುತ್ತದೆ.</v>
      </c>
      <c r="AJ145" s="7" t="str">
        <f>IFERROR(__xludf.DUMMYFUNCTION("GoogleTranslate(C145, ""en"", ""km"")"),"ភាគល្អិត PM2.5 មានទំហំតូចល្មមចូលទៅក្នុងចរន្តឈាម ហើយជាធម្មតាបណ្តាលមកពីភ្លើងឆេះព្រៃ ផេះផ្សែង បាក់តេរី ឬភាគល្អិតធូលីតូចៗ។")</f>
        <v>ភាគល្អិត PM2.5 មានទំហំតូចល្មមចូលទៅក្នុងចរន្តឈាម ហើយជាធម្មតាបណ្តាលមកពីភ្លើងឆេះព្រៃ ផេះផ្សែង បាក់តេរី ឬភាគល្អិតធូលីតូចៗ។</v>
      </c>
      <c r="AK145" s="7" t="str">
        <f>IFERROR(__xludf.DUMMYFUNCTION("GoogleTranslate(C145, ""en"", ""ko"")"),"PM2.5 입자는 혈류에 들어갈 만큼 작으며 일반적으로 산불, 연기 재, 박테리아 또는 작은 먼지 입자로 인해 발생합니다.")</f>
        <v>PM2.5 입자는 혈류에 들어갈 만큼 작으며 일반적으로 산불, 연기 재, 박테리아 또는 작은 먼지 입자로 인해 발생합니다.</v>
      </c>
      <c r="AL145" s="7" t="str">
        <f>IFERROR(__xludf.DUMMYFUNCTION("GoogleTranslate(C145, ""en"", ""lo"")"),"ອະນຸພາກ PM2.5 ແມ່ນມີຂະໜາດນ້ອຍພໍທີ່ຈະເຂົ້າສູ່ກະແສເລືອດ ແລະ ໂດຍທົ່ວໄປແລ້ວເກີດຈາກໄຟໄໝ້ປ່າ, ຂີ້ເຖົ່າຄວັນໄຟ, ເຊື້ອແບັກທີເຣັຍ ຫຼື ຂີ້ຝຸ່ນນ້ອຍໆ.")</f>
        <v>ອະນຸພາກ PM2.5 ແມ່ນມີຂະໜາດນ້ອຍພໍທີ່ຈະເຂົ້າສູ່ກະແສເລືອດ ແລະ ໂດຍທົ່ວໄປແລ້ວເກີດຈາກໄຟໄໝ້ປ່າ, ຂີ້ເຖົ່າຄວັນໄຟ, ເຊື້ອແບັກທີເຣັຍ ຫຼື ຂີ້ຝຸ່ນນ້ອຍໆ.</v>
      </c>
      <c r="AM145" s="7" t="str">
        <f>IFERROR(__xludf.DUMMYFUNCTION("GoogleTranslate(C145, ""en"", ""lv"")"),"PM2.5 daļiņas ir pietiekami mazas, lai iekļūtu asinsritē, un tās parasti rodas ugunsgrēku, dūmu pelnu, baktēriju vai sīku putekļu daļiņu rezultātā.")</f>
        <v>PM2.5 daļiņas ir pietiekami mazas, lai iekļūtu asinsritē, un tās parasti rodas ugunsgrēku, dūmu pelnu, baktēriju vai sīku putekļu daļiņu rezultātā.</v>
      </c>
      <c r="AN145" s="7" t="str">
        <f>IFERROR(__xludf.DUMMYFUNCTION("GoogleTranslate(C145, ""en"", ""lt"")"),"KD2,5 dalelės yra pakankamai mažos, kad patektų į kraują ir paprastai susidaro dėl gaisrų, dūmų pelenų, bakterijų ar smulkių dulkių dalelių")</f>
        <v>KD2,5 dalelės yra pakankamai mažos, kad patektų į kraują ir paprastai susidaro dėl gaisrų, dūmų pelenų, bakterijų ar smulkių dulkių dalelių</v>
      </c>
      <c r="AO145" s="7" t="str">
        <f>IFERROR(__xludf.DUMMYFUNCTION("GoogleTranslate(C145, ""en"", ""mk"")"),"ПМ2.5 честичките се доволно мали за да влезат во крвотокот и обично се резултат од шумски пожари, чад пепел, бактерии или мали честички прашина")</f>
        <v>ПМ2.5 честичките се доволно мали за да влезат во крвотокот и обично се резултат од шумски пожари, чад пепел, бактерии или мали честички прашина</v>
      </c>
      <c r="AP145" s="7" t="str">
        <f>IFERROR(__xludf.DUMMYFUNCTION("GoogleTranslate(C145, ""en"", ""ms"")"),"Zarah PM2.5 cukup kecil untuk memasuki aliran darah dan biasanya terhasil daripada kebakaran hutan, abu asap, bakteria atau zarah debu kecil")</f>
        <v>Zarah PM2.5 cukup kecil untuk memasuki aliran darah dan biasanya terhasil daripada kebakaran hutan, abu asap, bakteria atau zarah debu kecil</v>
      </c>
      <c r="AQ145" s="7" t="str">
        <f>IFERROR(__xludf.DUMMYFUNCTION("GoogleTranslate(C145, ""en"", ""ml"")"),"PM2.5 കണങ്ങൾ രക്തത്തിൽ പ്രവേശിക്കാൻ പര്യാപ്തമാണ്, സാധാരണയായി കാട്ടുതീ, പുക ചാരം, ബാക്ടീരിയ അല്ലെങ്കിൽ ചെറിയ പൊടിപടലങ്ങൾ")</f>
        <v>PM2.5 കണങ്ങൾ രക്തത്തിൽ പ്രവേശിക്കാൻ പര്യാപ്തമാണ്, സാധാരണയായി കാട്ടുതീ, പുക ചാരം, ബാക്ടീരിയ അല്ലെങ്കിൽ ചെറിയ പൊടിപടലങ്ങൾ</v>
      </c>
      <c r="AR145" s="7" t="str">
        <f>IFERROR(__xludf.DUMMYFUNCTION("GoogleTranslate(C145, ""en"", ""mr"")"),"PM2.5 कण रक्तप्रवाहात प्रवेश करण्यासाठी पुरेसे लहान असतात आणि सामान्यत: जंगलातील आग, धुराची राख, बॅक्टेरिया किंवा लहान धुळीच्या कणांमुळे उद्भवतात.")</f>
        <v>PM2.5 कण रक्तप्रवाहात प्रवेश करण्यासाठी पुरेसे लहान असतात आणि सामान्यत: जंगलातील आग, धुराची राख, बॅक्टेरिया किंवा लहान धुळीच्या कणांमुळे उद्भवतात.</v>
      </c>
      <c r="AS145" s="7" t="str">
        <f>IFERROR(__xludf.DUMMYFUNCTION("GoogleTranslate(C145, ""en"", ""mn"")"),"PM2.5 тоосонцор нь цусны урсгалд ороход хангалттай жижиг бөгөөд ихэвчлэн ой хээрийн түймэр, утааны үнс, бактери, тоосны жижиг хэсгүүдээс үүсдэг.")</f>
        <v>PM2.5 тоосонцор нь цусны урсгалд ороход хангалттай жижиг бөгөөд ихэвчлэн ой хээрийн түймэр, утааны үнс, бактери, тоосны жижиг хэсгүүдээс үүсдэг.</v>
      </c>
      <c r="AT145" s="7" t="str">
        <f>IFERROR(__xludf.DUMMYFUNCTION("GoogleTranslate(C145, ""en"", ""ne"")"),"PM2.5 कणहरू रक्तप्रवाहमा प्रवेश गर्न पर्याप्त मात्रामा साना हुन्छन् र सामान्यतया जंगलको आगो, धुवाँको खरानी, ​​ब्याक्टेरिया वा सानो धुलो कणहरूको परिणाम हो।")</f>
        <v>PM2.5 कणहरू रक्तप्रवाहमा प्रवेश गर्न पर्याप्त मात्रामा साना हुन्छन् र सामान्यतया जंगलको आगो, धुवाँको खरानी, ​​ब्याक्टेरिया वा सानो धुलो कणहरूको परिणाम हो।</v>
      </c>
      <c r="AU145" s="7" t="str">
        <f>IFERROR(__xludf.DUMMYFUNCTION("GoogleTranslate(C145, ""en"", ""nb"")"),"PM2.5-partikler er små nok til å komme inn i blodet og skyldes vanligvis skogbranner, røykaske, bakterier eller små støvpartikler")</f>
        <v>PM2.5-partikler er små nok til å komme inn i blodet og skyldes vanligvis skogbranner, røykaske, bakterier eller små støvpartikler</v>
      </c>
      <c r="AV145" s="7" t="str">
        <f>IFERROR(__xludf.DUMMYFUNCTION("GoogleTranslate(C145, ""en"", ""fa"")"),"ذرات PM2.5 به اندازه‌ای کوچک هستند که وارد جریان خون شوند و معمولاً ناشی از آتش‌سوزی‌های جنگلی، خاکستر دود، باکتری‌ها یا ذرات ریز گرد و غبار هستند.")</f>
        <v>ذرات PM2.5 به اندازه‌ای کوچک هستند که وارد جریان خون شوند و معمولاً ناشی از آتش‌سوزی‌های جنگلی، خاکستر دود، باکتری‌ها یا ذرات ریز گرد و غبار هستند.</v>
      </c>
      <c r="AW145" s="7" t="str">
        <f>IFERROR(__xludf.DUMMYFUNCTION("GoogleTranslate(C145, ""en"", ""pl"")"),"Cząstki PM2,5 są wystarczająco małe, aby przedostać się do krwiobiegu i zazwyczaj powstają w wyniku pożarów, popiołów dymnych, bakterii lub małych cząstek pyłu")</f>
        <v>Cząstki PM2,5 są wystarczająco małe, aby przedostać się do krwiobiegu i zazwyczaj powstają w wyniku pożarów, popiołów dymnych, bakterii lub małych cząstek pyłu</v>
      </c>
      <c r="AX145" s="7" t="str">
        <f>IFERROR(__xludf.DUMMYFUNCTION("GoogleTranslate(C145, ""en"", ""pt"")"),"As partículas PM2.5 são pequenas o suficiente para entrar na corrente sanguínea e normalmente resultam de incêndios florestais, cinzas de fumaça, bactérias ou pequenas partículas de poeira")</f>
        <v>As partículas PM2.5 são pequenas o suficiente para entrar na corrente sanguínea e normalmente resultam de incêndios florestais, cinzas de fumaça, bactérias ou pequenas partículas de poeira</v>
      </c>
      <c r="AY145" s="7" t="str">
        <f>IFERROR(__xludf.DUMMYFUNCTION("GoogleTranslate(C145, ""en"", ""ro"")"),"Particulele PM2.5 sunt suficient de mici pentru a intra în sânge și, de obicei, rezultă din incendii de vegetație, cenușă de fum, bacterii sau particule mici de praf")</f>
        <v>Particulele PM2.5 sunt suficient de mici pentru a intra în sânge și, de obicei, rezultă din incendii de vegetație, cenușă de fum, bacterii sau particule mici de praf</v>
      </c>
      <c r="AZ145" s="7" t="str">
        <f>IFERROR(__xludf.DUMMYFUNCTION("GoogleTranslate(C145, ""en"", ""ru"")"),"Частицы PM2,5 достаточно малы, чтобы попасть в кровоток, и обычно возникают в результате лесных пожаров, дыма, бактерий или мелких частиц пыли.")</f>
        <v>Частицы PM2,5 достаточно малы, чтобы попасть в кровоток, и обычно возникают в результате лесных пожаров, дыма, бактерий или мелких частиц пыли.</v>
      </c>
      <c r="BA145" s="7" t="str">
        <f>IFERROR(__xludf.DUMMYFUNCTION("GoogleTranslate(C145, ""en"", ""sr"")"),"ПМ2,5 честице су довољно мале да уђу у крвоток и обично су резултат шумских пожара, димног пепела, бактерија или малих честица прашине")</f>
        <v>ПМ2,5 честице су довољно мале да уђу у крвоток и обично су резултат шумских пожара, димног пепела, бактерија или малих честица прашине</v>
      </c>
      <c r="BB145" s="7" t="str">
        <f>IFERROR(__xludf.DUMMYFUNCTION("GoogleTranslate(C145, ""en"", ""si"")"),"PM2.5 අංශු රුධිරයට ඇතුළු වීමට තරම් කුඩා වන අතර සාමාන්‍යයෙන් ලැව්ගිනි, දුම් අළු, බැක්ටීරියා හෝ කුඩා දූවිලි අංශු නිසා ඇතිවේ.")</f>
        <v>PM2.5 අංශු රුධිරයට ඇතුළු වීමට තරම් කුඩා වන අතර සාමාන්‍යයෙන් ලැව්ගිනි, දුම් අළු, බැක්ටීරියා හෝ කුඩා දූවිලි අංශු නිසා ඇතිවේ.</v>
      </c>
      <c r="BC145" s="7" t="str">
        <f>IFERROR(__xludf.DUMMYFUNCTION("GoogleTranslate(C145, ""en"", ""sk"")"),"Častice PM2,5 sú dostatočne malé na to, aby sa dostali do krvného obehu a zvyčajne sú výsledkom požiarov, dymového popola, baktérií alebo malých prachových častíc")</f>
        <v>Častice PM2,5 sú dostatočne malé na to, aby sa dostali do krvného obehu a zvyčajne sú výsledkom požiarov, dymového popola, baktérií alebo malých prachových častíc</v>
      </c>
      <c r="BD145" s="7" t="str">
        <f>IFERROR(__xludf.DUMMYFUNCTION("GoogleTranslate(C145, ""en"", ""sl"")"),"Delci PM2,5 so dovolj majhni, da vstopijo v krvni obtok in so običajno posledica požarov, dimnega pepela, bakterij ali majhnih prašnih delcev.")</f>
        <v>Delci PM2,5 so dovolj majhni, da vstopijo v krvni obtok in so običajno posledica požarov, dimnega pepela, bakterij ali majhnih prašnih delcev.</v>
      </c>
      <c r="BE145" s="7" t="str">
        <f>IFERROR(__xludf.DUMMYFUNCTION("GoogleTranslate(C145,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BF145" s="7" t="str">
        <f>IFERROR(__xludf.DUMMYFUNCTION("GoogleTranslate(C145, ""en"", ""sw"")"),"Chembechembe za PM2.5 ni ndogo za kutosha kuingia kwenye mkondo wa damu na kwa kawaida hutokana na moto wa nyika, majivu ya moshi, bakteria au chembe ndogo za vumbi.")</f>
        <v>Chembechembe za PM2.5 ni ndogo za kutosha kuingia kwenye mkondo wa damu na kwa kawaida hutokana na moto wa nyika, majivu ya moshi, bakteria au chembe ndogo za vumbi.</v>
      </c>
      <c r="BG145" s="7" t="str">
        <f>IFERROR(__xludf.DUMMYFUNCTION("GoogleTranslate(C145, ""en"", ""sv"")"),"PM2.5-partiklar är tillräckligt små för att komma in i blodomloppet och härrör vanligtvis från skogsbränder, rökaska, bakterier eller små dammpartiklar")</f>
        <v>PM2.5-partiklar är tillräckligt små för att komma in i blodomloppet och härrör vanligtvis från skogsbränder, rökaska, bakterier eller små dammpartiklar</v>
      </c>
      <c r="BH145" s="7" t="str">
        <f>IFERROR(__xludf.DUMMYFUNCTION("GoogleTranslate(C145, ""en"", ""te"")"),"PM2.5 కణాలు రక్తప్రవాహంలోకి ప్రవేశించేంత చిన్నవి మరియు సాధారణంగా అడవి మంటలు, పొగ బూడిద, బ్యాక్టీరియా లేదా చిన్న ధూళి కణాల ఫలితంగా ఉంటాయి.")</f>
        <v>PM2.5 కణాలు రక్తప్రవాహంలోకి ప్రవేశించేంత చిన్నవి మరియు సాధారణంగా అడవి మంటలు, పొగ బూడిద, బ్యాక్టీరియా లేదా చిన్న ధూళి కణాల ఫలితంగా ఉంటాయి.</v>
      </c>
      <c r="BI145" s="7" t="str">
        <f>IFERROR(__xludf.DUMMYFUNCTION("GoogleTranslate(C145, ""en"", ""th"")"),"อนุภาค PM2.5 มีขนาดเล็กพอที่จะเข้าสู่กระแสเลือดและมักเกิดจากไฟป่า ขี้เถ้าควัน แบคทีเรีย หรือฝุ่นละอองขนาดเล็ก")</f>
        <v>อนุภาค PM2.5 มีขนาดเล็กพอที่จะเข้าสู่กระแสเลือดและมักเกิดจากไฟป่า ขี้เถ้าควัน แบคทีเรีย หรือฝุ่นละอองขนาดเล็ก</v>
      </c>
      <c r="BJ145" s="7" t="str">
        <f>IFERROR(__xludf.DUMMYFUNCTION("GoogleTranslate(C145, ""en"", ""tr"")"),"PM2.5 parçacıkları kan dolaşımına girebilecek kadar küçüktür ve genellikle orman yangınlarından, duman küllerinden, bakterilerden veya küçük toz parçacıklarından kaynaklanır.")</f>
        <v>PM2.5 parçacıkları kan dolaşımına girebilecek kadar küçüktür ve genellikle orman yangınlarından, duman küllerinden, bakterilerden veya küçük toz parçacıklarından kaynaklanır.</v>
      </c>
      <c r="BK145" s="7" t="str">
        <f>IFERROR(__xludf.DUMMYFUNCTION("GoogleTranslate(C145, ""en"", ""uk"")"),"Частинки PM2,5 досить малі, щоб потрапити в кров, і зазвичай утворюються в результаті лісових пожеж, попелу диму, бактерій або дрібних частинок пилу.")</f>
        <v>Частинки PM2,5 досить малі, щоб потрапити в кров, і зазвичай утворюються в результаті лісових пожеж, попелу диму, бактерій або дрібних частинок пилу.</v>
      </c>
      <c r="BL145" s="7" t="str">
        <f>IFERROR(__xludf.DUMMYFUNCTION("GoogleTranslate(C145, ""en"", ""zu"")"),"Izinhlayiya ze-PM2.5 zincane ngokwanele ukuthi zingangena egazini futhi ngokuvamile zibangelwa imililo yequbula, umlotha wentuthu, amagciwane noma izinhlayiya zothuli.")</f>
        <v>Izinhlayiya ze-PM2.5 zincane ngokwanele ukuthi zingangena egazini futhi ngokuvamile zibangelwa imililo yequbula, umlotha wentuthu, amagciwane noma izinhlayiya zothuli.</v>
      </c>
    </row>
    <row r="146">
      <c r="A146" s="5" t="str">
        <f t="shared" si="1"/>
        <v>Ari_station_list</v>
      </c>
      <c r="B146" s="6" t="s">
        <v>202</v>
      </c>
      <c r="C146" s="5" t="str">
        <f t="shared" si="2"/>
        <v>Ari station list</v>
      </c>
      <c r="D146" s="7" t="str">
        <f>IFERROR(__xludf.DUMMYFUNCTION("GoogleTranslate(C146, ""en"", ""es"")"),"Lista de estaciones de Ari")</f>
        <v>Lista de estaciones de Ari</v>
      </c>
      <c r="E146" s="7" t="str">
        <f>IFERROR(__xludf.DUMMYFUNCTION("GoogleTranslate(C146, ""en"", ""ar"")"),"قائمة محطات آري")</f>
        <v>قائمة محطات آري</v>
      </c>
      <c r="F146" s="7" t="str">
        <f>IFERROR(__xludf.DUMMYFUNCTION("GoogleTranslate(C146, ""en"", ""hy"")"),"Արի կայանի ցուցակ")</f>
        <v>Արի կայանի ցուցակ</v>
      </c>
      <c r="G146" s="7" t="str">
        <f>IFERROR(__xludf.DUMMYFUNCTION("GoogleTranslate(C146, ""en"", ""vi"")"),"Danh sách trạm Ari")</f>
        <v>Danh sách trạm Ari</v>
      </c>
      <c r="H146" s="7" t="str">
        <f>IFERROR(__xludf.DUMMYFUNCTION("GoogleTranslate(C146, ""en"", ""az"")"),"Ari stansiyasının siyahısı")</f>
        <v>Ari stansiyasının siyahısı</v>
      </c>
      <c r="I146" s="7" t="str">
        <f>IFERROR(__xludf.DUMMYFUNCTION("GoogleTranslate(C146, ""en"", ""eu"")"),"Ari geltokien zerrenda")</f>
        <v>Ari geltokien zerrenda</v>
      </c>
      <c r="J146" s="7" t="str">
        <f>IFERROR(__xludf.DUMMYFUNCTION("GoogleTranslate(C146, ""en"", ""be"")"),"Спіс станцый Ari")</f>
        <v>Спіс станцый Ari</v>
      </c>
      <c r="K146" s="7" t="str">
        <f>IFERROR(__xludf.DUMMYFUNCTION("GoogleTranslate(C146, ""en"", ""bn"")"),"আরি স্টেশন তালিকা")</f>
        <v>আরি স্টেশন তালিকা</v>
      </c>
      <c r="L146" s="7" t="str">
        <f>IFERROR(__xludf.DUMMYFUNCTION("GoogleTranslate(C146, ""en"", ""bg"")"),"Списък на станции на Ари")</f>
        <v>Списък на станции на Ари</v>
      </c>
      <c r="M146" s="7" t="str">
        <f>IFERROR(__xludf.DUMMYFUNCTION("GoogleTranslate(C146, ""en"", ""my"")"),"Ari ဘူတာစာရင်း")</f>
        <v>Ari ဘူတာစာရင်း</v>
      </c>
      <c r="N146" s="7" t="str">
        <f>IFERROR(__xludf.DUMMYFUNCTION("GoogleTranslate(C146, ""en"", ""ca"")"),"Llista d'estacions d'Ari")</f>
        <v>Llista d'estacions d'Ari</v>
      </c>
      <c r="O146" s="7" t="str">
        <f>IFERROR(__xludf.DUMMYFUNCTION("GoogleTranslate(C146, ""en"", ""zh-cn"")"),"阿里站列表")</f>
        <v>阿里站列表</v>
      </c>
      <c r="P146" s="7" t="str">
        <f>IFERROR(__xludf.DUMMYFUNCTION("GoogleTranslate(C146, ""en"", ""zh-TW"")"),"阿里站列表")</f>
        <v>阿里站列表</v>
      </c>
      <c r="Q146" s="7" t="str">
        <f>IFERROR(__xludf.DUMMYFUNCTION("GoogleTranslate(C146, ""en"", ""hr"")"),"Ari popis postaja")</f>
        <v>Ari popis postaja</v>
      </c>
      <c r="R146" s="7" t="str">
        <f>IFERROR(__xludf.DUMMYFUNCTION("GoogleTranslate(C146, ""en"", ""cs"")"),"Seznam stanic Ari")</f>
        <v>Seznam stanic Ari</v>
      </c>
      <c r="S146" s="7" t="str">
        <f>IFERROR(__xludf.DUMMYFUNCTION("GoogleTranslate(C146, ""en"", ""da"")"),"Ari stationsliste")</f>
        <v>Ari stationsliste</v>
      </c>
      <c r="T146" s="7" t="str">
        <f>IFERROR(__xludf.DUMMYFUNCTION("GoogleTranslate(C146, ""en"", ""nl"")"),"Ari-stationslijst")</f>
        <v>Ari-stationslijst</v>
      </c>
      <c r="U146" s="7" t="str">
        <f>IFERROR(__xludf.DUMMYFUNCTION("GoogleTranslate(C146, ""en"", ""et"")"),"Ari jaamade nimekiri")</f>
        <v>Ari jaamade nimekiri</v>
      </c>
      <c r="V146" s="5" t="str">
        <f t="shared" si="3"/>
        <v>Ari station list</v>
      </c>
      <c r="W146" s="7" t="str">
        <f>IFERROR(__xludf.DUMMYFUNCTION("GoogleTranslate(C146, ""en"", ""fi"")"),"Arin asemaluettelo")</f>
        <v>Arin asemaluettelo</v>
      </c>
      <c r="X146" s="7" t="str">
        <f>IFERROR(__xludf.DUMMYFUNCTION("GoogleTranslate(C146, ""en"", ""fr"")"),"Liste des stations Ari")</f>
        <v>Liste des stations Ari</v>
      </c>
      <c r="Y146" s="7" t="str">
        <f>IFERROR(__xludf.DUMMYFUNCTION("GoogleTranslate(C146, ""en"", ""de"")"),"Ari-Stationsliste")</f>
        <v>Ari-Stationsliste</v>
      </c>
      <c r="Z146" s="7" t="str">
        <f>IFERROR(__xludf.DUMMYFUNCTION("GoogleTranslate(C146, ""en"", ""el"")"),"Λίστα σταθμών Ari")</f>
        <v>Λίστα σταθμών Ari</v>
      </c>
      <c r="AA146" s="7" t="str">
        <f>IFERROR(__xludf.DUMMYFUNCTION("GoogleTranslate(C146, ""en"", ""iw"")"),"רשימת תחנות ארי")</f>
        <v>רשימת תחנות ארי</v>
      </c>
      <c r="AB146" s="7" t="str">
        <f>IFERROR(__xludf.DUMMYFUNCTION("GoogleTranslate(C146, ""en"", ""hi"")"),"अरी स्टेशन सूची")</f>
        <v>अरी स्टेशन सूची</v>
      </c>
      <c r="AC146" s="7" t="str">
        <f>IFERROR(__xludf.DUMMYFUNCTION("GoogleTranslate(C146, ""en"", ""hu"")"),"Ari állomások listája")</f>
        <v>Ari állomások listája</v>
      </c>
      <c r="AD146" s="7" t="str">
        <f>IFERROR(__xludf.DUMMYFUNCTION("GoogleTranslate(C146, ""en"", ""is"")"),"Ari stöðvarlisti")</f>
        <v>Ari stöðvarlisti</v>
      </c>
      <c r="AE146" s="7" t="str">
        <f>IFERROR(__xludf.DUMMYFUNCTION("GoogleTranslate(C146, ""en"", ""id"")"),"Daftar stasiun Ari")</f>
        <v>Daftar stasiun Ari</v>
      </c>
      <c r="AF146" s="7" t="str">
        <f>IFERROR(__xludf.DUMMYFUNCTION("GoogleTranslate(C146, ""en"", ""in"")"),"Daftar stasiun Ari")</f>
        <v>Daftar stasiun Ari</v>
      </c>
      <c r="AG146" s="7" t="str">
        <f>IFERROR(__xludf.DUMMYFUNCTION("GoogleTranslate(C146, ""en"", ""it"")"),"Elenco delle stazioni Ari")</f>
        <v>Elenco delle stazioni Ari</v>
      </c>
      <c r="AH146" s="7" t="str">
        <f>IFERROR(__xludf.DUMMYFUNCTION("GoogleTranslate(C146, ""en"", ""ja"")"),"有駅一覧")</f>
        <v>有駅一覧</v>
      </c>
      <c r="AI146" s="7" t="str">
        <f>IFERROR(__xludf.DUMMYFUNCTION("GoogleTranslate(C146, ""en"", ""kn"")"),"ಆರಿ ನಿಲ್ದಾಣದ ಪಟ್ಟಿ")</f>
        <v>ಆರಿ ನಿಲ್ದಾಣದ ಪಟ್ಟಿ</v>
      </c>
      <c r="AJ146" s="7" t="str">
        <f>IFERROR(__xludf.DUMMYFUNCTION("GoogleTranslate(C146, ""en"", ""km"")"),"បញ្ជីស្ថានីយ៍អារី")</f>
        <v>បញ្ជីស្ថានីយ៍អារី</v>
      </c>
      <c r="AK146" s="7" t="str">
        <f>IFERROR(__xludf.DUMMYFUNCTION("GoogleTranslate(C146, ""en"", ""ko"")"),"아리 역 목록")</f>
        <v>아리 역 목록</v>
      </c>
      <c r="AL146" s="7" t="str">
        <f>IFERROR(__xludf.DUMMYFUNCTION("GoogleTranslate(C146, ""en"", ""lo"")"),"ບັນຊີລາຍຊື່ສະຖານີ Ari")</f>
        <v>ບັນຊີລາຍຊື່ສະຖານີ Ari</v>
      </c>
      <c r="AM146" s="7" t="str">
        <f>IFERROR(__xludf.DUMMYFUNCTION("GoogleTranslate(C146, ""en"", ""lv"")"),"Ari staciju saraksts")</f>
        <v>Ari staciju saraksts</v>
      </c>
      <c r="AN146" s="7" t="str">
        <f>IFERROR(__xludf.DUMMYFUNCTION("GoogleTranslate(C146, ""en"", ""lt"")"),"Ari stočių sąrašas")</f>
        <v>Ari stočių sąrašas</v>
      </c>
      <c r="AO146" s="7" t="str">
        <f>IFERROR(__xludf.DUMMYFUNCTION("GoogleTranslate(C146, ""en"", ""mk"")"),"Список на станици Ари")</f>
        <v>Список на станици Ари</v>
      </c>
      <c r="AP146" s="7" t="str">
        <f>IFERROR(__xludf.DUMMYFUNCTION("GoogleTranslate(C146, ""en"", ""ms"")"),"senarai stesen ari")</f>
        <v>senarai stesen ari</v>
      </c>
      <c r="AQ146" s="7" t="str">
        <f>IFERROR(__xludf.DUMMYFUNCTION("GoogleTranslate(C146, ""en"", ""ml"")"),"അരി സ്റ്റേഷൻ ലിസ്റ്റ്")</f>
        <v>അരി സ്റ്റേഷൻ ലിസ്റ്റ്</v>
      </c>
      <c r="AR146" s="7" t="str">
        <f>IFERROR(__xludf.DUMMYFUNCTION("GoogleTranslate(C146, ""en"", ""mr"")"),"Ari स्टेशन यादी")</f>
        <v>Ari स्टेशन यादी</v>
      </c>
      <c r="AS146" s="7" t="str">
        <f>IFERROR(__xludf.DUMMYFUNCTION("GoogleTranslate(C146, ""en"", ""mn"")"),"Ари станцын жагсаалт")</f>
        <v>Ари станцын жагсаалт</v>
      </c>
      <c r="AT146" s="7" t="str">
        <f>IFERROR(__xludf.DUMMYFUNCTION("GoogleTranslate(C146, ""en"", ""ne"")"),"एरि स्टेशन सूची")</f>
        <v>एरि स्टेशन सूची</v>
      </c>
      <c r="AU146" s="7" t="str">
        <f>IFERROR(__xludf.DUMMYFUNCTION("GoogleTranslate(C146, ""en"", ""nb"")"),"Ari stasjonsliste")</f>
        <v>Ari stasjonsliste</v>
      </c>
      <c r="AV146" s="7" t="str">
        <f>IFERROR(__xludf.DUMMYFUNCTION("GoogleTranslate(C146, ""en"", ""fa"")"),"لیست ایستگاه های آری")</f>
        <v>لیست ایستگاه های آری</v>
      </c>
      <c r="AW146" s="7" t="str">
        <f>IFERROR(__xludf.DUMMYFUNCTION("GoogleTranslate(C146, ""en"", ""pl"")"),"Lista stacji Ari")</f>
        <v>Lista stacji Ari</v>
      </c>
      <c r="AX146" s="7" t="str">
        <f>IFERROR(__xludf.DUMMYFUNCTION("GoogleTranslate(C146, ""en"", ""pt"")"),"Lista de estações Ari")</f>
        <v>Lista de estações Ari</v>
      </c>
      <c r="AY146" s="7" t="str">
        <f>IFERROR(__xludf.DUMMYFUNCTION("GoogleTranslate(C146, ""en"", ""ro"")"),"Lista stațiilor Ari")</f>
        <v>Lista stațiilor Ari</v>
      </c>
      <c r="AZ146" s="7" t="str">
        <f>IFERROR(__xludf.DUMMYFUNCTION("GoogleTranslate(C146, ""en"", ""ru"")"),"Список станций Ари")</f>
        <v>Список станций Ари</v>
      </c>
      <c r="BA146" s="7" t="str">
        <f>IFERROR(__xludf.DUMMYFUNCTION("GoogleTranslate(C146, ""en"", ""sr"")"),"Листа станица Ари")</f>
        <v>Листа станица Ари</v>
      </c>
      <c r="BB146" s="7" t="str">
        <f>IFERROR(__xludf.DUMMYFUNCTION("GoogleTranslate(C146, ""en"", ""si"")"),"Ari ස්ථාන ලැයිස්තුව")</f>
        <v>Ari ස්ථාන ලැයිස්තුව</v>
      </c>
      <c r="BC146" s="7" t="str">
        <f>IFERROR(__xludf.DUMMYFUNCTION("GoogleTranslate(C146, ""en"", ""sk"")"),"Zoznam staníc Ari")</f>
        <v>Zoznam staníc Ari</v>
      </c>
      <c r="BD146" s="7" t="str">
        <f>IFERROR(__xludf.DUMMYFUNCTION("GoogleTranslate(C146, ""en"", ""sl"")"),"Seznam postaj Ari")</f>
        <v>Seznam postaj Ari</v>
      </c>
      <c r="BE146" s="7" t="str">
        <f>IFERROR(__xludf.DUMMYFUNCTION("GoogleTranslate(C146, ""en"", ""es"")"),"Lista de estaciones de Ari")</f>
        <v>Lista de estaciones de Ari</v>
      </c>
      <c r="BF146" s="7" t="str">
        <f>IFERROR(__xludf.DUMMYFUNCTION("GoogleTranslate(C146, ""en"", ""sw"")"),"Orodha ya kituo cha Ari")</f>
        <v>Orodha ya kituo cha Ari</v>
      </c>
      <c r="BG146" s="7" t="str">
        <f>IFERROR(__xludf.DUMMYFUNCTION("GoogleTranslate(C146, ""en"", ""sv"")"),"Ari stationslista")</f>
        <v>Ari stationslista</v>
      </c>
      <c r="BH146" s="7" t="str">
        <f>IFERROR(__xludf.DUMMYFUNCTION("GoogleTranslate(C146, ""en"", ""te"")"),"అరి స్టేషన్ జాబితా")</f>
        <v>అరి స్టేషన్ జాబితా</v>
      </c>
      <c r="BI146" s="7" t="str">
        <f>IFERROR(__xludf.DUMMYFUNCTION("GoogleTranslate(C146, ""en"", ""th"")"),"รายชื่อสถานีอารีย์")</f>
        <v>รายชื่อสถานีอารีย์</v>
      </c>
      <c r="BJ146" s="7" t="str">
        <f>IFERROR(__xludf.DUMMYFUNCTION("GoogleTranslate(C146, ""en"", ""tr"")"),"Ari istasyon listesi")</f>
        <v>Ari istasyon listesi</v>
      </c>
      <c r="BK146" s="7" t="str">
        <f>IFERROR(__xludf.DUMMYFUNCTION("GoogleTranslate(C146, ""en"", ""uk"")"),"Список станцій Ari")</f>
        <v>Список станцій Ari</v>
      </c>
      <c r="BL146" s="7" t="str">
        <f>IFERROR(__xludf.DUMMYFUNCTION("GoogleTranslate(C146, ""en"", ""zu"")"),"Uhlu lwesiteshi sase-Ari")</f>
        <v>Uhlu lwesiteshi sase-Ari</v>
      </c>
    </row>
    <row r="147">
      <c r="A147" s="5" t="str">
        <f t="shared" si="1"/>
        <v>Moon_phase_infor</v>
      </c>
      <c r="B147" s="6" t="s">
        <v>203</v>
      </c>
      <c r="C147" s="5" t="str">
        <f t="shared" si="2"/>
        <v>Moon phase infor</v>
      </c>
      <c r="D147" s="7" t="str">
        <f>IFERROR(__xludf.DUMMYFUNCTION("GoogleTranslate(C147, ""en"", ""es"")"),"Información de fase lunar")</f>
        <v>Información de fase lunar</v>
      </c>
      <c r="E147" s="7" t="str">
        <f>IFERROR(__xludf.DUMMYFUNCTION("GoogleTranslate(C147, ""en"", ""ar"")"),"معلومات مرحلة القمر")</f>
        <v>معلومات مرحلة القمر</v>
      </c>
      <c r="F147" s="7" t="str">
        <f>IFERROR(__xludf.DUMMYFUNCTION("GoogleTranslate(C147, ""en"", ""hy"")"),"Լուսնի փուլի տեղեկատվություն")</f>
        <v>Լուսնի փուլի տեղեկատվություն</v>
      </c>
      <c r="G147" s="7" t="str">
        <f>IFERROR(__xludf.DUMMYFUNCTION("GoogleTranslate(C147, ""en"", ""vi"")"),"Thông tin về tuần trăng")</f>
        <v>Thông tin về tuần trăng</v>
      </c>
      <c r="H147" s="7" t="str">
        <f>IFERROR(__xludf.DUMMYFUNCTION("GoogleTranslate(C147, ""en"", ""az"")"),"Ayın fazası haqqında məlumat")</f>
        <v>Ayın fazası haqqında məlumat</v>
      </c>
      <c r="I147" s="7" t="str">
        <f>IFERROR(__xludf.DUMMYFUNCTION("GoogleTranslate(C147, ""en"", ""eu"")"),"Ilargi fasearen informazioa")</f>
        <v>Ilargi fasearen informazioa</v>
      </c>
      <c r="J147" s="7" t="str">
        <f>IFERROR(__xludf.DUMMYFUNCTION("GoogleTranslate(C147, ""en"", ""be"")"),"Інфармацыя аб фазах месяца")</f>
        <v>Інфармацыя аб фазах месяца</v>
      </c>
      <c r="K147" s="7" t="str">
        <f>IFERROR(__xludf.DUMMYFUNCTION("GoogleTranslate(C147, ""en"", ""bn"")"),"চাঁদের পর্বের তথ্য")</f>
        <v>চাঁদের পর্বের তথ্য</v>
      </c>
      <c r="L147" s="7" t="str">
        <f>IFERROR(__xludf.DUMMYFUNCTION("GoogleTranslate(C147, ""en"", ""bg"")"),"Информация за фазата на луната")</f>
        <v>Информация за фазата на луната</v>
      </c>
      <c r="M147" s="7" t="str">
        <f>IFERROR(__xludf.DUMMYFUNCTION("GoogleTranslate(C147, ""en"", ""my"")"),"လအဆင့် အချက်အလက်များ")</f>
        <v>လအဆင့် အချက်အလက်များ</v>
      </c>
      <c r="N147" s="7" t="str">
        <f>IFERROR(__xludf.DUMMYFUNCTION("GoogleTranslate(C147, ""en"", ""ca"")"),"Fase lunar info")</f>
        <v>Fase lunar info</v>
      </c>
      <c r="O147" s="7" t="str">
        <f>IFERROR(__xludf.DUMMYFUNCTION("GoogleTranslate(C147, ""en"", ""zh-cn"")"),"月相信息")</f>
        <v>月相信息</v>
      </c>
      <c r="P147" s="7" t="str">
        <f>IFERROR(__xludf.DUMMYFUNCTION("GoogleTranslate(C147, ""en"", ""zh-TW"")"),"月相資訊")</f>
        <v>月相資訊</v>
      </c>
      <c r="Q147" s="7" t="str">
        <f>IFERROR(__xludf.DUMMYFUNCTION("GoogleTranslate(C147, ""en"", ""hr"")"),"Mjesečeve mijene inform")</f>
        <v>Mjesečeve mijene inform</v>
      </c>
      <c r="R147" s="7" t="str">
        <f>IFERROR(__xludf.DUMMYFUNCTION("GoogleTranslate(C147, ""en"", ""cs"")"),"Informace o fázi měsíce")</f>
        <v>Informace o fázi měsíce</v>
      </c>
      <c r="S147" s="7" t="str">
        <f>IFERROR(__xludf.DUMMYFUNCTION("GoogleTranslate(C147, ""en"", ""da"")"),"Månefase infor")</f>
        <v>Månefase infor</v>
      </c>
      <c r="T147" s="7" t="str">
        <f>IFERROR(__xludf.DUMMYFUNCTION("GoogleTranslate(C147, ""en"", ""nl"")"),"Maanfase-informatie")</f>
        <v>Maanfase-informatie</v>
      </c>
      <c r="U147" s="7" t="str">
        <f>IFERROR(__xludf.DUMMYFUNCTION("GoogleTranslate(C147, ""en"", ""et"")"),"Kuu faasi info")</f>
        <v>Kuu faasi info</v>
      </c>
      <c r="V147" s="5" t="str">
        <f t="shared" si="3"/>
        <v>Moon phase infor</v>
      </c>
      <c r="W147" s="7" t="str">
        <f>IFERROR(__xludf.DUMMYFUNCTION("GoogleTranslate(C147, ""en"", ""fi"")"),"Kuun vaihetiedot")</f>
        <v>Kuun vaihetiedot</v>
      </c>
      <c r="X147" s="7" t="str">
        <f>IFERROR(__xludf.DUMMYFUNCTION("GoogleTranslate(C147, ""en"", ""fr"")"),"Informations sur les phases de la lune")</f>
        <v>Informations sur les phases de la lune</v>
      </c>
      <c r="Y147" s="7" t="str">
        <f>IFERROR(__xludf.DUMMYFUNCTION("GoogleTranslate(C147, ""en"", ""de"")"),"Informationen zur Mondphase")</f>
        <v>Informationen zur Mondphase</v>
      </c>
      <c r="Z147" s="7" t="str">
        <f>IFERROR(__xludf.DUMMYFUNCTION("GoogleTranslate(C147, ""en"", ""el"")"),"Πληροφορίες για τη φάση της Σελήνης")</f>
        <v>Πληροφορίες για τη φάση της Σελήνης</v>
      </c>
      <c r="AA147" s="7" t="str">
        <f>IFERROR(__xludf.DUMMYFUNCTION("GoogleTranslate(C147, ""en"", ""iw"")"),"מידע על שלב הירח")</f>
        <v>מידע על שלב הירח</v>
      </c>
      <c r="AB147" s="7" t="str">
        <f>IFERROR(__xludf.DUMMYFUNCTION("GoogleTranslate(C147, ""en"", ""hi"")"),"चंद्रमा चरण की जानकारी")</f>
        <v>चंद्रमा चरण की जानकारी</v>
      </c>
      <c r="AC147" s="7" t="str">
        <f>IFERROR(__xludf.DUMMYFUNCTION("GoogleTranslate(C147, ""en"", ""hu"")"),"Holdfázis információ")</f>
        <v>Holdfázis információ</v>
      </c>
      <c r="AD147" s="7" t="str">
        <f>IFERROR(__xludf.DUMMYFUNCTION("GoogleTranslate(C147, ""en"", ""is"")"),"Tunglfasa uppl")</f>
        <v>Tunglfasa uppl</v>
      </c>
      <c r="AE147" s="7" t="str">
        <f>IFERROR(__xludf.DUMMYFUNCTION("GoogleTranslate(C147, ""en"", ""id"")"),"Informasi fase bulan")</f>
        <v>Informasi fase bulan</v>
      </c>
      <c r="AF147" s="7" t="str">
        <f>IFERROR(__xludf.DUMMYFUNCTION("GoogleTranslate(C147, ""en"", ""in"")"),"Informasi fase bulan")</f>
        <v>Informasi fase bulan</v>
      </c>
      <c r="AG147" s="7" t="str">
        <f>IFERROR(__xludf.DUMMYFUNCTION("GoogleTranslate(C147, ""en"", ""it"")"),"Informazioni sulla fase lunare")</f>
        <v>Informazioni sulla fase lunare</v>
      </c>
      <c r="AH147" s="7" t="str">
        <f>IFERROR(__xludf.DUMMYFUNCTION("GoogleTranslate(C147, ""en"", ""ja"")"),"ムーンフェイズ情報")</f>
        <v>ムーンフェイズ情報</v>
      </c>
      <c r="AI147" s="7" t="str">
        <f>IFERROR(__xludf.DUMMYFUNCTION("GoogleTranslate(C147, ""en"", ""kn"")"),"ಚಂದ್ರನ ಹಂತ ಮಾಹಿತಿ")</f>
        <v>ಚಂದ್ರನ ಹಂತ ಮಾಹಿತಿ</v>
      </c>
      <c r="AJ147" s="7" t="str">
        <f>IFERROR(__xludf.DUMMYFUNCTION("GoogleTranslate(C147, ""en"", ""km"")"),"ព័ត៌មានអំពីដំណាក់កាលព្រះច័ន្ទ")</f>
        <v>ព័ត៌មានអំពីដំណាក់កាលព្រះច័ន្ទ</v>
      </c>
      <c r="AK147" s="7" t="str">
        <f>IFERROR(__xludf.DUMMYFUNCTION("GoogleTranslate(C147, ""en"", ""ko"")"),"달의 위상 정보")</f>
        <v>달의 위상 정보</v>
      </c>
      <c r="AL147" s="7" t="str">
        <f>IFERROR(__xludf.DUMMYFUNCTION("GoogleTranslate(C147, ""en"", ""lo"")"),"ຂໍ້​ມູນ​ໄລ​ຍະ​ເດືອນ​")</f>
        <v>ຂໍ້​ມູນ​ໄລ​ຍະ​ເດືອນ​</v>
      </c>
      <c r="AM147" s="7" t="str">
        <f>IFERROR(__xludf.DUMMYFUNCTION("GoogleTranslate(C147, ""en"", ""lv"")"),"Mēness fāzes informācija")</f>
        <v>Mēness fāzes informācija</v>
      </c>
      <c r="AN147" s="7" t="str">
        <f>IFERROR(__xludf.DUMMYFUNCTION("GoogleTranslate(C147, ""en"", ""lt"")"),"Mėnulio fazės informacija")</f>
        <v>Mėnulio fazės informacija</v>
      </c>
      <c r="AO147" s="7" t="str">
        <f>IFERROR(__xludf.DUMMYFUNCTION("GoogleTranslate(C147, ""en"", ""mk"")"),"Информации за фазата на месечината")</f>
        <v>Информации за фазата на месечината</v>
      </c>
      <c r="AP147" s="7" t="str">
        <f>IFERROR(__xludf.DUMMYFUNCTION("GoogleTranslate(C147, ""en"", ""ms"")"),"Maklumat fasa bulan")</f>
        <v>Maklumat fasa bulan</v>
      </c>
      <c r="AQ147" s="7" t="str">
        <f>IFERROR(__xludf.DUMMYFUNCTION("GoogleTranslate(C147, ""en"", ""ml"")"),"ചന്ദ്രൻ്റെ ഘട്ടം")</f>
        <v>ചന്ദ്രൻ്റെ ഘട്ടം</v>
      </c>
      <c r="AR147" s="7" t="str">
        <f>IFERROR(__xludf.DUMMYFUNCTION("GoogleTranslate(C147, ""en"", ""mr"")"),"चंद्र चरण माहिती")</f>
        <v>चंद्र चरण माहिती</v>
      </c>
      <c r="AS147" s="7" t="str">
        <f>IFERROR(__xludf.DUMMYFUNCTION("GoogleTranslate(C147, ""en"", ""mn"")"),"Сарны фазын мэдээлэл")</f>
        <v>Сарны фазын мэдээлэл</v>
      </c>
      <c r="AT147" s="7" t="str">
        <f>IFERROR(__xludf.DUMMYFUNCTION("GoogleTranslate(C147, ""en"", ""ne"")"),"चन्द्र चरण जानकारी")</f>
        <v>चन्द्र चरण जानकारी</v>
      </c>
      <c r="AU147" s="7" t="str">
        <f>IFERROR(__xludf.DUMMYFUNCTION("GoogleTranslate(C147, ""en"", ""nb"")"),"Månefase info")</f>
        <v>Månefase info</v>
      </c>
      <c r="AV147" s="7" t="str">
        <f>IFERROR(__xludf.DUMMYFUNCTION("GoogleTranslate(C147, ""en"", ""fa"")"),"اطلاعات فاز ماه")</f>
        <v>اطلاعات فاز ماه</v>
      </c>
      <c r="AW147" s="7" t="str">
        <f>IFERROR(__xludf.DUMMYFUNCTION("GoogleTranslate(C147, ""en"", ""pl"")"),"Informacje o fazie księżyca")</f>
        <v>Informacje o fazie księżyca</v>
      </c>
      <c r="AX147" s="7" t="str">
        <f>IFERROR(__xludf.DUMMYFUNCTION("GoogleTranslate(C147, ""en"", ""pt"")"),"Informações sobre a fase da lua")</f>
        <v>Informações sobre a fase da lua</v>
      </c>
      <c r="AY147" s="7" t="str">
        <f>IFERROR(__xludf.DUMMYFUNCTION("GoogleTranslate(C147, ""en"", ""ro"")"),"Faza lunii infor")</f>
        <v>Faza lunii infor</v>
      </c>
      <c r="AZ147" s="7" t="str">
        <f>IFERROR(__xludf.DUMMYFUNCTION("GoogleTranslate(C147, ""en"", ""ru"")"),"Информация о фазе луны")</f>
        <v>Информация о фазе луны</v>
      </c>
      <c r="BA147" s="7" t="str">
        <f>IFERROR(__xludf.DUMMYFUNCTION("GoogleTranslate(C147, ""en"", ""sr"")"),"Информације о фази месеца")</f>
        <v>Информације о фази месеца</v>
      </c>
      <c r="BB147" s="7" t="str">
        <f>IFERROR(__xludf.DUMMYFUNCTION("GoogleTranslate(C147, ""en"", ""si"")"),"සඳ අදියර තොරතුරු")</f>
        <v>සඳ අදියර තොරතුරු</v>
      </c>
      <c r="BC147" s="7" t="str">
        <f>IFERROR(__xludf.DUMMYFUNCTION("GoogleTranslate(C147, ""en"", ""sk"")"),"Informácia o fáze Mesiaca")</f>
        <v>Informácia o fáze Mesiaca</v>
      </c>
      <c r="BD147" s="7" t="str">
        <f>IFERROR(__xludf.DUMMYFUNCTION("GoogleTranslate(C147, ""en"", ""sl"")"),"Informacije o lunini fazi")</f>
        <v>Informacije o lunini fazi</v>
      </c>
      <c r="BE147" s="7" t="str">
        <f>IFERROR(__xludf.DUMMYFUNCTION("GoogleTranslate(C147, ""en"", ""es"")"),"Información de fase lunar")</f>
        <v>Información de fase lunar</v>
      </c>
      <c r="BF147" s="7" t="str">
        <f>IFERROR(__xludf.DUMMYFUNCTION("GoogleTranslate(C147, ""en"", ""sw"")"),"Maelezo ya awamu ya mwezi")</f>
        <v>Maelezo ya awamu ya mwezi</v>
      </c>
      <c r="BG147" s="7" t="str">
        <f>IFERROR(__xludf.DUMMYFUNCTION("GoogleTranslate(C147, ""en"", ""sv"")"),"Månfasinformation")</f>
        <v>Månfasinformation</v>
      </c>
      <c r="BH147" s="7" t="str">
        <f>IFERROR(__xludf.DUMMYFUNCTION("GoogleTranslate(C147, ""en"", ""te"")"),"చంద్ర దశ సమాచారం")</f>
        <v>చంద్ర దశ సమాచారం</v>
      </c>
      <c r="BI147" s="7" t="str">
        <f>IFERROR(__xludf.DUMMYFUNCTION("GoogleTranslate(C147, ""en"", ""th"")"),"ข้อมูลข้างขึ้นข้างแรม")</f>
        <v>ข้อมูลข้างขึ้นข้างแรม</v>
      </c>
      <c r="BJ147" s="7" t="str">
        <f>IFERROR(__xludf.DUMMYFUNCTION("GoogleTranslate(C147, ""en"", ""tr"")"),"Ay evresi bilgisi")</f>
        <v>Ay evresi bilgisi</v>
      </c>
      <c r="BK147" s="7" t="str">
        <f>IFERROR(__xludf.DUMMYFUNCTION("GoogleTranslate(C147, ""en"", ""uk"")"),"Інформація про фазу місяця")</f>
        <v>Інформація про фазу місяця</v>
      </c>
      <c r="BL147" s="7" t="str">
        <f>IFERROR(__xludf.DUMMYFUNCTION("GoogleTranslate(C147, ""en"", ""zu"")"),"Ulwazi lwesigaba senyanga")</f>
        <v>Ulwazi lwesigaba senyanga</v>
      </c>
    </row>
    <row r="148">
      <c r="A148" s="5" t="str">
        <f t="shared" si="1"/>
        <v>Illumination</v>
      </c>
      <c r="B148" s="6" t="s">
        <v>204</v>
      </c>
      <c r="C148" s="5" t="str">
        <f t="shared" si="2"/>
        <v>Illumination</v>
      </c>
      <c r="D148" s="7" t="str">
        <f>IFERROR(__xludf.DUMMYFUNCTION("GoogleTranslate(C148, ""en"", ""es"")"),"Iluminación")</f>
        <v>Iluminación</v>
      </c>
      <c r="E148" s="7" t="str">
        <f>IFERROR(__xludf.DUMMYFUNCTION("GoogleTranslate(C148, ""en"", ""ar"")"),"إضاءة")</f>
        <v>إضاءة</v>
      </c>
      <c r="F148" s="7" t="str">
        <f>IFERROR(__xludf.DUMMYFUNCTION("GoogleTranslate(C148, ""en"", ""hy"")"),"Լուսավորություն")</f>
        <v>Լուսավորություն</v>
      </c>
      <c r="G148" s="7" t="str">
        <f>IFERROR(__xludf.DUMMYFUNCTION("GoogleTranslate(C148, ""en"", ""vi"")"),"Chiếu sáng")</f>
        <v>Chiếu sáng</v>
      </c>
      <c r="H148" s="7" t="str">
        <f>IFERROR(__xludf.DUMMYFUNCTION("GoogleTranslate(C148, ""en"", ""az"")"),"İşıqlandırma")</f>
        <v>İşıqlandırma</v>
      </c>
      <c r="I148" s="7" t="str">
        <f>IFERROR(__xludf.DUMMYFUNCTION("GoogleTranslate(C148, ""en"", ""eu"")"),"Argiztapena")</f>
        <v>Argiztapena</v>
      </c>
      <c r="J148" s="7" t="str">
        <f>IFERROR(__xludf.DUMMYFUNCTION("GoogleTranslate(C148, ""en"", ""be"")"),"Ілюмінацыя")</f>
        <v>Ілюмінацыя</v>
      </c>
      <c r="K148" s="7" t="str">
        <f>IFERROR(__xludf.DUMMYFUNCTION("GoogleTranslate(C148, ""en"", ""bn"")"),"আলোকসজ্জা")</f>
        <v>আলোকসজ্জা</v>
      </c>
      <c r="L148" s="7" t="str">
        <f>IFERROR(__xludf.DUMMYFUNCTION("GoogleTranslate(C148, ""en"", ""bg"")"),"Осветеност")</f>
        <v>Осветеност</v>
      </c>
      <c r="M148" s="7" t="str">
        <f>IFERROR(__xludf.DUMMYFUNCTION("GoogleTranslate(C148, ""en"", ""my"")"),"ကြိး")</f>
        <v>ကြိး</v>
      </c>
      <c r="N148" s="7" t="str">
        <f>IFERROR(__xludf.DUMMYFUNCTION("GoogleTranslate(C148, ""en"", ""ca"")"),"Il·luminació")</f>
        <v>Il·luminació</v>
      </c>
      <c r="O148" s="7" t="str">
        <f>IFERROR(__xludf.DUMMYFUNCTION("GoogleTranslate(C148, ""en"", ""zh-cn"")"),"照明")</f>
        <v>照明</v>
      </c>
      <c r="P148" s="7" t="str">
        <f>IFERROR(__xludf.DUMMYFUNCTION("GoogleTranslate(C148, ""en"", ""zh-TW"")"),"照明")</f>
        <v>照明</v>
      </c>
      <c r="Q148" s="7" t="str">
        <f>IFERROR(__xludf.DUMMYFUNCTION("GoogleTranslate(C148, ""en"", ""hr"")"),"Osvjetljenje")</f>
        <v>Osvjetljenje</v>
      </c>
      <c r="R148" s="7" t="str">
        <f>IFERROR(__xludf.DUMMYFUNCTION("GoogleTranslate(C148, ""en"", ""cs"")"),"Osvětlení")</f>
        <v>Osvětlení</v>
      </c>
      <c r="S148" s="7" t="str">
        <f>IFERROR(__xludf.DUMMYFUNCTION("GoogleTranslate(C148, ""en"", ""da"")"),"Belysning")</f>
        <v>Belysning</v>
      </c>
      <c r="T148" s="7" t="str">
        <f>IFERROR(__xludf.DUMMYFUNCTION("GoogleTranslate(C148, ""en"", ""nl"")"),"Verlichting")</f>
        <v>Verlichting</v>
      </c>
      <c r="U148" s="7" t="str">
        <f>IFERROR(__xludf.DUMMYFUNCTION("GoogleTranslate(C148, ""en"", ""et"")"),"Valgustus")</f>
        <v>Valgustus</v>
      </c>
      <c r="V148" s="5" t="str">
        <f t="shared" si="3"/>
        <v>Illumination</v>
      </c>
      <c r="W148" s="7" t="str">
        <f>IFERROR(__xludf.DUMMYFUNCTION("GoogleTranslate(C148, ""en"", ""fi"")"),"Valaistus")</f>
        <v>Valaistus</v>
      </c>
      <c r="X148" s="7" t="str">
        <f>IFERROR(__xludf.DUMMYFUNCTION("GoogleTranslate(C148, ""en"", ""fr"")"),"Éclairage")</f>
        <v>Éclairage</v>
      </c>
      <c r="Y148" s="7" t="str">
        <f>IFERROR(__xludf.DUMMYFUNCTION("GoogleTranslate(C148, ""en"", ""de"")"),"Beleuchtung")</f>
        <v>Beleuchtung</v>
      </c>
      <c r="Z148" s="7" t="str">
        <f>IFERROR(__xludf.DUMMYFUNCTION("GoogleTranslate(C148, ""en"", ""el"")"),"Φωτισμός")</f>
        <v>Φωτισμός</v>
      </c>
      <c r="AA148" s="7" t="str">
        <f>IFERROR(__xludf.DUMMYFUNCTION("GoogleTranslate(C148, ""en"", ""iw"")"),"תְאוּרָה")</f>
        <v>תְאוּרָה</v>
      </c>
      <c r="AB148" s="7" t="str">
        <f>IFERROR(__xludf.DUMMYFUNCTION("GoogleTranslate(C148, ""en"", ""hi"")"),"रोशनी")</f>
        <v>रोशनी</v>
      </c>
      <c r="AC148" s="7" t="str">
        <f>IFERROR(__xludf.DUMMYFUNCTION("GoogleTranslate(C148, ""en"", ""hu"")"),"Megvilágítás")</f>
        <v>Megvilágítás</v>
      </c>
      <c r="AD148" s="7" t="str">
        <f>IFERROR(__xludf.DUMMYFUNCTION("GoogleTranslate(C148, ""en"", ""is"")"),"Lýsing")</f>
        <v>Lýsing</v>
      </c>
      <c r="AE148" s="7" t="str">
        <f>IFERROR(__xludf.DUMMYFUNCTION("GoogleTranslate(C148, ""en"", ""id"")"),"Penerangan")</f>
        <v>Penerangan</v>
      </c>
      <c r="AF148" s="7" t="str">
        <f>IFERROR(__xludf.DUMMYFUNCTION("GoogleTranslate(C148, ""en"", ""in"")"),"Penerangan")</f>
        <v>Penerangan</v>
      </c>
      <c r="AG148" s="7" t="str">
        <f>IFERROR(__xludf.DUMMYFUNCTION("GoogleTranslate(C148, ""en"", ""it"")"),"Illuminazione")</f>
        <v>Illuminazione</v>
      </c>
      <c r="AH148" s="7" t="str">
        <f>IFERROR(__xludf.DUMMYFUNCTION("GoogleTranslate(C148, ""en"", ""ja"")"),"照明")</f>
        <v>照明</v>
      </c>
      <c r="AI148" s="7" t="str">
        <f>IFERROR(__xludf.DUMMYFUNCTION("GoogleTranslate(C148, ""en"", ""kn"")"),"ಇಲ್ಯುಮಿನೇಷನ್")</f>
        <v>ಇಲ್ಯುಮಿನೇಷನ್</v>
      </c>
      <c r="AJ148" s="7" t="str">
        <f>IFERROR(__xludf.DUMMYFUNCTION("GoogleTranslate(C148, ""en"", ""km"")"),"ការបំភ្លឺ")</f>
        <v>ការបំភ្លឺ</v>
      </c>
      <c r="AK148" s="7" t="str">
        <f>IFERROR(__xludf.DUMMYFUNCTION("GoogleTranslate(C148, ""en"", ""ko"")"),"조명")</f>
        <v>조명</v>
      </c>
      <c r="AL148" s="7" t="str">
        <f>IFERROR(__xludf.DUMMYFUNCTION("GoogleTranslate(C148, ""en"", ""lo"")"),"ແສງໄຟ")</f>
        <v>ແສງໄຟ</v>
      </c>
      <c r="AM148" s="7" t="str">
        <f>IFERROR(__xludf.DUMMYFUNCTION("GoogleTranslate(C148, ""en"", ""lv"")"),"Apgaismojums")</f>
        <v>Apgaismojums</v>
      </c>
      <c r="AN148" s="7" t="str">
        <f>IFERROR(__xludf.DUMMYFUNCTION("GoogleTranslate(C148, ""en"", ""lt"")"),"Apšvietimas")</f>
        <v>Apšvietimas</v>
      </c>
      <c r="AO148" s="7" t="str">
        <f>IFERROR(__xludf.DUMMYFUNCTION("GoogleTranslate(C148, ""en"", ""mk"")"),"Осветлување")</f>
        <v>Осветлување</v>
      </c>
      <c r="AP148" s="7" t="str">
        <f>IFERROR(__xludf.DUMMYFUNCTION("GoogleTranslate(C148, ""en"", ""ms"")"),"Pencahayaan")</f>
        <v>Pencahayaan</v>
      </c>
      <c r="AQ148" s="7" t="str">
        <f>IFERROR(__xludf.DUMMYFUNCTION("GoogleTranslate(C148, ""en"", ""ml"")"),"പ്രകാശം")</f>
        <v>പ്രകാശം</v>
      </c>
      <c r="AR148" s="7" t="str">
        <f>IFERROR(__xludf.DUMMYFUNCTION("GoogleTranslate(C148, ""en"", ""mr"")"),"रोषणाई")</f>
        <v>रोषणाई</v>
      </c>
      <c r="AS148" s="7" t="str">
        <f>IFERROR(__xludf.DUMMYFUNCTION("GoogleTranslate(C148, ""en"", ""mn"")"),"Гэрэлтүүлэг")</f>
        <v>Гэрэлтүүлэг</v>
      </c>
      <c r="AT148" s="7" t="str">
        <f>IFERROR(__xludf.DUMMYFUNCTION("GoogleTranslate(C148, ""en"", ""ne"")"),"रोशनी")</f>
        <v>रोशनी</v>
      </c>
      <c r="AU148" s="7" t="str">
        <f>IFERROR(__xludf.DUMMYFUNCTION("GoogleTranslate(C148, ""en"", ""nb"")"),"Belysning")</f>
        <v>Belysning</v>
      </c>
      <c r="AV148" s="7" t="str">
        <f>IFERROR(__xludf.DUMMYFUNCTION("GoogleTranslate(C148, ""en"", ""fa"")"),"روشنایی")</f>
        <v>روشنایی</v>
      </c>
      <c r="AW148" s="7" t="str">
        <f>IFERROR(__xludf.DUMMYFUNCTION("GoogleTranslate(C148, ""en"", ""pl"")"),"Oświetlenie")</f>
        <v>Oświetlenie</v>
      </c>
      <c r="AX148" s="7" t="str">
        <f>IFERROR(__xludf.DUMMYFUNCTION("GoogleTranslate(C148, ""en"", ""pt"")"),"Iluminação")</f>
        <v>Iluminação</v>
      </c>
      <c r="AY148" s="7" t="str">
        <f>IFERROR(__xludf.DUMMYFUNCTION("GoogleTranslate(C148, ""en"", ""ro"")"),"Iluminare")</f>
        <v>Iluminare</v>
      </c>
      <c r="AZ148" s="7" t="str">
        <f>IFERROR(__xludf.DUMMYFUNCTION("GoogleTranslate(C148, ""en"", ""ru"")"),"Освещение")</f>
        <v>Освещение</v>
      </c>
      <c r="BA148" s="7" t="str">
        <f>IFERROR(__xludf.DUMMYFUNCTION("GoogleTranslate(C148, ""en"", ""sr"")"),"Осветљење")</f>
        <v>Осветљење</v>
      </c>
      <c r="BB148" s="7" t="str">
        <f>IFERROR(__xludf.DUMMYFUNCTION("GoogleTranslate(C148, ""en"", ""si"")"),"ආලෝකකරණය")</f>
        <v>ආලෝකකරණය</v>
      </c>
      <c r="BC148" s="7" t="str">
        <f>IFERROR(__xludf.DUMMYFUNCTION("GoogleTranslate(C148, ""en"", ""sk"")"),"Osvetlenie")</f>
        <v>Osvetlenie</v>
      </c>
      <c r="BD148" s="7" t="str">
        <f>IFERROR(__xludf.DUMMYFUNCTION("GoogleTranslate(C148, ""en"", ""sl"")"),"Osvetlitev")</f>
        <v>Osvetlitev</v>
      </c>
      <c r="BE148" s="7" t="str">
        <f>IFERROR(__xludf.DUMMYFUNCTION("GoogleTranslate(C148, ""en"", ""es"")"),"Iluminación")</f>
        <v>Iluminación</v>
      </c>
      <c r="BF148" s="7" t="str">
        <f>IFERROR(__xludf.DUMMYFUNCTION("GoogleTranslate(C148, ""en"", ""sw"")"),"Mwangaza")</f>
        <v>Mwangaza</v>
      </c>
      <c r="BG148" s="7" t="str">
        <f>IFERROR(__xludf.DUMMYFUNCTION("GoogleTranslate(C148, ""en"", ""sv"")"),"Belysning")</f>
        <v>Belysning</v>
      </c>
      <c r="BH148" s="7" t="str">
        <f>IFERROR(__xludf.DUMMYFUNCTION("GoogleTranslate(C148, ""en"", ""te"")"),"ప్రకాశం")</f>
        <v>ప్రకాశం</v>
      </c>
      <c r="BI148" s="7" t="str">
        <f>IFERROR(__xludf.DUMMYFUNCTION("GoogleTranslate(C148, ""en"", ""th"")"),"การส่องสว่าง")</f>
        <v>การส่องสว่าง</v>
      </c>
      <c r="BJ148" s="7" t="str">
        <f>IFERROR(__xludf.DUMMYFUNCTION("GoogleTranslate(C148, ""en"", ""tr"")"),"Aydınlatma")</f>
        <v>Aydınlatma</v>
      </c>
      <c r="BK148" s="7" t="str">
        <f>IFERROR(__xludf.DUMMYFUNCTION("GoogleTranslate(C148, ""en"", ""uk"")"),"освітлення")</f>
        <v>освітлення</v>
      </c>
      <c r="BL148" s="7" t="str">
        <f>IFERROR(__xludf.DUMMYFUNCTION("GoogleTranslate(C148, ""en"", ""zu"")"),"Ukukhanyisa")</f>
        <v>Ukukhanyisa</v>
      </c>
    </row>
    <row r="149">
      <c r="A149" s="5" t="str">
        <f t="shared" si="1"/>
        <v>Moonset</v>
      </c>
      <c r="B149" s="6" t="s">
        <v>205</v>
      </c>
      <c r="C149" s="5" t="str">
        <f t="shared" si="2"/>
        <v>Moonset</v>
      </c>
      <c r="D149" s="7" t="str">
        <f>IFERROR(__xludf.DUMMYFUNCTION("GoogleTranslate(C149, ""en"", ""es"")"),"Puesta de luna")</f>
        <v>Puesta de luna</v>
      </c>
      <c r="E149" s="7" t="str">
        <f>IFERROR(__xludf.DUMMYFUNCTION("GoogleTranslate(C149, ""en"", ""ar"")"),"غروب القمر")</f>
        <v>غروب القمر</v>
      </c>
      <c r="F149" s="7" t="str">
        <f>IFERROR(__xludf.DUMMYFUNCTION("GoogleTranslate(C149, ""en"", ""hy"")"),"Լուսնի մայրամուտ")</f>
        <v>Լուսնի մայրամուտ</v>
      </c>
      <c r="G149" s="7" t="str">
        <f>IFERROR(__xludf.DUMMYFUNCTION("GoogleTranslate(C149, ""en"", ""vi"")"),"Trăng lặn")</f>
        <v>Trăng lặn</v>
      </c>
      <c r="H149" s="7" t="str">
        <f>IFERROR(__xludf.DUMMYFUNCTION("GoogleTranslate(C149, ""en"", ""az"")"),"Ay batımı")</f>
        <v>Ay batımı</v>
      </c>
      <c r="I149" s="7" t="str">
        <f>IFERROR(__xludf.DUMMYFUNCTION("GoogleTranslate(C149, ""en"", ""eu"")"),"Ilargia")</f>
        <v>Ilargia</v>
      </c>
      <c r="J149" s="7" t="str">
        <f>IFERROR(__xludf.DUMMYFUNCTION("GoogleTranslate(C149, ""en"", ""be"")"),"Заход Месяца")</f>
        <v>Заход Месяца</v>
      </c>
      <c r="K149" s="7" t="str">
        <f>IFERROR(__xludf.DUMMYFUNCTION("GoogleTranslate(C149, ""en"", ""bn"")"),"মুনসেট")</f>
        <v>মুনসেট</v>
      </c>
      <c r="L149" s="7" t="str">
        <f>IFERROR(__xludf.DUMMYFUNCTION("GoogleTranslate(C149, ""en"", ""bg"")"),"Залез на Луната")</f>
        <v>Залез на Луната</v>
      </c>
      <c r="M149" s="7" t="str">
        <f>IFERROR(__xludf.DUMMYFUNCTION("GoogleTranslate(C149, ""en"", ""my"")"),"လမင်း")</f>
        <v>လမင်း</v>
      </c>
      <c r="N149" s="7" t="str">
        <f>IFERROR(__xludf.DUMMYFUNCTION("GoogleTranslate(C149, ""en"", ""ca"")"),"posta de lluna")</f>
        <v>posta de lluna</v>
      </c>
      <c r="O149" s="7" t="str">
        <f>IFERROR(__xludf.DUMMYFUNCTION("GoogleTranslate(C149, ""en"", ""zh-cn"")"),"月落")</f>
        <v>月落</v>
      </c>
      <c r="P149" s="7" t="str">
        <f>IFERROR(__xludf.DUMMYFUNCTION("GoogleTranslate(C149, ""en"", ""zh-TW"")"),"月落")</f>
        <v>月落</v>
      </c>
      <c r="Q149" s="7" t="str">
        <f>IFERROR(__xludf.DUMMYFUNCTION("GoogleTranslate(C149, ""en"", ""hr"")"),"zalazak mjeseca")</f>
        <v>zalazak mjeseca</v>
      </c>
      <c r="R149" s="7" t="str">
        <f>IFERROR(__xludf.DUMMYFUNCTION("GoogleTranslate(C149, ""en"", ""cs"")"),"Západ Měsíce")</f>
        <v>Západ Měsíce</v>
      </c>
      <c r="S149" s="7" t="str">
        <f>IFERROR(__xludf.DUMMYFUNCTION("GoogleTranslate(C149, ""en"", ""da"")"),"Månenedgang")</f>
        <v>Månenedgang</v>
      </c>
      <c r="T149" s="7" t="str">
        <f>IFERROR(__xludf.DUMMYFUNCTION("GoogleTranslate(C149, ""en"", ""nl"")"),"Maanondergang")</f>
        <v>Maanondergang</v>
      </c>
      <c r="U149" s="7" t="str">
        <f>IFERROR(__xludf.DUMMYFUNCTION("GoogleTranslate(C149, ""en"", ""et"")"),"Kuuloojang")</f>
        <v>Kuuloojang</v>
      </c>
      <c r="V149" s="5" t="str">
        <f t="shared" si="3"/>
        <v>Moonset</v>
      </c>
      <c r="W149" s="7" t="str">
        <f>IFERROR(__xludf.DUMMYFUNCTION("GoogleTranslate(C149, ""en"", ""fi"")"),"Kuunlasku")</f>
        <v>Kuunlasku</v>
      </c>
      <c r="X149" s="7" t="str">
        <f>IFERROR(__xludf.DUMMYFUNCTION("GoogleTranslate(C149, ""en"", ""fr"")"),"Coucher de lune")</f>
        <v>Coucher de lune</v>
      </c>
      <c r="Y149" s="7" t="str">
        <f>IFERROR(__xludf.DUMMYFUNCTION("GoogleTranslate(C149, ""en"", ""de"")"),"Monduntergang")</f>
        <v>Monduntergang</v>
      </c>
      <c r="Z149" s="7" t="str">
        <f>IFERROR(__xludf.DUMMYFUNCTION("GoogleTranslate(C149, ""en"", ""el"")"),"Δύση του φεγγαριού")</f>
        <v>Δύση του φεγγαριού</v>
      </c>
      <c r="AA149" s="7" t="str">
        <f>IFERROR(__xludf.DUMMYFUNCTION("GoogleTranslate(C149, ""en"", ""iw"")"),"שקיעת ירח")</f>
        <v>שקיעת ירח</v>
      </c>
      <c r="AB149" s="7" t="str">
        <f>IFERROR(__xludf.DUMMYFUNCTION("GoogleTranslate(C149, ""en"", ""hi"")"),"चंद्रास्त")</f>
        <v>चंद्रास्त</v>
      </c>
      <c r="AC149" s="7" t="str">
        <f>IFERROR(__xludf.DUMMYFUNCTION("GoogleTranslate(C149, ""en"", ""hu"")"),"Holdnyugta")</f>
        <v>Holdnyugta</v>
      </c>
      <c r="AD149" s="7" t="str">
        <f>IFERROR(__xludf.DUMMYFUNCTION("GoogleTranslate(C149, ""en"", ""is"")"),"Tunglsetur")</f>
        <v>Tunglsetur</v>
      </c>
      <c r="AE149" s="7" t="str">
        <f>IFERROR(__xludf.DUMMYFUNCTION("GoogleTranslate(C149, ""en"", ""id"")"),"Bulan terbenam")</f>
        <v>Bulan terbenam</v>
      </c>
      <c r="AF149" s="7" t="str">
        <f>IFERROR(__xludf.DUMMYFUNCTION("GoogleTranslate(C149, ""en"", ""in"")"),"Bulan terbenam")</f>
        <v>Bulan terbenam</v>
      </c>
      <c r="AG149" s="7" t="str">
        <f>IFERROR(__xludf.DUMMYFUNCTION("GoogleTranslate(C149, ""en"", ""it"")"),"Tramonto della luna")</f>
        <v>Tramonto della luna</v>
      </c>
      <c r="AH149" s="7" t="str">
        <f>IFERROR(__xludf.DUMMYFUNCTION("GoogleTranslate(C149, ""en"", ""ja"")"),"月の入り")</f>
        <v>月の入り</v>
      </c>
      <c r="AI149" s="7" t="str">
        <f>IFERROR(__xludf.DUMMYFUNCTION("GoogleTranslate(C149, ""en"", ""kn"")"),"ಮೂನ್ಸೆಟ್")</f>
        <v>ಮೂನ್ಸೆಟ್</v>
      </c>
      <c r="AJ149" s="7" t="str">
        <f>IFERROR(__xludf.DUMMYFUNCTION("GoogleTranslate(C149, ""en"", ""km"")"),"ព្រះច័ន្ទ")</f>
        <v>ព្រះច័ន្ទ</v>
      </c>
      <c r="AK149" s="7" t="str">
        <f>IFERROR(__xludf.DUMMYFUNCTION("GoogleTranslate(C149, ""en"", ""ko"")"),"월몰")</f>
        <v>월몰</v>
      </c>
      <c r="AL149" s="7" t="str">
        <f>IFERROR(__xludf.DUMMYFUNCTION("GoogleTranslate(C149, ""en"", ""lo"")"),"Moonset")</f>
        <v>Moonset</v>
      </c>
      <c r="AM149" s="7" t="str">
        <f>IFERROR(__xludf.DUMMYFUNCTION("GoogleTranslate(C149, ""en"", ""lv"")"),"Mēness riets")</f>
        <v>Mēness riets</v>
      </c>
      <c r="AN149" s="7" t="str">
        <f>IFERROR(__xludf.DUMMYFUNCTION("GoogleTranslate(C149, ""en"", ""lt"")"),"Mėnulio leidimas")</f>
        <v>Mėnulio leidimas</v>
      </c>
      <c r="AO149" s="7" t="str">
        <f>IFERROR(__xludf.DUMMYFUNCTION("GoogleTranslate(C149, ""en"", ""mk"")"),"Заоѓање на месечината")</f>
        <v>Заоѓање на месечината</v>
      </c>
      <c r="AP149" s="7" t="str">
        <f>IFERROR(__xludf.DUMMYFUNCTION("GoogleTranslate(C149, ""en"", ""ms"")"),"Bulan terbenam")</f>
        <v>Bulan terbenam</v>
      </c>
      <c r="AQ149" s="7" t="str">
        <f>IFERROR(__xludf.DUMMYFUNCTION("GoogleTranslate(C149, ""en"", ""ml"")"),"അമാവാസി")</f>
        <v>അമാവാസി</v>
      </c>
      <c r="AR149" s="7" t="str">
        <f>IFERROR(__xludf.DUMMYFUNCTION("GoogleTranslate(C149, ""en"", ""mr"")"),"चंद्रास्त")</f>
        <v>चंद्रास्त</v>
      </c>
      <c r="AS149" s="7" t="str">
        <f>IFERROR(__xludf.DUMMYFUNCTION("GoogleTranslate(C149, ""en"", ""mn"")"),"Сар жаргах")</f>
        <v>Сар жаргах</v>
      </c>
      <c r="AT149" s="7" t="str">
        <f>IFERROR(__xludf.DUMMYFUNCTION("GoogleTranslate(C149, ""en"", ""ne"")"),"चन्द्रमा")</f>
        <v>चन्द्रमा</v>
      </c>
      <c r="AU149" s="7" t="str">
        <f>IFERROR(__xludf.DUMMYFUNCTION("GoogleTranslate(C149, ""en"", ""nb"")"),"Månenedgang")</f>
        <v>Månenedgang</v>
      </c>
      <c r="AV149" s="7" t="str">
        <f>IFERROR(__xludf.DUMMYFUNCTION("GoogleTranslate(C149, ""en"", ""fa"")"),"غروب ماه")</f>
        <v>غروب ماه</v>
      </c>
      <c r="AW149" s="7" t="str">
        <f>IFERROR(__xludf.DUMMYFUNCTION("GoogleTranslate(C149, ""en"", ""pl"")"),"Zachód Księżyca")</f>
        <v>Zachód Księżyca</v>
      </c>
      <c r="AX149" s="7" t="str">
        <f>IFERROR(__xludf.DUMMYFUNCTION("GoogleTranslate(C149, ""en"", ""pt"")"),"Pôr da lua")</f>
        <v>Pôr da lua</v>
      </c>
      <c r="AY149" s="7" t="str">
        <f>IFERROR(__xludf.DUMMYFUNCTION("GoogleTranslate(C149, ""en"", ""ro"")"),"Apusul lunii")</f>
        <v>Apusul lunii</v>
      </c>
      <c r="AZ149" s="7" t="str">
        <f>IFERROR(__xludf.DUMMYFUNCTION("GoogleTranslate(C149, ""en"", ""ru"")"),"Заход Луны")</f>
        <v>Заход Луны</v>
      </c>
      <c r="BA149" s="7" t="str">
        <f>IFERROR(__xludf.DUMMYFUNCTION("GoogleTranslate(C149, ""en"", ""sr"")"),"Моонсет")</f>
        <v>Моонсет</v>
      </c>
      <c r="BB149" s="7" t="str">
        <f>IFERROR(__xludf.DUMMYFUNCTION("GoogleTranslate(C149, ""en"", ""si"")"),"සඳ බැස යාම")</f>
        <v>සඳ බැස යාම</v>
      </c>
      <c r="BC149" s="7" t="str">
        <f>IFERROR(__xludf.DUMMYFUNCTION("GoogleTranslate(C149, ""en"", ""sk"")"),"Západ mesiaca")</f>
        <v>Západ mesiaca</v>
      </c>
      <c r="BD149" s="7" t="str">
        <f>IFERROR(__xludf.DUMMYFUNCTION("GoogleTranslate(C149, ""en"", ""sl"")"),"Moonset")</f>
        <v>Moonset</v>
      </c>
      <c r="BE149" s="7" t="str">
        <f>IFERROR(__xludf.DUMMYFUNCTION("GoogleTranslate(C149, ""en"", ""es"")"),"Puesta de luna")</f>
        <v>Puesta de luna</v>
      </c>
      <c r="BF149" s="7" t="str">
        <f>IFERROR(__xludf.DUMMYFUNCTION("GoogleTranslate(C149, ""en"", ""sw"")"),"Mwezi wa mwezi")</f>
        <v>Mwezi wa mwezi</v>
      </c>
      <c r="BG149" s="7" t="str">
        <f>IFERROR(__xludf.DUMMYFUNCTION("GoogleTranslate(C149, ""en"", ""sv"")"),"Månnedgång")</f>
        <v>Månnedgång</v>
      </c>
      <c r="BH149" s="7" t="str">
        <f>IFERROR(__xludf.DUMMYFUNCTION("GoogleTranslate(C149, ""en"", ""te"")"),"మూన్సెట్")</f>
        <v>మూన్సెట్</v>
      </c>
      <c r="BI149" s="7" t="str">
        <f>IFERROR(__xludf.DUMMYFUNCTION("GoogleTranslate(C149, ""en"", ""th"")"),"พระจันทร์ตก")</f>
        <v>พระจันทร์ตก</v>
      </c>
      <c r="BJ149" s="7" t="str">
        <f>IFERROR(__xludf.DUMMYFUNCTION("GoogleTranslate(C149, ""en"", ""tr"")"),"Ayın batışı")</f>
        <v>Ayın batışı</v>
      </c>
      <c r="BK149" s="7" t="str">
        <f>IFERROR(__xludf.DUMMYFUNCTION("GoogleTranslate(C149, ""en"", ""uk"")"),"Захід місяця")</f>
        <v>Захід місяця</v>
      </c>
      <c r="BL149" s="7" t="str">
        <f>IFERROR(__xludf.DUMMYFUNCTION("GoogleTranslate(C149, ""en"", ""zu"")"),"I-Moonset")</f>
        <v>I-Moonset</v>
      </c>
    </row>
    <row r="150">
      <c r="A150" s="5" t="str">
        <f t="shared" si="1"/>
        <v>Moonrise</v>
      </c>
      <c r="B150" s="6" t="s">
        <v>206</v>
      </c>
      <c r="C150" s="5" t="str">
        <f t="shared" si="2"/>
        <v>Moonrise</v>
      </c>
      <c r="D150" s="7" t="str">
        <f>IFERROR(__xludf.DUMMYFUNCTION("GoogleTranslate(C150, ""en"", ""es"")"),"salida de la luna")</f>
        <v>salida de la luna</v>
      </c>
      <c r="E150" s="7" t="str">
        <f>IFERROR(__xludf.DUMMYFUNCTION("GoogleTranslate(C150, ""en"", ""ar"")"),"طلوع القمر")</f>
        <v>طلوع القمر</v>
      </c>
      <c r="F150" s="7" t="str">
        <f>IFERROR(__xludf.DUMMYFUNCTION("GoogleTranslate(C150, ""en"", ""hy"")"),"Լուսնի ծագում")</f>
        <v>Լուսնի ծագում</v>
      </c>
      <c r="G150" s="7" t="str">
        <f>IFERROR(__xludf.DUMMYFUNCTION("GoogleTranslate(C150, ""en"", ""vi"")"),"Trăng mọc")</f>
        <v>Trăng mọc</v>
      </c>
      <c r="H150" s="7" t="str">
        <f>IFERROR(__xludf.DUMMYFUNCTION("GoogleTranslate(C150, ""en"", ""az"")"),"Ayın çıxması")</f>
        <v>Ayın çıxması</v>
      </c>
      <c r="I150" s="7" t="str">
        <f>IFERROR(__xludf.DUMMYFUNCTION("GoogleTranslate(C150, ""en"", ""eu"")"),"Ilargia")</f>
        <v>Ilargia</v>
      </c>
      <c r="J150" s="7" t="str">
        <f>IFERROR(__xludf.DUMMYFUNCTION("GoogleTranslate(C150, ""en"", ""be"")"),"Узыход месяца")</f>
        <v>Узыход месяца</v>
      </c>
      <c r="K150" s="7" t="str">
        <f>IFERROR(__xludf.DUMMYFUNCTION("GoogleTranslate(C150, ""en"", ""bn"")"),"চন্দ্রোদয়")</f>
        <v>চন্দ্রোদয়</v>
      </c>
      <c r="L150" s="7" t="str">
        <f>IFERROR(__xludf.DUMMYFUNCTION("GoogleTranslate(C150, ""en"", ""bg"")"),"Изгрев на луната")</f>
        <v>Изгрев на луната</v>
      </c>
      <c r="M150" s="7" t="str">
        <f>IFERROR(__xludf.DUMMYFUNCTION("GoogleTranslate(C150, ""en"", ""my"")"),"လရောင်")</f>
        <v>လရောင်</v>
      </c>
      <c r="N150" s="7" t="str">
        <f>IFERROR(__xludf.DUMMYFUNCTION("GoogleTranslate(C150, ""en"", ""ca"")"),"Sortida de la lluna")</f>
        <v>Sortida de la lluna</v>
      </c>
      <c r="O150" s="7" t="str">
        <f>IFERROR(__xludf.DUMMYFUNCTION("GoogleTranslate(C150, ""en"", ""zh-cn"")"),"月出")</f>
        <v>月出</v>
      </c>
      <c r="P150" s="7" t="str">
        <f>IFERROR(__xludf.DUMMYFUNCTION("GoogleTranslate(C150, ""en"", ""zh-TW"")"),"月出")</f>
        <v>月出</v>
      </c>
      <c r="Q150" s="7" t="str">
        <f>IFERROR(__xludf.DUMMYFUNCTION("GoogleTranslate(C150, ""en"", ""hr"")"),"izlazak mjeseca")</f>
        <v>izlazak mjeseca</v>
      </c>
      <c r="R150" s="7" t="str">
        <f>IFERROR(__xludf.DUMMYFUNCTION("GoogleTranslate(C150, ""en"", ""cs"")"),"Východ měsíce")</f>
        <v>Východ měsíce</v>
      </c>
      <c r="S150" s="7" t="str">
        <f>IFERROR(__xludf.DUMMYFUNCTION("GoogleTranslate(C150, ""en"", ""da"")"),"Måneopgang")</f>
        <v>Måneopgang</v>
      </c>
      <c r="T150" s="7" t="str">
        <f>IFERROR(__xludf.DUMMYFUNCTION("GoogleTranslate(C150, ""en"", ""nl"")"),"Maanopkomst")</f>
        <v>Maanopkomst</v>
      </c>
      <c r="U150" s="7" t="str">
        <f>IFERROR(__xludf.DUMMYFUNCTION("GoogleTranslate(C150, ""en"", ""et"")"),"Kuutõus")</f>
        <v>Kuutõus</v>
      </c>
      <c r="V150" s="5" t="str">
        <f t="shared" si="3"/>
        <v>Moonrise</v>
      </c>
      <c r="W150" s="7" t="str">
        <f>IFERROR(__xludf.DUMMYFUNCTION("GoogleTranslate(C150, ""en"", ""fi"")"),"Kuunnousu")</f>
        <v>Kuunnousu</v>
      </c>
      <c r="X150" s="7" t="str">
        <f>IFERROR(__xludf.DUMMYFUNCTION("GoogleTranslate(C150, ""en"", ""fr"")"),"Lever de lune")</f>
        <v>Lever de lune</v>
      </c>
      <c r="Y150" s="7" t="str">
        <f>IFERROR(__xludf.DUMMYFUNCTION("GoogleTranslate(C150, ""en"", ""de"")"),"Mondaufgang")</f>
        <v>Mondaufgang</v>
      </c>
      <c r="Z150" s="7" t="str">
        <f>IFERROR(__xludf.DUMMYFUNCTION("GoogleTranslate(C150, ""en"", ""el"")"),"Ανατολή Σελήνης")</f>
        <v>Ανατολή Σελήνης</v>
      </c>
      <c r="AA150" s="7" t="str">
        <f>IFERROR(__xludf.DUMMYFUNCTION("GoogleTranslate(C150, ""en"", ""iw"")"),"זריחת ירח")</f>
        <v>זריחת ירח</v>
      </c>
      <c r="AB150" s="7" t="str">
        <f>IFERROR(__xludf.DUMMYFUNCTION("GoogleTranslate(C150, ""en"", ""hi"")"),"चंद्रोदय")</f>
        <v>चंद्रोदय</v>
      </c>
      <c r="AC150" s="7" t="str">
        <f>IFERROR(__xludf.DUMMYFUNCTION("GoogleTranslate(C150, ""en"", ""hu"")"),"Holdkelte")</f>
        <v>Holdkelte</v>
      </c>
      <c r="AD150" s="7" t="str">
        <f>IFERROR(__xludf.DUMMYFUNCTION("GoogleTranslate(C150, ""en"", ""is"")"),"Tunglupprás")</f>
        <v>Tunglupprás</v>
      </c>
      <c r="AE150" s="7" t="str">
        <f>IFERROR(__xludf.DUMMYFUNCTION("GoogleTranslate(C150, ""en"", ""id"")"),"Bulan terbit")</f>
        <v>Bulan terbit</v>
      </c>
      <c r="AF150" s="7" t="str">
        <f>IFERROR(__xludf.DUMMYFUNCTION("GoogleTranslate(C150, ""en"", ""in"")"),"Bulan terbit")</f>
        <v>Bulan terbit</v>
      </c>
      <c r="AG150" s="7" t="str">
        <f>IFERROR(__xludf.DUMMYFUNCTION("GoogleTranslate(C150, ""en"", ""it"")"),"Sorgere della luna")</f>
        <v>Sorgere della luna</v>
      </c>
      <c r="AH150" s="7" t="str">
        <f>IFERROR(__xludf.DUMMYFUNCTION("GoogleTranslate(C150, ""en"", ""ja"")"),"月の出")</f>
        <v>月の出</v>
      </c>
      <c r="AI150" s="7" t="str">
        <f>IFERROR(__xludf.DUMMYFUNCTION("GoogleTranslate(C150, ""en"", ""kn"")"),"ಚಂದ್ರೋದಯ")</f>
        <v>ಚಂದ್ರೋದಯ</v>
      </c>
      <c r="AJ150" s="7" t="str">
        <f>IFERROR(__xludf.DUMMYFUNCTION("GoogleTranslate(C150, ""en"", ""km"")"),"ព្រះច័ន្ទរះ")</f>
        <v>ព្រះច័ន្ទរះ</v>
      </c>
      <c r="AK150" s="7" t="str">
        <f>IFERROR(__xludf.DUMMYFUNCTION("GoogleTranslate(C150, ""en"", ""ko"")"),"문라이즈")</f>
        <v>문라이즈</v>
      </c>
      <c r="AL150" s="7" t="str">
        <f>IFERROR(__xludf.DUMMYFUNCTION("GoogleTranslate(C150, ""en"", ""lo"")"),"Moonrise")</f>
        <v>Moonrise</v>
      </c>
      <c r="AM150" s="7" t="str">
        <f>IFERROR(__xludf.DUMMYFUNCTION("GoogleTranslate(C150, ""en"", ""lv"")"),"Mēness lēkts")</f>
        <v>Mēness lēkts</v>
      </c>
      <c r="AN150" s="7" t="str">
        <f>IFERROR(__xludf.DUMMYFUNCTION("GoogleTranslate(C150, ""en"", ""lt"")"),"Mėnulio pakilimas")</f>
        <v>Mėnulio pakilimas</v>
      </c>
      <c r="AO150" s="7" t="str">
        <f>IFERROR(__xludf.DUMMYFUNCTION("GoogleTranslate(C150, ""en"", ""mk"")"),"Изгрејсонце")</f>
        <v>Изгрејсонце</v>
      </c>
      <c r="AP150" s="7" t="str">
        <f>IFERROR(__xludf.DUMMYFUNCTION("GoogleTranslate(C150, ""en"", ""ms"")"),"Bulan terbit")</f>
        <v>Bulan terbit</v>
      </c>
      <c r="AQ150" s="7" t="str">
        <f>IFERROR(__xludf.DUMMYFUNCTION("GoogleTranslate(C150, ""en"", ""ml"")"),"ചന്ദ്രോദയം")</f>
        <v>ചന്ദ്രോദയം</v>
      </c>
      <c r="AR150" s="7" t="str">
        <f>IFERROR(__xludf.DUMMYFUNCTION("GoogleTranslate(C150, ""en"", ""mr"")"),"चंद्रोदय")</f>
        <v>चंद्रोदय</v>
      </c>
      <c r="AS150" s="7" t="str">
        <f>IFERROR(__xludf.DUMMYFUNCTION("GoogleTranslate(C150, ""en"", ""mn"")"),"Сар мандах")</f>
        <v>Сар мандах</v>
      </c>
      <c r="AT150" s="7" t="str">
        <f>IFERROR(__xludf.DUMMYFUNCTION("GoogleTranslate(C150, ""en"", ""ne"")"),"चन्द्रोदय")</f>
        <v>चन्द्रोदय</v>
      </c>
      <c r="AU150" s="7" t="str">
        <f>IFERROR(__xludf.DUMMYFUNCTION("GoogleTranslate(C150, ""en"", ""nb"")"),"Måneoppgang")</f>
        <v>Måneoppgang</v>
      </c>
      <c r="AV150" s="7" t="str">
        <f>IFERROR(__xludf.DUMMYFUNCTION("GoogleTranslate(C150, ""en"", ""fa"")"),"طلوع ماه")</f>
        <v>طلوع ماه</v>
      </c>
      <c r="AW150" s="7" t="str">
        <f>IFERROR(__xludf.DUMMYFUNCTION("GoogleTranslate(C150, ""en"", ""pl"")"),"Wschód Księżyca")</f>
        <v>Wschód Księżyca</v>
      </c>
      <c r="AX150" s="7" t="str">
        <f>IFERROR(__xludf.DUMMYFUNCTION("GoogleTranslate(C150, ""en"", ""pt"")"),"Nascer da lua")</f>
        <v>Nascer da lua</v>
      </c>
      <c r="AY150" s="7" t="str">
        <f>IFERROR(__xludf.DUMMYFUNCTION("GoogleTranslate(C150, ""en"", ""ro"")"),"Răsărit de lună")</f>
        <v>Răsărit de lună</v>
      </c>
      <c r="AZ150" s="7" t="str">
        <f>IFERROR(__xludf.DUMMYFUNCTION("GoogleTranslate(C150, ""en"", ""ru"")"),"Восход луны")</f>
        <v>Восход луны</v>
      </c>
      <c r="BA150" s="7" t="str">
        <f>IFERROR(__xludf.DUMMYFUNCTION("GoogleTranslate(C150, ""en"", ""sr"")"),"Моонрисе")</f>
        <v>Моонрисе</v>
      </c>
      <c r="BB150" s="7" t="str">
        <f>IFERROR(__xludf.DUMMYFUNCTION("GoogleTranslate(C150, ""en"", ""si"")"),"සඳ පායන")</f>
        <v>සඳ පායන</v>
      </c>
      <c r="BC150" s="7" t="str">
        <f>IFERROR(__xludf.DUMMYFUNCTION("GoogleTranslate(C150, ""en"", ""sk"")"),"Východ mesiaca")</f>
        <v>Východ mesiaca</v>
      </c>
      <c r="BD150" s="7" t="str">
        <f>IFERROR(__xludf.DUMMYFUNCTION("GoogleTranslate(C150, ""en"", ""sl"")"),"Moonrise")</f>
        <v>Moonrise</v>
      </c>
      <c r="BE150" s="7" t="str">
        <f>IFERROR(__xludf.DUMMYFUNCTION("GoogleTranslate(C150, ""en"", ""es"")"),"salida de la luna")</f>
        <v>salida de la luna</v>
      </c>
      <c r="BF150" s="7" t="str">
        <f>IFERROR(__xludf.DUMMYFUNCTION("GoogleTranslate(C150, ""en"", ""sw"")"),"Kupanda kwa mwezi")</f>
        <v>Kupanda kwa mwezi</v>
      </c>
      <c r="BG150" s="7" t="str">
        <f>IFERROR(__xludf.DUMMYFUNCTION("GoogleTranslate(C150, ""en"", ""sv"")"),"Månuppgång")</f>
        <v>Månuppgång</v>
      </c>
      <c r="BH150" s="7" t="str">
        <f>IFERROR(__xludf.DUMMYFUNCTION("GoogleTranslate(C150, ""en"", ""te"")"),"చంద్రోదయం")</f>
        <v>చంద్రోదయం</v>
      </c>
      <c r="BI150" s="7" t="str">
        <f>IFERROR(__xludf.DUMMYFUNCTION("GoogleTranslate(C150, ""en"", ""th"")"),"พระจันทร์ขึ้น")</f>
        <v>พระจันทร์ขึ้น</v>
      </c>
      <c r="BJ150" s="7" t="str">
        <f>IFERROR(__xludf.DUMMYFUNCTION("GoogleTranslate(C150, ""en"", ""tr"")"),"Ayın Doğuşu")</f>
        <v>Ayın Doğuşu</v>
      </c>
      <c r="BK150" s="7" t="str">
        <f>IFERROR(__xludf.DUMMYFUNCTION("GoogleTranslate(C150, ""en"", ""uk"")"),"Схід місяця")</f>
        <v>Схід місяця</v>
      </c>
      <c r="BL150" s="7" t="str">
        <f>IFERROR(__xludf.DUMMYFUNCTION("GoogleTranslate(C150, ""en"", ""zu"")"),"Ukuphuma kwenyanga")</f>
        <v>Ukuphuma kwenyanga</v>
      </c>
    </row>
    <row r="151">
      <c r="A151" s="5" t="str">
        <f t="shared" si="1"/>
        <v>Next_Full_Moon</v>
      </c>
      <c r="B151" s="6" t="s">
        <v>207</v>
      </c>
      <c r="C151" s="5" t="str">
        <f t="shared" si="2"/>
        <v>Next Full Moon</v>
      </c>
      <c r="D151" s="7" t="str">
        <f>IFERROR(__xludf.DUMMYFUNCTION("GoogleTranslate(C151, ""en"", ""es"")"),"Próxima luna llena")</f>
        <v>Próxima luna llena</v>
      </c>
      <c r="E151" s="7" t="str">
        <f>IFERROR(__xludf.DUMMYFUNCTION("GoogleTranslate(C151, ""en"", ""ar"")"),"اكتمال القمر القادم")</f>
        <v>اكتمال القمر القادم</v>
      </c>
      <c r="F151" s="7" t="str">
        <f>IFERROR(__xludf.DUMMYFUNCTION("GoogleTranslate(C151, ""en"", ""hy"")"),"Հաջորդ Լիալուսին")</f>
        <v>Հաջորդ Լիալուսին</v>
      </c>
      <c r="G151" s="7" t="str">
        <f>IFERROR(__xludf.DUMMYFUNCTION("GoogleTranslate(C151, ""en"", ""vi"")"),"Trăng tròn tiếp theo")</f>
        <v>Trăng tròn tiếp theo</v>
      </c>
      <c r="H151" s="7" t="str">
        <f>IFERROR(__xludf.DUMMYFUNCTION("GoogleTranslate(C151, ""en"", ""az"")"),"Növbəti Tam Ay")</f>
        <v>Növbəti Tam Ay</v>
      </c>
      <c r="I151" s="7" t="str">
        <f>IFERROR(__xludf.DUMMYFUNCTION("GoogleTranslate(C151, ""en"", ""eu"")"),"Hurrengo Ilargi betea")</f>
        <v>Hurrengo Ilargi betea</v>
      </c>
      <c r="J151" s="7" t="str">
        <f>IFERROR(__xludf.DUMMYFUNCTION("GoogleTranslate(C151, ""en"", ""be"")"),"Наступная поўня")</f>
        <v>Наступная поўня</v>
      </c>
      <c r="K151" s="7" t="str">
        <f>IFERROR(__xludf.DUMMYFUNCTION("GoogleTranslate(C151, ""en"", ""bn"")"),"পরবর্তী পূর্ণিমা")</f>
        <v>পরবর্তী পূর্ণিমা</v>
      </c>
      <c r="L151" s="7" t="str">
        <f>IFERROR(__xludf.DUMMYFUNCTION("GoogleTranslate(C151, ""en"", ""bg"")"),"Следва пълнолуние")</f>
        <v>Следва пълнолуние</v>
      </c>
      <c r="M151" s="7" t="str">
        <f>IFERROR(__xludf.DUMMYFUNCTION("GoogleTranslate(C151, ""en"", ""my"")"),"လာမည့် ဝါဆိုလပြည့်")</f>
        <v>လာမည့် ဝါဆိုလပြည့်</v>
      </c>
      <c r="N151" s="7" t="str">
        <f>IFERROR(__xludf.DUMMYFUNCTION("GoogleTranslate(C151, ""en"", ""ca"")"),"Propera lluna plena")</f>
        <v>Propera lluna plena</v>
      </c>
      <c r="O151" s="7" t="str">
        <f>IFERROR(__xludf.DUMMYFUNCTION("GoogleTranslate(C151, ""en"", ""zh-cn"")"),"下一个满月")</f>
        <v>下一个满月</v>
      </c>
      <c r="P151" s="7" t="str">
        <f>IFERROR(__xludf.DUMMYFUNCTION("GoogleTranslate(C151, ""en"", ""zh-TW"")"),"下一個滿月")</f>
        <v>下一個滿月</v>
      </c>
      <c r="Q151" s="7" t="str">
        <f>IFERROR(__xludf.DUMMYFUNCTION("GoogleTranslate(C151, ""en"", ""hr"")"),"Sljedeći pun mjesec")</f>
        <v>Sljedeći pun mjesec</v>
      </c>
      <c r="R151" s="7" t="str">
        <f>IFERROR(__xludf.DUMMYFUNCTION("GoogleTranslate(C151, ""en"", ""cs"")"),"Příští úplněk")</f>
        <v>Příští úplněk</v>
      </c>
      <c r="S151" s="7" t="str">
        <f>IFERROR(__xludf.DUMMYFUNCTION("GoogleTranslate(C151, ""en"", ""da"")"),"Næste fuldmåne")</f>
        <v>Næste fuldmåne</v>
      </c>
      <c r="T151" s="7" t="str">
        <f>IFERROR(__xludf.DUMMYFUNCTION("GoogleTranslate(C151, ""en"", ""nl"")"),"Volgende Volle Maan")</f>
        <v>Volgende Volle Maan</v>
      </c>
      <c r="U151" s="7" t="str">
        <f>IFERROR(__xludf.DUMMYFUNCTION("GoogleTranslate(C151, ""en"", ""et"")"),"Järgmine täiskuu")</f>
        <v>Järgmine täiskuu</v>
      </c>
      <c r="V151" s="5" t="str">
        <f t="shared" si="3"/>
        <v>Next Full Moon</v>
      </c>
      <c r="W151" s="7" t="str">
        <f>IFERROR(__xludf.DUMMYFUNCTION("GoogleTranslate(C151, ""en"", ""fi"")"),"Seuraava täysikuu")</f>
        <v>Seuraava täysikuu</v>
      </c>
      <c r="X151" s="7" t="str">
        <f>IFERROR(__xludf.DUMMYFUNCTION("GoogleTranslate(C151, ""en"", ""fr"")"),"Prochaine Pleine Lune")</f>
        <v>Prochaine Pleine Lune</v>
      </c>
      <c r="Y151" s="7" t="str">
        <f>IFERROR(__xludf.DUMMYFUNCTION("GoogleTranslate(C151, ""en"", ""de"")"),"Nächster Vollmond")</f>
        <v>Nächster Vollmond</v>
      </c>
      <c r="Z151" s="7" t="str">
        <f>IFERROR(__xludf.DUMMYFUNCTION("GoogleTranslate(C151, ""en"", ""el"")"),"Επόμενη Πανσέληνος")</f>
        <v>Επόμενη Πανσέληνος</v>
      </c>
      <c r="AA151" s="7" t="str">
        <f>IFERROR(__xludf.DUMMYFUNCTION("GoogleTranslate(C151, ""en"", ""iw"")"),"ירח מלא הבא")</f>
        <v>ירח מלא הבא</v>
      </c>
      <c r="AB151" s="7" t="str">
        <f>IFERROR(__xludf.DUMMYFUNCTION("GoogleTranslate(C151, ""en"", ""hi"")"),"अगली पूर्णिमा")</f>
        <v>अगली पूर्णिमा</v>
      </c>
      <c r="AC151" s="7" t="str">
        <f>IFERROR(__xludf.DUMMYFUNCTION("GoogleTranslate(C151, ""en"", ""hu"")"),"Következő Telihold")</f>
        <v>Következő Telihold</v>
      </c>
      <c r="AD151" s="7" t="str">
        <f>IFERROR(__xludf.DUMMYFUNCTION("GoogleTranslate(C151, ""en"", ""is"")"),"Næsta fullt tungl")</f>
        <v>Næsta fullt tungl</v>
      </c>
      <c r="AE151" s="7" t="str">
        <f>IFERROR(__xludf.DUMMYFUNCTION("GoogleTranslate(C151, ""en"", ""id"")"),"Bulan Purnama berikutnya")</f>
        <v>Bulan Purnama berikutnya</v>
      </c>
      <c r="AF151" s="7" t="str">
        <f>IFERROR(__xludf.DUMMYFUNCTION("GoogleTranslate(C151, ""en"", ""in"")"),"Bulan Purnama berikutnya")</f>
        <v>Bulan Purnama berikutnya</v>
      </c>
      <c r="AG151" s="7" t="str">
        <f>IFERROR(__xludf.DUMMYFUNCTION("GoogleTranslate(C151, ""en"", ""it"")"),"Prossima Luna Piena")</f>
        <v>Prossima Luna Piena</v>
      </c>
      <c r="AH151" s="7" t="str">
        <f>IFERROR(__xludf.DUMMYFUNCTION("GoogleTranslate(C151, ""en"", ""ja"")"),"次の満月")</f>
        <v>次の満月</v>
      </c>
      <c r="AI151" s="7" t="str">
        <f>IFERROR(__xludf.DUMMYFUNCTION("GoogleTranslate(C151, ""en"", ""kn"")"),"ಮುಂದಿನ ಹುಣ್ಣಿಮೆ")</f>
        <v>ಮುಂದಿನ ಹುಣ್ಣಿಮೆ</v>
      </c>
      <c r="AJ151" s="7" t="str">
        <f>IFERROR(__xludf.DUMMYFUNCTION("GoogleTranslate(C151, ""en"", ""km"")"),"ព្រះច័ន្ទពេញវង់បន្ទាប់")</f>
        <v>ព្រះច័ន្ទពេញវង់បន្ទាប់</v>
      </c>
      <c r="AK151" s="7" t="str">
        <f>IFERROR(__xludf.DUMMYFUNCTION("GoogleTranslate(C151, ""en"", ""ko"")"),"다음 보름달")</f>
        <v>다음 보름달</v>
      </c>
      <c r="AL151" s="7" t="str">
        <f>IFERROR(__xludf.DUMMYFUNCTION("GoogleTranslate(C151, ""en"", ""lo"")"),"ເດືອນເຕັມດວງຕໍ່ໄປ")</f>
        <v>ເດືອນເຕັມດວງຕໍ່ໄປ</v>
      </c>
      <c r="AM151" s="7" t="str">
        <f>IFERROR(__xludf.DUMMYFUNCTION("GoogleTranslate(C151, ""en"", ""lv"")"),"Nākamais pilnmēness")</f>
        <v>Nākamais pilnmēness</v>
      </c>
      <c r="AN151" s="7" t="str">
        <f>IFERROR(__xludf.DUMMYFUNCTION("GoogleTranslate(C151, ""en"", ""lt"")"),"Kita pilnatis")</f>
        <v>Kita pilnatis</v>
      </c>
      <c r="AO151" s="7" t="str">
        <f>IFERROR(__xludf.DUMMYFUNCTION("GoogleTranslate(C151, ""en"", ""mk"")"),"Следна полна месечина")</f>
        <v>Следна полна месечина</v>
      </c>
      <c r="AP151" s="7" t="str">
        <f>IFERROR(__xludf.DUMMYFUNCTION("GoogleTranslate(C151, ""en"", ""ms"")"),"Bulan Penuh Seterusnya")</f>
        <v>Bulan Penuh Seterusnya</v>
      </c>
      <c r="AQ151" s="7" t="str">
        <f>IFERROR(__xludf.DUMMYFUNCTION("GoogleTranslate(C151, ""en"", ""ml"")"),"അടുത്ത പൂർണ്ണ ചന്ദ്രൻ")</f>
        <v>അടുത്ത പൂർണ്ണ ചന്ദ്രൻ</v>
      </c>
      <c r="AR151" s="7" t="str">
        <f>IFERROR(__xludf.DUMMYFUNCTION("GoogleTranslate(C151, ""en"", ""mr"")"),"पुढील पौर्णिमा")</f>
        <v>पुढील पौर्णिमा</v>
      </c>
      <c r="AS151" s="7" t="str">
        <f>IFERROR(__xludf.DUMMYFUNCTION("GoogleTranslate(C151, ""en"", ""mn"")"),"Дараагийн бүтэн сар")</f>
        <v>Дараагийн бүтэн сар</v>
      </c>
      <c r="AT151" s="7" t="str">
        <f>IFERROR(__xludf.DUMMYFUNCTION("GoogleTranslate(C151, ""en"", ""ne"")"),"अर्को पूर्णिमा")</f>
        <v>अर्को पूर्णिमा</v>
      </c>
      <c r="AU151" s="7" t="str">
        <f>IFERROR(__xludf.DUMMYFUNCTION("GoogleTranslate(C151, ""en"", ""nb"")"),"Neste fullmåne")</f>
        <v>Neste fullmåne</v>
      </c>
      <c r="AV151" s="7" t="str">
        <f>IFERROR(__xludf.DUMMYFUNCTION("GoogleTranslate(C151, ""en"", ""fa"")"),"ماه کامل بعدی")</f>
        <v>ماه کامل بعدی</v>
      </c>
      <c r="AW151" s="7" t="str">
        <f>IFERROR(__xludf.DUMMYFUNCTION("GoogleTranslate(C151, ""en"", ""pl"")"),"Następna pełnia księżyca")</f>
        <v>Następna pełnia księżyca</v>
      </c>
      <c r="AX151" s="7" t="str">
        <f>IFERROR(__xludf.DUMMYFUNCTION("GoogleTranslate(C151, ""en"", ""pt"")"),"Próxima Lua Cheia")</f>
        <v>Próxima Lua Cheia</v>
      </c>
      <c r="AY151" s="7" t="str">
        <f>IFERROR(__xludf.DUMMYFUNCTION("GoogleTranslate(C151, ""en"", ""ro"")"),"Următoarea lună plină")</f>
        <v>Următoarea lună plină</v>
      </c>
      <c r="AZ151" s="7" t="str">
        <f>IFERROR(__xludf.DUMMYFUNCTION("GoogleTranslate(C151, ""en"", ""ru"")"),"Следующее полнолуние")</f>
        <v>Следующее полнолуние</v>
      </c>
      <c r="BA151" s="7" t="str">
        <f>IFERROR(__xludf.DUMMYFUNCTION("GoogleTranslate(C151, ""en"", ""sr"")"),"Следећи пун месец")</f>
        <v>Следећи пун месец</v>
      </c>
      <c r="BB151" s="7" t="str">
        <f>IFERROR(__xludf.DUMMYFUNCTION("GoogleTranslate(C151, ""en"", ""si"")"),"ඊළඟ පූර්ණ චන්ද්රයා")</f>
        <v>ඊළඟ පූර්ණ චන්ද්රයා</v>
      </c>
      <c r="BC151" s="7" t="str">
        <f>IFERROR(__xludf.DUMMYFUNCTION("GoogleTranslate(C151, ""en"", ""sk"")"),"Ďalší Spln")</f>
        <v>Ďalší Spln</v>
      </c>
      <c r="BD151" s="7" t="str">
        <f>IFERROR(__xludf.DUMMYFUNCTION("GoogleTranslate(C151, ""en"", ""sl"")"),"Naslednja polna luna")</f>
        <v>Naslednja polna luna</v>
      </c>
      <c r="BE151" s="7" t="str">
        <f>IFERROR(__xludf.DUMMYFUNCTION("GoogleTranslate(C151, ""en"", ""es"")"),"Próxima luna llena")</f>
        <v>Próxima luna llena</v>
      </c>
      <c r="BF151" s="7" t="str">
        <f>IFERROR(__xludf.DUMMYFUNCTION("GoogleTranslate(C151, ""en"", ""sw"")"),"Mwezi Kamili Ujao")</f>
        <v>Mwezi Kamili Ujao</v>
      </c>
      <c r="BG151" s="7" t="str">
        <f>IFERROR(__xludf.DUMMYFUNCTION("GoogleTranslate(C151, ""en"", ""sv"")"),"Nästa fullmåne")</f>
        <v>Nästa fullmåne</v>
      </c>
      <c r="BH151" s="7" t="str">
        <f>IFERROR(__xludf.DUMMYFUNCTION("GoogleTranslate(C151, ""en"", ""te"")"),"తదుపరి పౌర్ణమి")</f>
        <v>తదుపరి పౌర్ణమి</v>
      </c>
      <c r="BI151" s="7" t="str">
        <f>IFERROR(__xludf.DUMMYFUNCTION("GoogleTranslate(C151, ""en"", ""th"")"),"พระจันทร์เต็มดวงครั้งต่อไป")</f>
        <v>พระจันทร์เต็มดวงครั้งต่อไป</v>
      </c>
      <c r="BJ151" s="7" t="str">
        <f>IFERROR(__xludf.DUMMYFUNCTION("GoogleTranslate(C151, ""en"", ""tr"")"),"Sonraki Dolunay")</f>
        <v>Sonraki Dolunay</v>
      </c>
      <c r="BK151" s="7" t="str">
        <f>IFERROR(__xludf.DUMMYFUNCTION("GoogleTranslate(C151, ""en"", ""uk"")"),"Наступний повний місяць")</f>
        <v>Наступний повний місяць</v>
      </c>
      <c r="BL151" s="7" t="str">
        <f>IFERROR(__xludf.DUMMYFUNCTION("GoogleTranslate(C151, ""en"", ""zu"")"),"Inyanga Egcwele Elandelayo")</f>
        <v>Inyanga Egcwele Elandelayo</v>
      </c>
    </row>
    <row r="152">
      <c r="A152" s="5" t="str">
        <f t="shared" si="1"/>
        <v>Next_New_Moon</v>
      </c>
      <c r="B152" s="6" t="s">
        <v>208</v>
      </c>
      <c r="C152" s="5" t="str">
        <f t="shared" si="2"/>
        <v>Next New Moon</v>
      </c>
      <c r="D152" s="7" t="str">
        <f>IFERROR(__xludf.DUMMYFUNCTION("GoogleTranslate(C152, ""en"", ""es"")"),"Próxima Luna Nueva")</f>
        <v>Próxima Luna Nueva</v>
      </c>
      <c r="E152" s="7" t="str">
        <f>IFERROR(__xludf.DUMMYFUNCTION("GoogleTranslate(C152, ""en"", ""ar"")"),"القمر الجديد القادم")</f>
        <v>القمر الجديد القادم</v>
      </c>
      <c r="F152" s="7" t="str">
        <f>IFERROR(__xludf.DUMMYFUNCTION("GoogleTranslate(C152, ""en"", ""hy"")"),"Հաջորդ Նոր լուսինը")</f>
        <v>Հաջորդ Նոր լուսինը</v>
      </c>
      <c r="G152" s="7" t="str">
        <f>IFERROR(__xludf.DUMMYFUNCTION("GoogleTranslate(C152, ""en"", ""vi"")"),"Trăng non tiếp theo")</f>
        <v>Trăng non tiếp theo</v>
      </c>
      <c r="H152" s="7" t="str">
        <f>IFERROR(__xludf.DUMMYFUNCTION("GoogleTranslate(C152, ""en"", ""az"")"),"Növbəti Yeni Ay")</f>
        <v>Növbəti Yeni Ay</v>
      </c>
      <c r="I152" s="7" t="str">
        <f>IFERROR(__xludf.DUMMYFUNCTION("GoogleTranslate(C152, ""en"", ""eu"")"),"Hurrengo Ilberria")</f>
        <v>Hurrengo Ilberria</v>
      </c>
      <c r="J152" s="7" t="str">
        <f>IFERROR(__xludf.DUMMYFUNCTION("GoogleTranslate(C152, ""en"", ""be"")"),"Наступны маладзік")</f>
        <v>Наступны маладзік</v>
      </c>
      <c r="K152" s="7" t="str">
        <f>IFERROR(__xludf.DUMMYFUNCTION("GoogleTranslate(C152, ""en"", ""bn"")"),"পরের অমাবস্যা")</f>
        <v>পরের অমাবস্যা</v>
      </c>
      <c r="L152" s="7" t="str">
        <f>IFERROR(__xludf.DUMMYFUNCTION("GoogleTranslate(C152, ""en"", ""bg"")"),"Следващото новолуние")</f>
        <v>Следващото новолуние</v>
      </c>
      <c r="M152" s="7" t="str">
        <f>IFERROR(__xludf.DUMMYFUNCTION("GoogleTranslate(C152, ""en"", ""my"")"),"နောက်လဆန်း")</f>
        <v>နောက်လဆန်း</v>
      </c>
      <c r="N152" s="7" t="str">
        <f>IFERROR(__xludf.DUMMYFUNCTION("GoogleTranslate(C152, ""en"", ""ca"")"),"La propera lluna nova")</f>
        <v>La propera lluna nova</v>
      </c>
      <c r="O152" s="7" t="str">
        <f>IFERROR(__xludf.DUMMYFUNCTION("GoogleTranslate(C152, ""en"", ""zh-cn"")"),"下一个新月")</f>
        <v>下一个新月</v>
      </c>
      <c r="P152" s="7" t="str">
        <f>IFERROR(__xludf.DUMMYFUNCTION("GoogleTranslate(C152, ""en"", ""zh-TW"")"),"下一個新月")</f>
        <v>下一個新月</v>
      </c>
      <c r="Q152" s="7" t="str">
        <f>IFERROR(__xludf.DUMMYFUNCTION("GoogleTranslate(C152, ""en"", ""hr"")"),"Sljedeći mladi mjesec")</f>
        <v>Sljedeći mladi mjesec</v>
      </c>
      <c r="R152" s="7" t="str">
        <f>IFERROR(__xludf.DUMMYFUNCTION("GoogleTranslate(C152, ""en"", ""cs"")"),"Příští novoluní")</f>
        <v>Příští novoluní</v>
      </c>
      <c r="S152" s="7" t="str">
        <f>IFERROR(__xludf.DUMMYFUNCTION("GoogleTranslate(C152, ""en"", ""da"")"),"Næste nymåne")</f>
        <v>Næste nymåne</v>
      </c>
      <c r="T152" s="7" t="str">
        <f>IFERROR(__xludf.DUMMYFUNCTION("GoogleTranslate(C152, ""en"", ""nl"")"),"Volgende Nieuwe Maan")</f>
        <v>Volgende Nieuwe Maan</v>
      </c>
      <c r="U152" s="7" t="str">
        <f>IFERROR(__xludf.DUMMYFUNCTION("GoogleTranslate(C152, ""en"", ""et"")"),"Järgmine noorkuu")</f>
        <v>Järgmine noorkuu</v>
      </c>
      <c r="V152" s="5" t="str">
        <f t="shared" si="3"/>
        <v>Next New Moon</v>
      </c>
      <c r="W152" s="7" t="str">
        <f>IFERROR(__xludf.DUMMYFUNCTION("GoogleTranslate(C152, ""en"", ""fi"")"),"Seuraava uusikuu")</f>
        <v>Seuraava uusikuu</v>
      </c>
      <c r="X152" s="7" t="str">
        <f>IFERROR(__xludf.DUMMYFUNCTION("GoogleTranslate(C152, ""en"", ""fr"")"),"Prochaine Nouvelle Lune")</f>
        <v>Prochaine Nouvelle Lune</v>
      </c>
      <c r="Y152" s="7" t="str">
        <f>IFERROR(__xludf.DUMMYFUNCTION("GoogleTranslate(C152, ""en"", ""de"")"),"Nächster Neumond")</f>
        <v>Nächster Neumond</v>
      </c>
      <c r="Z152" s="7" t="str">
        <f>IFERROR(__xludf.DUMMYFUNCTION("GoogleTranslate(C152, ""en"", ""el"")"),"Επόμενη Νέα Σελήνη")</f>
        <v>Επόμενη Νέα Σελήνη</v>
      </c>
      <c r="AA152" s="7" t="str">
        <f>IFERROR(__xludf.DUMMYFUNCTION("GoogleTranslate(C152, ""en"", ""iw"")"),"ירח חדש הבא")</f>
        <v>ירח חדש הבא</v>
      </c>
      <c r="AB152" s="7" t="str">
        <f>IFERROR(__xludf.DUMMYFUNCTION("GoogleTranslate(C152, ""en"", ""hi"")"),"अगला अमावस्या")</f>
        <v>अगला अमावस्या</v>
      </c>
      <c r="AC152" s="7" t="str">
        <f>IFERROR(__xludf.DUMMYFUNCTION("GoogleTranslate(C152, ""en"", ""hu"")"),"Következő Újhold")</f>
        <v>Következő Újhold</v>
      </c>
      <c r="AD152" s="7" t="str">
        <f>IFERROR(__xludf.DUMMYFUNCTION("GoogleTranslate(C152, ""en"", ""is"")"),"Næsta nýtt tungl")</f>
        <v>Næsta nýtt tungl</v>
      </c>
      <c r="AE152" s="7" t="str">
        <f>IFERROR(__xludf.DUMMYFUNCTION("GoogleTranslate(C152, ""en"", ""id"")"),"Bulan Baru berikutnya")</f>
        <v>Bulan Baru berikutnya</v>
      </c>
      <c r="AF152" s="7" t="str">
        <f>IFERROR(__xludf.DUMMYFUNCTION("GoogleTranslate(C152, ""en"", ""in"")"),"Bulan Baru berikutnya")</f>
        <v>Bulan Baru berikutnya</v>
      </c>
      <c r="AG152" s="7" t="str">
        <f>IFERROR(__xludf.DUMMYFUNCTION("GoogleTranslate(C152, ""en"", ""it"")"),"Prossima Luna Nuova")</f>
        <v>Prossima Luna Nuova</v>
      </c>
      <c r="AH152" s="7" t="str">
        <f>IFERROR(__xludf.DUMMYFUNCTION("GoogleTranslate(C152, ""en"", ""ja"")"),"次の新月")</f>
        <v>次の新月</v>
      </c>
      <c r="AI152" s="7" t="str">
        <f>IFERROR(__xludf.DUMMYFUNCTION("GoogleTranslate(C152, ""en"", ""kn"")"),"ಮುಂದಿನ ಅಮಾವಾಸ್ಯೆ")</f>
        <v>ಮುಂದಿನ ಅಮಾವಾಸ್ಯೆ</v>
      </c>
      <c r="AJ152" s="7" t="str">
        <f>IFERROR(__xludf.DUMMYFUNCTION("GoogleTranslate(C152, ""en"", ""km"")"),"ព្រះច័ន្ទថ្មីបន្ទាប់")</f>
        <v>ព្រះច័ន្ទថ្មីបន្ទាប់</v>
      </c>
      <c r="AK152" s="7" t="str">
        <f>IFERROR(__xludf.DUMMYFUNCTION("GoogleTranslate(C152, ""en"", ""ko"")"),"다음 뉴문")</f>
        <v>다음 뉴문</v>
      </c>
      <c r="AL152" s="7" t="str">
        <f>IFERROR(__xludf.DUMMYFUNCTION("GoogleTranslate(C152, ""en"", ""lo"")"),"ດວງເດືອນໃໝ່ຕໍ່ໄປ")</f>
        <v>ດວງເດືອນໃໝ່ຕໍ່ໄປ</v>
      </c>
      <c r="AM152" s="7" t="str">
        <f>IFERROR(__xludf.DUMMYFUNCTION("GoogleTranslate(C152, ""en"", ""lv"")"),"Nākamais Jauns Mēness")</f>
        <v>Nākamais Jauns Mēness</v>
      </c>
      <c r="AN152" s="7" t="str">
        <f>IFERROR(__xludf.DUMMYFUNCTION("GoogleTranslate(C152, ""en"", ""lt"")"),"Kitas jaunatis")</f>
        <v>Kitas jaunatis</v>
      </c>
      <c r="AO152" s="7" t="str">
        <f>IFERROR(__xludf.DUMMYFUNCTION("GoogleTranslate(C152, ""en"", ""mk"")"),"Следна нова месечина")</f>
        <v>Следна нова месечина</v>
      </c>
      <c r="AP152" s="7" t="str">
        <f>IFERROR(__xludf.DUMMYFUNCTION("GoogleTranslate(C152, ""en"", ""ms"")"),"Bulan Baru Seterusnya")</f>
        <v>Bulan Baru Seterusnya</v>
      </c>
      <c r="AQ152" s="7" t="str">
        <f>IFERROR(__xludf.DUMMYFUNCTION("GoogleTranslate(C152, ""en"", ""ml"")"),"അടുത്ത അമാവാസി")</f>
        <v>അടുത്ത അമാവാസി</v>
      </c>
      <c r="AR152" s="7" t="str">
        <f>IFERROR(__xludf.DUMMYFUNCTION("GoogleTranslate(C152, ""en"", ""mr"")"),"पुढील नवीन चंद्र")</f>
        <v>पुढील नवीन चंद्र</v>
      </c>
      <c r="AS152" s="7" t="str">
        <f>IFERROR(__xludf.DUMMYFUNCTION("GoogleTranslate(C152, ""en"", ""mn"")"),"Дараагийн шинэ сар")</f>
        <v>Дараагийн шинэ сар</v>
      </c>
      <c r="AT152" s="7" t="str">
        <f>IFERROR(__xludf.DUMMYFUNCTION("GoogleTranslate(C152, ""en"", ""ne"")"),"अर्को नयाँ चन्द्रमा")</f>
        <v>अर्को नयाँ चन्द्रमा</v>
      </c>
      <c r="AU152" s="7" t="str">
        <f>IFERROR(__xludf.DUMMYFUNCTION("GoogleTranslate(C152, ""en"", ""nb"")"),"Neste nymåne")</f>
        <v>Neste nymåne</v>
      </c>
      <c r="AV152" s="7" t="str">
        <f>IFERROR(__xludf.DUMMYFUNCTION("GoogleTranslate(C152, ""en"", ""fa"")"),"ماه نو بعدی")</f>
        <v>ماه نو بعدی</v>
      </c>
      <c r="AW152" s="7" t="str">
        <f>IFERROR(__xludf.DUMMYFUNCTION("GoogleTranslate(C152, ""en"", ""pl"")"),"Następny Księżyc w nowiu")</f>
        <v>Następny Księżyc w nowiu</v>
      </c>
      <c r="AX152" s="7" t="str">
        <f>IFERROR(__xludf.DUMMYFUNCTION("GoogleTranslate(C152, ""en"", ""pt"")"),"Próxima Lua Nova")</f>
        <v>Próxima Lua Nova</v>
      </c>
      <c r="AY152" s="7" t="str">
        <f>IFERROR(__xludf.DUMMYFUNCTION("GoogleTranslate(C152, ""en"", ""ro"")"),"Următoarea Lună Nouă")</f>
        <v>Următoarea Lună Nouă</v>
      </c>
      <c r="AZ152" s="7" t="str">
        <f>IFERROR(__xludf.DUMMYFUNCTION("GoogleTranslate(C152, ""en"", ""ru"")"),"Следующее новолуние")</f>
        <v>Следующее новолуние</v>
      </c>
      <c r="BA152" s="7" t="str">
        <f>IFERROR(__xludf.DUMMYFUNCTION("GoogleTranslate(C152, ""en"", ""sr"")"),"Следећи млад месец")</f>
        <v>Следећи млад месец</v>
      </c>
      <c r="BB152" s="7" t="str">
        <f>IFERROR(__xludf.DUMMYFUNCTION("GoogleTranslate(C152, ""en"", ""si"")"),"ඊළඟ නව සඳ")</f>
        <v>ඊළඟ නව සඳ</v>
      </c>
      <c r="BC152" s="7" t="str">
        <f>IFERROR(__xludf.DUMMYFUNCTION("GoogleTranslate(C152, ""en"", ""sk"")"),"Ďalší Nový Mesiac")</f>
        <v>Ďalší Nový Mesiac</v>
      </c>
      <c r="BD152" s="7" t="str">
        <f>IFERROR(__xludf.DUMMYFUNCTION("GoogleTranslate(C152, ""en"", ""sl"")"),"Naslednja mlada luna")</f>
        <v>Naslednja mlada luna</v>
      </c>
      <c r="BE152" s="7" t="str">
        <f>IFERROR(__xludf.DUMMYFUNCTION("GoogleTranslate(C152, ""en"", ""es"")"),"Próxima Luna Nueva")</f>
        <v>Próxima Luna Nueva</v>
      </c>
      <c r="BF152" s="7" t="str">
        <f>IFERROR(__xludf.DUMMYFUNCTION("GoogleTranslate(C152, ""en"", ""sw"")"),"Mwezi Mpya Ujao")</f>
        <v>Mwezi Mpya Ujao</v>
      </c>
      <c r="BG152" s="7" t="str">
        <f>IFERROR(__xludf.DUMMYFUNCTION("GoogleTranslate(C152, ""en"", ""sv"")"),"Nästa nymåne")</f>
        <v>Nästa nymåne</v>
      </c>
      <c r="BH152" s="7" t="str">
        <f>IFERROR(__xludf.DUMMYFUNCTION("GoogleTranslate(C152, ""en"", ""te"")"),"తదుపరి అమావాస్య")</f>
        <v>తదుపరి అమావాస్య</v>
      </c>
      <c r="BI152" s="7" t="str">
        <f>IFERROR(__xludf.DUMMYFUNCTION("GoogleTranslate(C152, ""en"", ""th"")"),"พระจันทร์ใหม่ถัดไป")</f>
        <v>พระจันทร์ใหม่ถัดไป</v>
      </c>
      <c r="BJ152" s="7" t="str">
        <f>IFERROR(__xludf.DUMMYFUNCTION("GoogleTranslate(C152, ""en"", ""tr"")"),"Sonraki Yeni Ay")</f>
        <v>Sonraki Yeni Ay</v>
      </c>
      <c r="BK152" s="7" t="str">
        <f>IFERROR(__xludf.DUMMYFUNCTION("GoogleTranslate(C152, ""en"", ""uk"")"),"Наступний молодий місяць")</f>
        <v>Наступний молодий місяць</v>
      </c>
      <c r="BL152" s="7" t="str">
        <f>IFERROR(__xludf.DUMMYFUNCTION("GoogleTranslate(C152, ""en"", ""zu"")"),"Inyanga Entsha Elandelayo")</f>
        <v>Inyanga Entsha Elandelayo</v>
      </c>
    </row>
    <row r="153">
      <c r="A153" s="5" t="str">
        <f t="shared" si="1"/>
        <v>Distance</v>
      </c>
      <c r="B153" s="6" t="s">
        <v>209</v>
      </c>
      <c r="C153" s="5" t="str">
        <f t="shared" si="2"/>
        <v>Distance</v>
      </c>
      <c r="D153" s="7" t="str">
        <f>IFERROR(__xludf.DUMMYFUNCTION("GoogleTranslate(C153, ""en"", ""es"")"),"Distancia")</f>
        <v>Distancia</v>
      </c>
      <c r="E153" s="7" t="str">
        <f>IFERROR(__xludf.DUMMYFUNCTION("GoogleTranslate(C153, ""en"", ""ar"")"),"مسافة")</f>
        <v>مسافة</v>
      </c>
      <c r="F153" s="7" t="str">
        <f>IFERROR(__xludf.DUMMYFUNCTION("GoogleTranslate(C153, ""en"", ""hy"")"),"Հեռավորությունը")</f>
        <v>Հեռավորությունը</v>
      </c>
      <c r="G153" s="7" t="str">
        <f>IFERROR(__xludf.DUMMYFUNCTION("GoogleTranslate(C153, ""en"", ""vi"")"),"Khoảng cách")</f>
        <v>Khoảng cách</v>
      </c>
      <c r="H153" s="7" t="str">
        <f>IFERROR(__xludf.DUMMYFUNCTION("GoogleTranslate(C153, ""en"", ""az"")"),"Məsafə")</f>
        <v>Məsafə</v>
      </c>
      <c r="I153" s="7" t="str">
        <f>IFERROR(__xludf.DUMMYFUNCTION("GoogleTranslate(C153, ""en"", ""eu"")"),"Distantzia")</f>
        <v>Distantzia</v>
      </c>
      <c r="J153" s="7" t="str">
        <f>IFERROR(__xludf.DUMMYFUNCTION("GoogleTranslate(C153, ""en"", ""be"")"),"Дыстанцыя")</f>
        <v>Дыстанцыя</v>
      </c>
      <c r="K153" s="7" t="str">
        <f>IFERROR(__xludf.DUMMYFUNCTION("GoogleTranslate(C153, ""en"", ""bn"")"),"দূরত্ব")</f>
        <v>দূরত্ব</v>
      </c>
      <c r="L153" s="7" t="str">
        <f>IFERROR(__xludf.DUMMYFUNCTION("GoogleTranslate(C153, ""en"", ""bg"")"),"Разстояние")</f>
        <v>Разстояние</v>
      </c>
      <c r="M153" s="7" t="str">
        <f>IFERROR(__xludf.DUMMYFUNCTION("GoogleTranslate(C153, ""en"", ""my"")"),"အကွာအဝေး")</f>
        <v>အကွာအဝေး</v>
      </c>
      <c r="N153" s="7" t="str">
        <f>IFERROR(__xludf.DUMMYFUNCTION("GoogleTranslate(C153, ""en"", ""ca"")"),"Distància")</f>
        <v>Distància</v>
      </c>
      <c r="O153" s="7" t="str">
        <f>IFERROR(__xludf.DUMMYFUNCTION("GoogleTranslate(C153, ""en"", ""zh-cn"")"),"距离")</f>
        <v>距离</v>
      </c>
      <c r="P153" s="7" t="str">
        <f>IFERROR(__xludf.DUMMYFUNCTION("GoogleTranslate(C153, ""en"", ""zh-TW"")"),"距離")</f>
        <v>距離</v>
      </c>
      <c r="Q153" s="7" t="str">
        <f>IFERROR(__xludf.DUMMYFUNCTION("GoogleTranslate(C153, ""en"", ""hr"")"),"Udaljenost")</f>
        <v>Udaljenost</v>
      </c>
      <c r="R153" s="7" t="str">
        <f>IFERROR(__xludf.DUMMYFUNCTION("GoogleTranslate(C153, ""en"", ""cs"")"),"Vzdálenost")</f>
        <v>Vzdálenost</v>
      </c>
      <c r="S153" s="7" t="str">
        <f>IFERROR(__xludf.DUMMYFUNCTION("GoogleTranslate(C153, ""en"", ""da"")"),"Afstand")</f>
        <v>Afstand</v>
      </c>
      <c r="T153" s="7" t="str">
        <f>IFERROR(__xludf.DUMMYFUNCTION("GoogleTranslate(C153, ""en"", ""nl"")"),"Afstand")</f>
        <v>Afstand</v>
      </c>
      <c r="U153" s="7" t="str">
        <f>IFERROR(__xludf.DUMMYFUNCTION("GoogleTranslate(C153, ""en"", ""et"")"),"Kaugus")</f>
        <v>Kaugus</v>
      </c>
      <c r="V153" s="5" t="str">
        <f t="shared" si="3"/>
        <v>Distance</v>
      </c>
      <c r="W153" s="7" t="str">
        <f>IFERROR(__xludf.DUMMYFUNCTION("GoogleTranslate(C153, ""en"", ""fi"")"),"Etäisyys")</f>
        <v>Etäisyys</v>
      </c>
      <c r="X153" s="7" t="str">
        <f>IFERROR(__xludf.DUMMYFUNCTION("GoogleTranslate(C153, ""en"", ""fr"")"),"Distance")</f>
        <v>Distance</v>
      </c>
      <c r="Y153" s="7" t="str">
        <f>IFERROR(__xludf.DUMMYFUNCTION("GoogleTranslate(C153, ""en"", ""de"")"),"Distanz")</f>
        <v>Distanz</v>
      </c>
      <c r="Z153" s="7" t="str">
        <f>IFERROR(__xludf.DUMMYFUNCTION("GoogleTranslate(C153, ""en"", ""el"")"),"Απόσταση")</f>
        <v>Απόσταση</v>
      </c>
      <c r="AA153" s="7" t="str">
        <f>IFERROR(__xludf.DUMMYFUNCTION("GoogleTranslate(C153, ""en"", ""iw"")"),"מֶרְחָק")</f>
        <v>מֶרְחָק</v>
      </c>
      <c r="AB153" s="7" t="str">
        <f>IFERROR(__xludf.DUMMYFUNCTION("GoogleTranslate(C153, ""en"", ""hi"")"),"दूरी")</f>
        <v>दूरी</v>
      </c>
      <c r="AC153" s="7" t="str">
        <f>IFERROR(__xludf.DUMMYFUNCTION("GoogleTranslate(C153, ""en"", ""hu"")"),"Távolság")</f>
        <v>Távolság</v>
      </c>
      <c r="AD153" s="7" t="str">
        <f>IFERROR(__xludf.DUMMYFUNCTION("GoogleTranslate(C153, ""en"", ""is"")"),"Fjarlægð")</f>
        <v>Fjarlægð</v>
      </c>
      <c r="AE153" s="7" t="str">
        <f>IFERROR(__xludf.DUMMYFUNCTION("GoogleTranslate(C153, ""en"", ""id"")"),"Jarak")</f>
        <v>Jarak</v>
      </c>
      <c r="AF153" s="7" t="str">
        <f>IFERROR(__xludf.DUMMYFUNCTION("GoogleTranslate(C153, ""en"", ""in"")"),"Jarak")</f>
        <v>Jarak</v>
      </c>
      <c r="AG153" s="7" t="str">
        <f>IFERROR(__xludf.DUMMYFUNCTION("GoogleTranslate(C153, ""en"", ""it"")"),"Distanza")</f>
        <v>Distanza</v>
      </c>
      <c r="AH153" s="7" t="str">
        <f>IFERROR(__xludf.DUMMYFUNCTION("GoogleTranslate(C153, ""en"", ""ja"")"),"距離")</f>
        <v>距離</v>
      </c>
      <c r="AI153" s="7" t="str">
        <f>IFERROR(__xludf.DUMMYFUNCTION("GoogleTranslate(C153, ""en"", ""kn"")"),"ದೂರ")</f>
        <v>ದೂರ</v>
      </c>
      <c r="AJ153" s="7" t="str">
        <f>IFERROR(__xludf.DUMMYFUNCTION("GoogleTranslate(C153, ""en"", ""km"")"),"ចម្ងាយ")</f>
        <v>ចម្ងាយ</v>
      </c>
      <c r="AK153" s="7" t="str">
        <f>IFERROR(__xludf.DUMMYFUNCTION("GoogleTranslate(C153, ""en"", ""ko"")"),"거리")</f>
        <v>거리</v>
      </c>
      <c r="AL153" s="7" t="str">
        <f>IFERROR(__xludf.DUMMYFUNCTION("GoogleTranslate(C153, ""en"", ""lo"")"),"ໄລຍະທາງ")</f>
        <v>ໄລຍະທາງ</v>
      </c>
      <c r="AM153" s="7" t="str">
        <f>IFERROR(__xludf.DUMMYFUNCTION("GoogleTranslate(C153, ""en"", ""lv"")"),"Attālums")</f>
        <v>Attālums</v>
      </c>
      <c r="AN153" s="7" t="str">
        <f>IFERROR(__xludf.DUMMYFUNCTION("GoogleTranslate(C153, ""en"", ""lt"")"),"Atstumas")</f>
        <v>Atstumas</v>
      </c>
      <c r="AO153" s="7" t="str">
        <f>IFERROR(__xludf.DUMMYFUNCTION("GoogleTranslate(C153, ""en"", ""mk"")"),"Растојание")</f>
        <v>Растојание</v>
      </c>
      <c r="AP153" s="7" t="str">
        <f>IFERROR(__xludf.DUMMYFUNCTION("GoogleTranslate(C153, ""en"", ""ms"")"),"Jarak")</f>
        <v>Jarak</v>
      </c>
      <c r="AQ153" s="7" t="str">
        <f>IFERROR(__xludf.DUMMYFUNCTION("GoogleTranslate(C153, ""en"", ""ml"")"),"ദൂരം")</f>
        <v>ദൂരം</v>
      </c>
      <c r="AR153" s="7" t="str">
        <f>IFERROR(__xludf.DUMMYFUNCTION("GoogleTranslate(C153, ""en"", ""mr"")"),"अंतर")</f>
        <v>अंतर</v>
      </c>
      <c r="AS153" s="7" t="str">
        <f>IFERROR(__xludf.DUMMYFUNCTION("GoogleTranslate(C153, ""en"", ""mn"")"),"Зай")</f>
        <v>Зай</v>
      </c>
      <c r="AT153" s="7" t="str">
        <f>IFERROR(__xludf.DUMMYFUNCTION("GoogleTranslate(C153, ""en"", ""ne"")"),"दूरी")</f>
        <v>दूरी</v>
      </c>
      <c r="AU153" s="7" t="str">
        <f>IFERROR(__xludf.DUMMYFUNCTION("GoogleTranslate(C153, ""en"", ""nb"")"),"Avstand")</f>
        <v>Avstand</v>
      </c>
      <c r="AV153" s="7" t="str">
        <f>IFERROR(__xludf.DUMMYFUNCTION("GoogleTranslate(C153, ""en"", ""fa"")"),"فاصله")</f>
        <v>فاصله</v>
      </c>
      <c r="AW153" s="7" t="str">
        <f>IFERROR(__xludf.DUMMYFUNCTION("GoogleTranslate(C153, ""en"", ""pl"")"),"Dystans")</f>
        <v>Dystans</v>
      </c>
      <c r="AX153" s="7" t="str">
        <f>IFERROR(__xludf.DUMMYFUNCTION("GoogleTranslate(C153, ""en"", ""pt"")"),"Distância")</f>
        <v>Distância</v>
      </c>
      <c r="AY153" s="7" t="str">
        <f>IFERROR(__xludf.DUMMYFUNCTION("GoogleTranslate(C153, ""en"", ""ro"")"),"Distanţă")</f>
        <v>Distanţă</v>
      </c>
      <c r="AZ153" s="7" t="str">
        <f>IFERROR(__xludf.DUMMYFUNCTION("GoogleTranslate(C153, ""en"", ""ru"")"),"Расстояние")</f>
        <v>Расстояние</v>
      </c>
      <c r="BA153" s="7" t="str">
        <f>IFERROR(__xludf.DUMMYFUNCTION("GoogleTranslate(C153, ""en"", ""sr"")"),"Удаљеност")</f>
        <v>Удаљеност</v>
      </c>
      <c r="BB153" s="7" t="str">
        <f>IFERROR(__xludf.DUMMYFUNCTION("GoogleTranslate(C153, ""en"", ""si"")"),"දුර")</f>
        <v>දුර</v>
      </c>
      <c r="BC153" s="7" t="str">
        <f>IFERROR(__xludf.DUMMYFUNCTION("GoogleTranslate(C153, ""en"", ""sk"")"),"Vzdialenosť")</f>
        <v>Vzdialenosť</v>
      </c>
      <c r="BD153" s="7" t="str">
        <f>IFERROR(__xludf.DUMMYFUNCTION("GoogleTranslate(C153, ""en"", ""sl"")"),"Razdalja")</f>
        <v>Razdalja</v>
      </c>
      <c r="BE153" s="7" t="str">
        <f>IFERROR(__xludf.DUMMYFUNCTION("GoogleTranslate(C153, ""en"", ""es"")"),"Distancia")</f>
        <v>Distancia</v>
      </c>
      <c r="BF153" s="7" t="str">
        <f>IFERROR(__xludf.DUMMYFUNCTION("GoogleTranslate(C153, ""en"", ""sw"")"),"Umbali")</f>
        <v>Umbali</v>
      </c>
      <c r="BG153" s="7" t="str">
        <f>IFERROR(__xludf.DUMMYFUNCTION("GoogleTranslate(C153, ""en"", ""sv"")"),"Avstånd")</f>
        <v>Avstånd</v>
      </c>
      <c r="BH153" s="7" t="str">
        <f>IFERROR(__xludf.DUMMYFUNCTION("GoogleTranslate(C153, ""en"", ""te"")"),"దూరం")</f>
        <v>దూరం</v>
      </c>
      <c r="BI153" s="7" t="str">
        <f>IFERROR(__xludf.DUMMYFUNCTION("GoogleTranslate(C153, ""en"", ""th"")"),"ระยะทาง")</f>
        <v>ระยะทาง</v>
      </c>
      <c r="BJ153" s="7" t="str">
        <f>IFERROR(__xludf.DUMMYFUNCTION("GoogleTranslate(C153, ""en"", ""tr"")"),"Mesafe")</f>
        <v>Mesafe</v>
      </c>
      <c r="BK153" s="7" t="str">
        <f>IFERROR(__xludf.DUMMYFUNCTION("GoogleTranslate(C153, ""en"", ""uk"")"),"Відстань")</f>
        <v>Відстань</v>
      </c>
      <c r="BL153" s="7" t="str">
        <f>IFERROR(__xludf.DUMMYFUNCTION("GoogleTranslate(C153, ""en"", ""zu"")"),"Ibanga")</f>
        <v>Ibanga</v>
      </c>
    </row>
    <row r="154">
      <c r="A154" s="5" t="str">
        <f t="shared" si="1"/>
        <v>New_Moon</v>
      </c>
      <c r="B154" s="6" t="s">
        <v>210</v>
      </c>
      <c r="C154" s="5" t="str">
        <f t="shared" si="2"/>
        <v>New Moon</v>
      </c>
      <c r="D154" s="7" t="str">
        <f>IFERROR(__xludf.DUMMYFUNCTION("GoogleTranslate(C154, ""en"", ""es"")"),"Luna nueva")</f>
        <v>Luna nueva</v>
      </c>
      <c r="E154" s="7" t="str">
        <f>IFERROR(__xludf.DUMMYFUNCTION("GoogleTranslate(C154, ""en"", ""ar"")"),"القمر الجديد")</f>
        <v>القمر الجديد</v>
      </c>
      <c r="F154" s="7" t="str">
        <f>IFERROR(__xludf.DUMMYFUNCTION("GoogleTranslate(C154, ""en"", ""hy"")"),"Նոր Լուսին")</f>
        <v>Նոր Լուսին</v>
      </c>
      <c r="G154" s="7" t="str">
        <f>IFERROR(__xludf.DUMMYFUNCTION("GoogleTranslate(C154, ""en"", ""vi"")"),"Trăng non")</f>
        <v>Trăng non</v>
      </c>
      <c r="H154" s="7" t="str">
        <f>IFERROR(__xludf.DUMMYFUNCTION("GoogleTranslate(C154, ""en"", ""az"")"),"Yeni Ay")</f>
        <v>Yeni Ay</v>
      </c>
      <c r="I154" s="7" t="str">
        <f>IFERROR(__xludf.DUMMYFUNCTION("GoogleTranslate(C154, ""en"", ""eu"")"),"Ilberria")</f>
        <v>Ilberria</v>
      </c>
      <c r="J154" s="7" t="str">
        <f>IFERROR(__xludf.DUMMYFUNCTION("GoogleTranslate(C154, ""en"", ""be"")"),"Маладзік")</f>
        <v>Маладзік</v>
      </c>
      <c r="K154" s="7" t="str">
        <f>IFERROR(__xludf.DUMMYFUNCTION("GoogleTranslate(C154, ""en"", ""bn"")"),"অমাবস্যা")</f>
        <v>অমাবস্যা</v>
      </c>
      <c r="L154" s="7" t="str">
        <f>IFERROR(__xludf.DUMMYFUNCTION("GoogleTranslate(C154, ""en"", ""bg"")"),"Новолуние")</f>
        <v>Новолуние</v>
      </c>
      <c r="M154" s="7" t="str">
        <f>IFERROR(__xludf.DUMMYFUNCTION("GoogleTranslate(C154, ""en"", ""my"")"),"လဆန်း")</f>
        <v>လဆန်း</v>
      </c>
      <c r="N154" s="7" t="str">
        <f>IFERROR(__xludf.DUMMYFUNCTION("GoogleTranslate(C154, ""en"", ""ca"")"),"Lluna nova")</f>
        <v>Lluna nova</v>
      </c>
      <c r="O154" s="7" t="str">
        <f>IFERROR(__xludf.DUMMYFUNCTION("GoogleTranslate(C154, ""en"", ""zh-cn"")"),"新月")</f>
        <v>新月</v>
      </c>
      <c r="P154" s="7" t="str">
        <f>IFERROR(__xludf.DUMMYFUNCTION("GoogleTranslate(C154, ""en"", ""zh-TW"")"),"新月")</f>
        <v>新月</v>
      </c>
      <c r="Q154" s="7" t="str">
        <f>IFERROR(__xludf.DUMMYFUNCTION("GoogleTranslate(C154, ""en"", ""hr"")"),"mladi mjesec")</f>
        <v>mladi mjesec</v>
      </c>
      <c r="R154" s="7" t="str">
        <f>IFERROR(__xludf.DUMMYFUNCTION("GoogleTranslate(C154, ""en"", ""cs"")"),"Novoluní")</f>
        <v>Novoluní</v>
      </c>
      <c r="S154" s="7" t="str">
        <f>IFERROR(__xludf.DUMMYFUNCTION("GoogleTranslate(C154, ""en"", ""da"")"),"Nymåne")</f>
        <v>Nymåne</v>
      </c>
      <c r="T154" s="7" t="str">
        <f>IFERROR(__xludf.DUMMYFUNCTION("GoogleTranslate(C154, ""en"", ""nl"")"),"Nieuwe maan")</f>
        <v>Nieuwe maan</v>
      </c>
      <c r="U154" s="7" t="str">
        <f>IFERROR(__xludf.DUMMYFUNCTION("GoogleTranslate(C154, ""en"", ""et"")"),"Noorkuu")</f>
        <v>Noorkuu</v>
      </c>
      <c r="V154" s="5" t="str">
        <f t="shared" si="3"/>
        <v>New Moon</v>
      </c>
      <c r="W154" s="7" t="str">
        <f>IFERROR(__xludf.DUMMYFUNCTION("GoogleTranslate(C154, ""en"", ""fi"")"),"Uusi kuu")</f>
        <v>Uusi kuu</v>
      </c>
      <c r="X154" s="7" t="str">
        <f>IFERROR(__xludf.DUMMYFUNCTION("GoogleTranslate(C154, ""en"", ""fr"")"),"Nouvelle lune")</f>
        <v>Nouvelle lune</v>
      </c>
      <c r="Y154" s="7" t="str">
        <f>IFERROR(__xludf.DUMMYFUNCTION("GoogleTranslate(C154, ""en"", ""de"")"),"Neumond")</f>
        <v>Neumond</v>
      </c>
      <c r="Z154" s="7" t="str">
        <f>IFERROR(__xludf.DUMMYFUNCTION("GoogleTranslate(C154, ""en"", ""el"")"),"Νέα Σελήνη")</f>
        <v>Νέα Σελήνη</v>
      </c>
      <c r="AA154" s="7" t="str">
        <f>IFERROR(__xludf.DUMMYFUNCTION("GoogleTranslate(C154, ""en"", ""iw"")"),"רֹאשׁ חוֹדֶשׁ")</f>
        <v>רֹאשׁ חוֹדֶשׁ</v>
      </c>
      <c r="AB154" s="7" t="str">
        <f>IFERROR(__xludf.DUMMYFUNCTION("GoogleTranslate(C154, ""en"", ""hi"")"),"अमावस्या")</f>
        <v>अमावस्या</v>
      </c>
      <c r="AC154" s="7" t="str">
        <f>IFERROR(__xludf.DUMMYFUNCTION("GoogleTranslate(C154, ""en"", ""hu"")"),"Újhold")</f>
        <v>Újhold</v>
      </c>
      <c r="AD154" s="7" t="str">
        <f>IFERROR(__xludf.DUMMYFUNCTION("GoogleTranslate(C154, ""en"", ""is"")"),"Nýtt tungl")</f>
        <v>Nýtt tungl</v>
      </c>
      <c r="AE154" s="7" t="str">
        <f>IFERROR(__xludf.DUMMYFUNCTION("GoogleTranslate(C154, ""en"", ""id"")"),"Bulan Baru")</f>
        <v>Bulan Baru</v>
      </c>
      <c r="AF154" s="7" t="str">
        <f>IFERROR(__xludf.DUMMYFUNCTION("GoogleTranslate(C154, ""en"", ""in"")"),"Bulan Baru")</f>
        <v>Bulan Baru</v>
      </c>
      <c r="AG154" s="7" t="str">
        <f>IFERROR(__xludf.DUMMYFUNCTION("GoogleTranslate(C154, ""en"", ""it"")"),"Luna Nuova")</f>
        <v>Luna Nuova</v>
      </c>
      <c r="AH154" s="7" t="str">
        <f>IFERROR(__xludf.DUMMYFUNCTION("GoogleTranslate(C154, ""en"", ""ja"")"),"新月")</f>
        <v>新月</v>
      </c>
      <c r="AI154" s="7" t="str">
        <f>IFERROR(__xludf.DUMMYFUNCTION("GoogleTranslate(C154, ""en"", ""kn"")"),"ಅಮಾವಾಸ್ಯೆ")</f>
        <v>ಅಮಾವಾಸ್ಯೆ</v>
      </c>
      <c r="AJ154" s="7" t="str">
        <f>IFERROR(__xludf.DUMMYFUNCTION("GoogleTranslate(C154, ""en"", ""km"")"),"ព្រះច័ន្ទថ្មី។")</f>
        <v>ព្រះច័ន្ទថ្មី។</v>
      </c>
      <c r="AK154" s="7" t="str">
        <f>IFERROR(__xludf.DUMMYFUNCTION("GoogleTranslate(C154, ""en"", ""ko"")"),"초승달")</f>
        <v>초승달</v>
      </c>
      <c r="AL154" s="7" t="str">
        <f>IFERROR(__xludf.DUMMYFUNCTION("GoogleTranslate(C154, ""en"", ""lo"")"),"ເດືອນໃໝ່")</f>
        <v>ເດືອນໃໝ່</v>
      </c>
      <c r="AM154" s="7" t="str">
        <f>IFERROR(__xludf.DUMMYFUNCTION("GoogleTranslate(C154, ""en"", ""lv"")"),"Jauns Mēness")</f>
        <v>Jauns Mēness</v>
      </c>
      <c r="AN154" s="7" t="str">
        <f>IFERROR(__xludf.DUMMYFUNCTION("GoogleTranslate(C154, ""en"", ""lt"")"),"Jaunatis")</f>
        <v>Jaunatis</v>
      </c>
      <c r="AO154" s="7" t="str">
        <f>IFERROR(__xludf.DUMMYFUNCTION("GoogleTranslate(C154, ""en"", ""mk"")"),"млада месечина")</f>
        <v>млада месечина</v>
      </c>
      <c r="AP154" s="7" t="str">
        <f>IFERROR(__xludf.DUMMYFUNCTION("GoogleTranslate(C154, ""en"", ""ms"")"),"Bulan Baru")</f>
        <v>Bulan Baru</v>
      </c>
      <c r="AQ154" s="7" t="str">
        <f>IFERROR(__xludf.DUMMYFUNCTION("GoogleTranslate(C154, ""en"", ""ml"")"),"അമാവാസി")</f>
        <v>അമാവാസി</v>
      </c>
      <c r="AR154" s="7" t="str">
        <f>IFERROR(__xludf.DUMMYFUNCTION("GoogleTranslate(C154, ""en"", ""mr"")"),"अमावस्या")</f>
        <v>अमावस्या</v>
      </c>
      <c r="AS154" s="7" t="str">
        <f>IFERROR(__xludf.DUMMYFUNCTION("GoogleTranslate(C154, ""en"", ""mn"")"),"Шинэ сар")</f>
        <v>Шинэ сар</v>
      </c>
      <c r="AT154" s="7" t="str">
        <f>IFERROR(__xludf.DUMMYFUNCTION("GoogleTranslate(C154, ""en"", ""ne"")"),"नयाँ चन्द्र")</f>
        <v>नयाँ चन्द्र</v>
      </c>
      <c r="AU154" s="7" t="str">
        <f>IFERROR(__xludf.DUMMYFUNCTION("GoogleTranslate(C154, ""en"", ""nb"")"),"Nymåne")</f>
        <v>Nymåne</v>
      </c>
      <c r="AV154" s="7" t="str">
        <f>IFERROR(__xludf.DUMMYFUNCTION("GoogleTranslate(C154, ""en"", ""fa"")"),"ماه نو")</f>
        <v>ماه نو</v>
      </c>
      <c r="AW154" s="7" t="str">
        <f>IFERROR(__xludf.DUMMYFUNCTION("GoogleTranslate(C154, ""en"", ""pl"")"),"Nówy księżyc")</f>
        <v>Nówy księżyc</v>
      </c>
      <c r="AX154" s="7" t="str">
        <f>IFERROR(__xludf.DUMMYFUNCTION("GoogleTranslate(C154, ""en"", ""pt"")"),"Lua nova")</f>
        <v>Lua nova</v>
      </c>
      <c r="AY154" s="7" t="str">
        <f>IFERROR(__xludf.DUMMYFUNCTION("GoogleTranslate(C154, ""en"", ""ro"")"),"Lună nouă")</f>
        <v>Lună nouă</v>
      </c>
      <c r="AZ154" s="7" t="str">
        <f>IFERROR(__xludf.DUMMYFUNCTION("GoogleTranslate(C154, ""en"", ""ru"")"),"Новолуние")</f>
        <v>Новолуние</v>
      </c>
      <c r="BA154" s="7" t="str">
        <f>IFERROR(__xludf.DUMMYFUNCTION("GoogleTranslate(C154, ""en"", ""sr"")"),"Млад Месец")</f>
        <v>Млад Месец</v>
      </c>
      <c r="BB154" s="7" t="str">
        <f>IFERROR(__xludf.DUMMYFUNCTION("GoogleTranslate(C154, ""en"", ""si"")"),"නව සඳ")</f>
        <v>නව සඳ</v>
      </c>
      <c r="BC154" s="7" t="str">
        <f>IFERROR(__xludf.DUMMYFUNCTION("GoogleTranslate(C154, ""en"", ""sk"")"),"Nový Mesiac")</f>
        <v>Nový Mesiac</v>
      </c>
      <c r="BD154" s="7" t="str">
        <f>IFERROR(__xludf.DUMMYFUNCTION("GoogleTranslate(C154, ""en"", ""sl"")"),"Nova luna")</f>
        <v>Nova luna</v>
      </c>
      <c r="BE154" s="7" t="str">
        <f>IFERROR(__xludf.DUMMYFUNCTION("GoogleTranslate(C154, ""en"", ""es"")"),"Luna nueva")</f>
        <v>Luna nueva</v>
      </c>
      <c r="BF154" s="7" t="str">
        <f>IFERROR(__xludf.DUMMYFUNCTION("GoogleTranslate(C154, ""en"", ""sw"")"),"Mwezi Mpya")</f>
        <v>Mwezi Mpya</v>
      </c>
      <c r="BG154" s="7" t="str">
        <f>IFERROR(__xludf.DUMMYFUNCTION("GoogleTranslate(C154, ""en"", ""sv"")"),"Nymåne")</f>
        <v>Nymåne</v>
      </c>
      <c r="BH154" s="7" t="str">
        <f>IFERROR(__xludf.DUMMYFUNCTION("GoogleTranslate(C154, ""en"", ""te"")"),"అమావాస్య")</f>
        <v>అమావాస్య</v>
      </c>
      <c r="BI154" s="7" t="str">
        <f>IFERROR(__xludf.DUMMYFUNCTION("GoogleTranslate(C154, ""en"", ""th"")"),"นิวมูน")</f>
        <v>นิวมูน</v>
      </c>
      <c r="BJ154" s="7" t="str">
        <f>IFERROR(__xludf.DUMMYFUNCTION("GoogleTranslate(C154, ""en"", ""tr"")"),"Yeni ay")</f>
        <v>Yeni ay</v>
      </c>
      <c r="BK154" s="7" t="str">
        <f>IFERROR(__xludf.DUMMYFUNCTION("GoogleTranslate(C154, ""en"", ""uk"")"),"Молодик")</f>
        <v>Молодик</v>
      </c>
      <c r="BL154" s="7" t="str">
        <f>IFERROR(__xludf.DUMMYFUNCTION("GoogleTranslate(C154, ""en"", ""zu"")"),"Inyanga Entsha")</f>
        <v>Inyanga Entsha</v>
      </c>
    </row>
    <row r="155">
      <c r="A155" s="5" t="str">
        <f t="shared" si="1"/>
        <v>Waxing_Crescent</v>
      </c>
      <c r="B155" s="6" t="s">
        <v>211</v>
      </c>
      <c r="C155" s="5" t="str">
        <f t="shared" si="2"/>
        <v>Waxing Crescent</v>
      </c>
      <c r="D155" s="7" t="str">
        <f>IFERROR(__xludf.DUMMYFUNCTION("GoogleTranslate(C155, ""en"", ""es"")"),"Media luna creciente")</f>
        <v>Media luna creciente</v>
      </c>
      <c r="E155" s="7" t="str">
        <f>IFERROR(__xludf.DUMMYFUNCTION("GoogleTranslate(C155, ""en"", ""ar"")"),"الهلال المصبح")</f>
        <v>الهلال المصبح</v>
      </c>
      <c r="F155" s="7" t="str">
        <f>IFERROR(__xludf.DUMMYFUNCTION("GoogleTranslate(C155, ""en"", ""hy"")"),"Էպիլյացիոն կիսալուսին")</f>
        <v>Էպիլյացիոն կիսալուսին</v>
      </c>
      <c r="G155" s="7" t="str">
        <f>IFERROR(__xludf.DUMMYFUNCTION("GoogleTranslate(C155, ""en"", ""vi"")"),"Lưỡi liềm sáp")</f>
        <v>Lưỡi liềm sáp</v>
      </c>
      <c r="H155" s="7" t="str">
        <f>IFERROR(__xludf.DUMMYFUNCTION("GoogleTranslate(C155, ""en"", ""az"")"),"Balmumu Aypara")</f>
        <v>Balmumu Aypara</v>
      </c>
      <c r="I155" s="7" t="str">
        <f>IFERROR(__xludf.DUMMYFUNCTION("GoogleTranslate(C155, ""en"", ""eu"")"),"Argizari Ilargia")</f>
        <v>Argizari Ilargia</v>
      </c>
      <c r="J155" s="7" t="str">
        <f>IFERROR(__xludf.DUMMYFUNCTION("GoogleTranslate(C155, ""en"", ""be"")"),"Нарастаючы паўмесяц")</f>
        <v>Нарастаючы паўмесяц</v>
      </c>
      <c r="K155" s="7" t="str">
        <f>IFERROR(__xludf.DUMMYFUNCTION("GoogleTranslate(C155, ""en"", ""bn"")"),"ওয়াক্সিং ক্রিসেন্ট")</f>
        <v>ওয়াক্সিং ক্রিসেন্ট</v>
      </c>
      <c r="L155" s="7" t="str">
        <f>IFERROR(__xludf.DUMMYFUNCTION("GoogleTranslate(C155, ""en"", ""bg"")"),"Нарастващ полумесец")</f>
        <v>Нарастващ полумесец</v>
      </c>
      <c r="M155" s="7" t="str">
        <f>IFERROR(__xludf.DUMMYFUNCTION("GoogleTranslate(C155, ""en"", ""my"")"),"Waxing လခြမ်း")</f>
        <v>Waxing လခြမ်း</v>
      </c>
      <c r="N155" s="7" t="str">
        <f>IFERROR(__xludf.DUMMYFUNCTION("GoogleTranslate(C155, ""en"", ""ca"")"),"Creixent Creixent")</f>
        <v>Creixent Creixent</v>
      </c>
      <c r="O155" s="7" t="str">
        <f>IFERROR(__xludf.DUMMYFUNCTION("GoogleTranslate(C155, ""en"", ""zh-cn"")"),"打蜡新月形")</f>
        <v>打蜡新月形</v>
      </c>
      <c r="P155" s="7" t="str">
        <f>IFERROR(__xludf.DUMMYFUNCTION("GoogleTranslate(C155, ""en"", ""zh-TW"")"),"打蠟新月形")</f>
        <v>打蠟新月形</v>
      </c>
      <c r="Q155" s="7" t="str">
        <f>IFERROR(__xludf.DUMMYFUNCTION("GoogleTranslate(C155, ""en"", ""hr"")"),"Rastući polumjesec")</f>
        <v>Rastući polumjesec</v>
      </c>
      <c r="R155" s="7" t="str">
        <f>IFERROR(__xludf.DUMMYFUNCTION("GoogleTranslate(C155, ""en"", ""cs"")"),"Dorůstající půlměsíc")</f>
        <v>Dorůstající půlměsíc</v>
      </c>
      <c r="S155" s="7" t="str">
        <f>IFERROR(__xludf.DUMMYFUNCTION("GoogleTranslate(C155, ""en"", ""da"")"),"Voksende halvmåne")</f>
        <v>Voksende halvmåne</v>
      </c>
      <c r="T155" s="7" t="str">
        <f>IFERROR(__xludf.DUMMYFUNCTION("GoogleTranslate(C155, ""en"", ""nl"")"),"Wassende halve maan")</f>
        <v>Wassende halve maan</v>
      </c>
      <c r="U155" s="7" t="str">
        <f>IFERROR(__xludf.DUMMYFUNCTION("GoogleTranslate(C155, ""en"", ""et"")"),"Kasvav poolkuu")</f>
        <v>Kasvav poolkuu</v>
      </c>
      <c r="V155" s="5" t="str">
        <f t="shared" si="3"/>
        <v>Waxing Crescent</v>
      </c>
      <c r="W155" s="7" t="str">
        <f>IFERROR(__xludf.DUMMYFUNCTION("GoogleTranslate(C155, ""en"", ""fi"")"),"Kasvava Crescent")</f>
        <v>Kasvava Crescent</v>
      </c>
      <c r="X155" s="7" t="str">
        <f>IFERROR(__xludf.DUMMYFUNCTION("GoogleTranslate(C155, ""en"", ""fr"")"),"Croissant d'épilation")</f>
        <v>Croissant d'épilation</v>
      </c>
      <c r="Y155" s="7" t="str">
        <f>IFERROR(__xludf.DUMMYFUNCTION("GoogleTranslate(C155, ""en"", ""de"")"),"Wachsender Halbmond")</f>
        <v>Wachsender Halbmond</v>
      </c>
      <c r="Z155" s="7" t="str">
        <f>IFERROR(__xludf.DUMMYFUNCTION("GoogleTranslate(C155, ""en"", ""el"")"),"Ημισέληνος με κερί")</f>
        <v>Ημισέληνος με κερί</v>
      </c>
      <c r="AA155" s="7" t="str">
        <f>IFERROR(__xludf.DUMMYFUNCTION("GoogleTranslate(C155, ""en"", ""iw"")"),"סהר שעווה")</f>
        <v>סהר שעווה</v>
      </c>
      <c r="AB155" s="7" t="str">
        <f>IFERROR(__xludf.DUMMYFUNCTION("GoogleTranslate(C155, ""en"", ""hi"")"),"वर्धमान अर्धचंद्र")</f>
        <v>वर्धमान अर्धचंद्र</v>
      </c>
      <c r="AC155" s="7" t="str">
        <f>IFERROR(__xludf.DUMMYFUNCTION("GoogleTranslate(C155, ""en"", ""hu"")"),"Gyászoló Félhold")</f>
        <v>Gyászoló Félhold</v>
      </c>
      <c r="AD155" s="7" t="str">
        <f>IFERROR(__xludf.DUMMYFUNCTION("GoogleTranslate(C155, ""en"", ""is"")"),"Vaxandi hálfmáni")</f>
        <v>Vaxandi hálfmáni</v>
      </c>
      <c r="AE155" s="7" t="str">
        <f>IFERROR(__xludf.DUMMYFUNCTION("GoogleTranslate(C155, ""en"", ""id"")"),"Bulan Sabit Lilin")</f>
        <v>Bulan Sabit Lilin</v>
      </c>
      <c r="AF155" s="7" t="str">
        <f>IFERROR(__xludf.DUMMYFUNCTION("GoogleTranslate(C155, ""en"", ""in"")"),"Bulan Sabit Lilin")</f>
        <v>Bulan Sabit Lilin</v>
      </c>
      <c r="AG155" s="7" t="str">
        <f>IFERROR(__xludf.DUMMYFUNCTION("GoogleTranslate(C155, ""en"", ""it"")"),"Mezzaluna ceretta")</f>
        <v>Mezzaluna ceretta</v>
      </c>
      <c r="AH155" s="7" t="str">
        <f>IFERROR(__xludf.DUMMYFUNCTION("GoogleTranslate(C155, ""en"", ""ja"")"),"ワックスがけの三日月")</f>
        <v>ワックスがけの三日月</v>
      </c>
      <c r="AI155" s="7" t="str">
        <f>IFERROR(__xludf.DUMMYFUNCTION("GoogleTranslate(C155, ""en"", ""kn"")"),"ವ್ಯಾಕ್ಸಿಂಗ್ ಕ್ರೆಸೆಂಟ್")</f>
        <v>ವ್ಯಾಕ್ಸಿಂಗ್ ಕ್ರೆಸೆಂಟ್</v>
      </c>
      <c r="AJ155" s="7" t="str">
        <f>IFERROR(__xludf.DUMMYFUNCTION("GoogleTranslate(C155, ""en"", ""km"")"),"Waxing អឌ្ឍចន្ទ")</f>
        <v>Waxing អឌ្ឍចន្ទ</v>
      </c>
      <c r="AK155" s="7" t="str">
        <f>IFERROR(__xludf.DUMMYFUNCTION("GoogleTranslate(C155, ""en"", ""ko"")"),"왁싱 초승달")</f>
        <v>왁싱 초승달</v>
      </c>
      <c r="AL155" s="7" t="str">
        <f>IFERROR(__xludf.DUMMYFUNCTION("GoogleTranslate(C155, ""en"", ""lo"")"),"ຂີ້ເຜີ້ງ Crescent")</f>
        <v>ຂີ້ເຜີ້ງ Crescent</v>
      </c>
      <c r="AM155" s="7" t="str">
        <f>IFERROR(__xludf.DUMMYFUNCTION("GoogleTranslate(C155, ""en"", ""lv"")"),"Augošs pusmēness")</f>
        <v>Augošs pusmēness</v>
      </c>
      <c r="AN155" s="7" t="str">
        <f>IFERROR(__xludf.DUMMYFUNCTION("GoogleTranslate(C155, ""en"", ""lt"")"),"Dylantis pusmėnulis")</f>
        <v>Dylantis pusmėnulis</v>
      </c>
      <c r="AO155" s="7" t="str">
        <f>IFERROR(__xludf.DUMMYFUNCTION("GoogleTranslate(C155, ""en"", ""mk"")"),"Депилација полумесечина")</f>
        <v>Депилација полумесечина</v>
      </c>
      <c r="AP155" s="7" t="str">
        <f>IFERROR(__xludf.DUMMYFUNCTION("GoogleTranslate(C155, ""en"", ""ms"")"),"Waxing Crescent")</f>
        <v>Waxing Crescent</v>
      </c>
      <c r="AQ155" s="7" t="str">
        <f>IFERROR(__xludf.DUMMYFUNCTION("GoogleTranslate(C155, ""en"", ""ml"")"),"വാക്സിംഗ് ക്രസൻ്റ്")</f>
        <v>വാക്സിംഗ് ക്രസൻ്റ്</v>
      </c>
      <c r="AR155" s="7" t="str">
        <f>IFERROR(__xludf.DUMMYFUNCTION("GoogleTranslate(C155, ""en"", ""mr"")"),"वॅक्सिंग क्रेसेंट")</f>
        <v>वॅक्सिंग क्रेसेंट</v>
      </c>
      <c r="AS155" s="7" t="str">
        <f>IFERROR(__xludf.DUMMYFUNCTION("GoogleTranslate(C155, ""en"", ""mn"")"),"Хавирган сар")</f>
        <v>Хавирган сар</v>
      </c>
      <c r="AT155" s="7" t="str">
        <f>IFERROR(__xludf.DUMMYFUNCTION("GoogleTranslate(C155, ""en"", ""ne"")"),"वेक्सिङ क्रिसेन्ट")</f>
        <v>वेक्सिङ क्रिसेन्ट</v>
      </c>
      <c r="AU155" s="7" t="str">
        <f>IFERROR(__xludf.DUMMYFUNCTION("GoogleTranslate(C155, ""en"", ""nb"")"),"Voksende halvmåne")</f>
        <v>Voksende halvmåne</v>
      </c>
      <c r="AV155" s="7" t="str">
        <f>IFERROR(__xludf.DUMMYFUNCTION("GoogleTranslate(C155, ""en"", ""fa"")"),"هلال اپیلاسیون")</f>
        <v>هلال اپیلاسیون</v>
      </c>
      <c r="AW155" s="7" t="str">
        <f>IFERROR(__xludf.DUMMYFUNCTION("GoogleTranslate(C155, ""en"", ""pl"")"),"Woskujący Półksiężyc")</f>
        <v>Woskujący Półksiężyc</v>
      </c>
      <c r="AX155" s="7" t="str">
        <f>IFERROR(__xludf.DUMMYFUNCTION("GoogleTranslate(C155, ""en"", ""pt"")"),"Crescente Crescente")</f>
        <v>Crescente Crescente</v>
      </c>
      <c r="AY155" s="7" t="str">
        <f>IFERROR(__xludf.DUMMYFUNCTION("GoogleTranslate(C155, ""en"", ""ro"")"),"Semiluna în ceară")</f>
        <v>Semiluna în ceară</v>
      </c>
      <c r="AZ155" s="7" t="str">
        <f>IFERROR(__xludf.DUMMYFUNCTION("GoogleTranslate(C155, ""en"", ""ru"")"),"Растущий полумесяц")</f>
        <v>Растущий полумесяц</v>
      </c>
      <c r="BA155" s="7" t="str">
        <f>IFERROR(__xludf.DUMMYFUNCTION("GoogleTranslate(C155, ""en"", ""sr"")"),"Вакинг Цресцент")</f>
        <v>Вакинг Цресцент</v>
      </c>
      <c r="BB155" s="7" t="str">
        <f>IFERROR(__xludf.DUMMYFUNCTION("GoogleTranslate(C155, ""en"", ""si"")"),"Waxing Crescent")</f>
        <v>Waxing Crescent</v>
      </c>
      <c r="BC155" s="7" t="str">
        <f>IFERROR(__xludf.DUMMYFUNCTION("GoogleTranslate(C155, ""en"", ""sk"")"),"Voskový polmesiac")</f>
        <v>Voskový polmesiac</v>
      </c>
      <c r="BD155" s="7" t="str">
        <f>IFERROR(__xludf.DUMMYFUNCTION("GoogleTranslate(C155, ""en"", ""sl"")"),"Rastoči polmesec")</f>
        <v>Rastoči polmesec</v>
      </c>
      <c r="BE155" s="7" t="str">
        <f>IFERROR(__xludf.DUMMYFUNCTION("GoogleTranslate(C155, ""en"", ""es"")"),"Media luna creciente")</f>
        <v>Media luna creciente</v>
      </c>
      <c r="BF155" s="7" t="str">
        <f>IFERROR(__xludf.DUMMYFUNCTION("GoogleTranslate(C155, ""en"", ""sw"")"),"Mvua inayoongezeka")</f>
        <v>Mvua inayoongezeka</v>
      </c>
      <c r="BG155" s="7" t="str">
        <f>IFERROR(__xludf.DUMMYFUNCTION("GoogleTranslate(C155, ""en"", ""sv"")"),"Vaxande Crescent")</f>
        <v>Vaxande Crescent</v>
      </c>
      <c r="BH155" s="7" t="str">
        <f>IFERROR(__xludf.DUMMYFUNCTION("GoogleTranslate(C155, ""en"", ""te"")"),"వాక్సింగ్ చంద్రవంక")</f>
        <v>వాక్సింగ్ చంద్రవంక</v>
      </c>
      <c r="BI155" s="7" t="str">
        <f>IFERROR(__xludf.DUMMYFUNCTION("GoogleTranslate(C155, ""en"", ""th"")"),"แว็กซ์เสี้ยว")</f>
        <v>แว็กซ์เสี้ยว</v>
      </c>
      <c r="BJ155" s="7" t="str">
        <f>IFERROR(__xludf.DUMMYFUNCTION("GoogleTranslate(C155, ""en"", ""tr"")"),"Ağda Hilal")</f>
        <v>Ağda Hilal</v>
      </c>
      <c r="BK155" s="7" t="str">
        <f>IFERROR(__xludf.DUMMYFUNCTION("GoogleTranslate(C155, ""en"", ""uk"")"),"Зростаючий півмісяць")</f>
        <v>Зростаючий півмісяць</v>
      </c>
      <c r="BL155" s="7" t="str">
        <f>IFERROR(__xludf.DUMMYFUNCTION("GoogleTranslate(C155, ""en"", ""zu"")"),"I-Waxing Crescent")</f>
        <v>I-Waxing Crescent</v>
      </c>
    </row>
    <row r="156">
      <c r="A156" s="5" t="str">
        <f t="shared" si="1"/>
        <v>First_Quarter</v>
      </c>
      <c r="B156" s="6" t="s">
        <v>212</v>
      </c>
      <c r="C156" s="5" t="str">
        <f t="shared" si="2"/>
        <v>First Quarter</v>
      </c>
      <c r="D156" s="7" t="str">
        <f>IFERROR(__xludf.DUMMYFUNCTION("GoogleTranslate(C156, ""en"", ""es"")"),"Primer trimestre")</f>
        <v>Primer trimestre</v>
      </c>
      <c r="E156" s="7" t="str">
        <f>IFERROR(__xludf.DUMMYFUNCTION("GoogleTranslate(C156, ""en"", ""ar"")"),"الربع الأول")</f>
        <v>الربع الأول</v>
      </c>
      <c r="F156" s="7" t="str">
        <f>IFERROR(__xludf.DUMMYFUNCTION("GoogleTranslate(C156, ""en"", ""hy"")"),"Առաջին եռամսյակ")</f>
        <v>Առաջին եռամսյակ</v>
      </c>
      <c r="G156" s="7" t="str">
        <f>IFERROR(__xludf.DUMMYFUNCTION("GoogleTranslate(C156, ""en"", ""vi"")"),"Quý I")</f>
        <v>Quý I</v>
      </c>
      <c r="H156" s="7" t="str">
        <f>IFERROR(__xludf.DUMMYFUNCTION("GoogleTranslate(C156, ""en"", ""az"")"),"Birinci rüb")</f>
        <v>Birinci rüb</v>
      </c>
      <c r="I156" s="7" t="str">
        <f>IFERROR(__xludf.DUMMYFUNCTION("GoogleTranslate(C156, ""en"", ""eu"")"),"Lehen Hiruhilekoa")</f>
        <v>Lehen Hiruhilekoa</v>
      </c>
      <c r="J156" s="7" t="str">
        <f>IFERROR(__xludf.DUMMYFUNCTION("GoogleTranslate(C156, ""en"", ""be"")"),"Першая чвэрць")</f>
        <v>Першая чвэрць</v>
      </c>
      <c r="K156" s="7" t="str">
        <f>IFERROR(__xludf.DUMMYFUNCTION("GoogleTranslate(C156, ""en"", ""bn"")"),"প্রথম কোয়ার্টার")</f>
        <v>প্রথম কোয়ার্টার</v>
      </c>
      <c r="L156" s="7" t="str">
        <f>IFERROR(__xludf.DUMMYFUNCTION("GoogleTranslate(C156, ""en"", ""bg"")"),"Първа четвърт")</f>
        <v>Първа четвърт</v>
      </c>
      <c r="M156" s="7" t="str">
        <f>IFERROR(__xludf.DUMMYFUNCTION("GoogleTranslate(C156, ""en"", ""my"")"),"ပထမရပ်ကွက်")</f>
        <v>ပထမရပ်ကွက်</v>
      </c>
      <c r="N156" s="7" t="str">
        <f>IFERROR(__xludf.DUMMYFUNCTION("GoogleTranslate(C156, ""en"", ""ca"")"),"Primer trimestre")</f>
        <v>Primer trimestre</v>
      </c>
      <c r="O156" s="7" t="str">
        <f>IFERROR(__xludf.DUMMYFUNCTION("GoogleTranslate(C156, ""en"", ""zh-cn"")"),"第一季度")</f>
        <v>第一季度</v>
      </c>
      <c r="P156" s="7" t="str">
        <f>IFERROR(__xludf.DUMMYFUNCTION("GoogleTranslate(C156, ""en"", ""zh-TW"")"),"第一季")</f>
        <v>第一季</v>
      </c>
      <c r="Q156" s="7" t="str">
        <f>IFERROR(__xludf.DUMMYFUNCTION("GoogleTranslate(C156, ""en"", ""hr"")"),"Prva četvrtina")</f>
        <v>Prva četvrtina</v>
      </c>
      <c r="R156" s="7" t="str">
        <f>IFERROR(__xludf.DUMMYFUNCTION("GoogleTranslate(C156, ""en"", ""cs"")"),"První čtvrtletí")</f>
        <v>První čtvrtletí</v>
      </c>
      <c r="S156" s="7" t="str">
        <f>IFERROR(__xludf.DUMMYFUNCTION("GoogleTranslate(C156, ""en"", ""da"")"),"Første kvartal")</f>
        <v>Første kvartal</v>
      </c>
      <c r="T156" s="7" t="str">
        <f>IFERROR(__xludf.DUMMYFUNCTION("GoogleTranslate(C156, ""en"", ""nl"")"),"Eerste kwartaal")</f>
        <v>Eerste kwartaal</v>
      </c>
      <c r="U156" s="7" t="str">
        <f>IFERROR(__xludf.DUMMYFUNCTION("GoogleTranslate(C156, ""en"", ""et"")"),"Esimene kvartal")</f>
        <v>Esimene kvartal</v>
      </c>
      <c r="V156" s="5" t="str">
        <f t="shared" si="3"/>
        <v>First Quarter</v>
      </c>
      <c r="W156" s="7" t="str">
        <f>IFERROR(__xludf.DUMMYFUNCTION("GoogleTranslate(C156, ""en"", ""fi"")"),"Ensimmäinen vuosineljännes")</f>
        <v>Ensimmäinen vuosineljännes</v>
      </c>
      <c r="X156" s="7" t="str">
        <f>IFERROR(__xludf.DUMMYFUNCTION("GoogleTranslate(C156, ""en"", ""fr"")"),"Premier trimestre")</f>
        <v>Premier trimestre</v>
      </c>
      <c r="Y156" s="7" t="str">
        <f>IFERROR(__xludf.DUMMYFUNCTION("GoogleTranslate(C156, ""en"", ""de"")"),"Erstes Viertel")</f>
        <v>Erstes Viertel</v>
      </c>
      <c r="Z156" s="7" t="str">
        <f>IFERROR(__xludf.DUMMYFUNCTION("GoogleTranslate(C156, ""en"", ""el"")"),"Πρώτο τρίμηνο")</f>
        <v>Πρώτο τρίμηνο</v>
      </c>
      <c r="AA156" s="7" t="str">
        <f>IFERROR(__xludf.DUMMYFUNCTION("GoogleTranslate(C156, ""en"", ""iw"")"),"רבעון ראשון")</f>
        <v>רבעון ראשון</v>
      </c>
      <c r="AB156" s="7" t="str">
        <f>IFERROR(__xludf.DUMMYFUNCTION("GoogleTranslate(C156, ""en"", ""hi"")"),"पहली तिमाही")</f>
        <v>पहली तिमाही</v>
      </c>
      <c r="AC156" s="7" t="str">
        <f>IFERROR(__xludf.DUMMYFUNCTION("GoogleTranslate(C156, ""en"", ""hu"")"),"Első negyed")</f>
        <v>Első negyed</v>
      </c>
      <c r="AD156" s="7" t="str">
        <f>IFERROR(__xludf.DUMMYFUNCTION("GoogleTranslate(C156, ""en"", ""is"")"),"Fyrsta ársfjórðung")</f>
        <v>Fyrsta ársfjórðung</v>
      </c>
      <c r="AE156" s="7" t="str">
        <f>IFERROR(__xludf.DUMMYFUNCTION("GoogleTranslate(C156, ""en"", ""id"")"),"Kuartal Pertama")</f>
        <v>Kuartal Pertama</v>
      </c>
      <c r="AF156" s="7" t="str">
        <f>IFERROR(__xludf.DUMMYFUNCTION("GoogleTranslate(C156, ""en"", ""in"")"),"Kuartal Pertama")</f>
        <v>Kuartal Pertama</v>
      </c>
      <c r="AG156" s="7" t="str">
        <f>IFERROR(__xludf.DUMMYFUNCTION("GoogleTranslate(C156, ""en"", ""it"")"),"Primo quarto")</f>
        <v>Primo quarto</v>
      </c>
      <c r="AH156" s="7" t="str">
        <f>IFERROR(__xludf.DUMMYFUNCTION("GoogleTranslate(C156, ""en"", ""ja"")"),"第 1 四半期")</f>
        <v>第 1 四半期</v>
      </c>
      <c r="AI156" s="7" t="str">
        <f>IFERROR(__xludf.DUMMYFUNCTION("GoogleTranslate(C156, ""en"", ""kn"")"),"ಮೊದಲ ತ್ರೈಮಾಸಿಕ")</f>
        <v>ಮೊದಲ ತ್ರೈಮಾಸಿಕ</v>
      </c>
      <c r="AJ156" s="7" t="str">
        <f>IFERROR(__xludf.DUMMYFUNCTION("GoogleTranslate(C156, ""en"", ""km"")"),"ត្រីមាសទីមួយ")</f>
        <v>ត្រីមាសទីមួយ</v>
      </c>
      <c r="AK156" s="7" t="str">
        <f>IFERROR(__xludf.DUMMYFUNCTION("GoogleTranslate(C156, ""en"", ""ko"")"),"1분기")</f>
        <v>1분기</v>
      </c>
      <c r="AL156" s="7" t="str">
        <f>IFERROR(__xludf.DUMMYFUNCTION("GoogleTranslate(C156, ""en"", ""lo"")"),"ໄຕມາດທໍາອິດ")</f>
        <v>ໄຕມາດທໍາອິດ</v>
      </c>
      <c r="AM156" s="7" t="str">
        <f>IFERROR(__xludf.DUMMYFUNCTION("GoogleTranslate(C156, ""en"", ""lv"")"),"Pirmais ceturksnis")</f>
        <v>Pirmais ceturksnis</v>
      </c>
      <c r="AN156" s="7" t="str">
        <f>IFERROR(__xludf.DUMMYFUNCTION("GoogleTranslate(C156, ""en"", ""lt"")"),"Pirmas ketvirtis")</f>
        <v>Pirmas ketvirtis</v>
      </c>
      <c r="AO156" s="7" t="str">
        <f>IFERROR(__xludf.DUMMYFUNCTION("GoogleTranslate(C156, ""en"", ""mk"")"),"Прв квартал")</f>
        <v>Прв квартал</v>
      </c>
      <c r="AP156" s="7" t="str">
        <f>IFERROR(__xludf.DUMMYFUNCTION("GoogleTranslate(C156, ""en"", ""ms"")"),"Suku Pertama")</f>
        <v>Suku Pertama</v>
      </c>
      <c r="AQ156" s="7" t="str">
        <f>IFERROR(__xludf.DUMMYFUNCTION("GoogleTranslate(C156, ""en"", ""ml"")"),"ആദ്യ പാദം")</f>
        <v>ആദ്യ പാദം</v>
      </c>
      <c r="AR156" s="7" t="str">
        <f>IFERROR(__xludf.DUMMYFUNCTION("GoogleTranslate(C156, ""en"", ""mr"")"),"पहिल्या तिमाहीत")</f>
        <v>पहिल्या तिमाहीत</v>
      </c>
      <c r="AS156" s="7" t="str">
        <f>IFERROR(__xludf.DUMMYFUNCTION("GoogleTranslate(C156, ""en"", ""mn"")"),"Эхний улирал")</f>
        <v>Эхний улирал</v>
      </c>
      <c r="AT156" s="7" t="str">
        <f>IFERROR(__xludf.DUMMYFUNCTION("GoogleTranslate(C156, ""en"", ""ne"")"),"पहिलो क्वार्टर")</f>
        <v>पहिलो क्वार्टर</v>
      </c>
      <c r="AU156" s="7" t="str">
        <f>IFERROR(__xludf.DUMMYFUNCTION("GoogleTranslate(C156, ""en"", ""nb"")"),"Første kvartal")</f>
        <v>Første kvartal</v>
      </c>
      <c r="AV156" s="7" t="str">
        <f>IFERROR(__xludf.DUMMYFUNCTION("GoogleTranslate(C156, ""en"", ""fa"")"),"سه ماهه اول")</f>
        <v>سه ماهه اول</v>
      </c>
      <c r="AW156" s="7" t="str">
        <f>IFERROR(__xludf.DUMMYFUNCTION("GoogleTranslate(C156, ""en"", ""pl"")"),"Pierwsza kwarta")</f>
        <v>Pierwsza kwarta</v>
      </c>
      <c r="AX156" s="7" t="str">
        <f>IFERROR(__xludf.DUMMYFUNCTION("GoogleTranslate(C156, ""en"", ""pt"")"),"Primeiro Trimestre")</f>
        <v>Primeiro Trimestre</v>
      </c>
      <c r="AY156" s="7" t="str">
        <f>IFERROR(__xludf.DUMMYFUNCTION("GoogleTranslate(C156, ""en"", ""ro"")"),"Primul trimestru")</f>
        <v>Primul trimestru</v>
      </c>
      <c r="AZ156" s="7" t="str">
        <f>IFERROR(__xludf.DUMMYFUNCTION("GoogleTranslate(C156, ""en"", ""ru"")"),"Первый квартал")</f>
        <v>Первый квартал</v>
      </c>
      <c r="BA156" s="7" t="str">
        <f>IFERROR(__xludf.DUMMYFUNCTION("GoogleTranslate(C156, ""en"", ""sr"")"),"Фирст Куартер")</f>
        <v>Фирст Куартер</v>
      </c>
      <c r="BB156" s="7" t="str">
        <f>IFERROR(__xludf.DUMMYFUNCTION("GoogleTranslate(C156, ""en"", ""si"")"),"පළමු කාර්තුව")</f>
        <v>පළමු කාර්තුව</v>
      </c>
      <c r="BC156" s="7" t="str">
        <f>IFERROR(__xludf.DUMMYFUNCTION("GoogleTranslate(C156, ""en"", ""sk"")"),"Prvý štvrťrok")</f>
        <v>Prvý štvrťrok</v>
      </c>
      <c r="BD156" s="7" t="str">
        <f>IFERROR(__xludf.DUMMYFUNCTION("GoogleTranslate(C156, ""en"", ""sl"")"),"Prva četrtina")</f>
        <v>Prva četrtina</v>
      </c>
      <c r="BE156" s="7" t="str">
        <f>IFERROR(__xludf.DUMMYFUNCTION("GoogleTranslate(C156, ""en"", ""es"")"),"Primer trimestre")</f>
        <v>Primer trimestre</v>
      </c>
      <c r="BF156" s="7" t="str">
        <f>IFERROR(__xludf.DUMMYFUNCTION("GoogleTranslate(C156, ""en"", ""sw"")"),"Robo ya Kwanza")</f>
        <v>Robo ya Kwanza</v>
      </c>
      <c r="BG156" s="7" t="str">
        <f>IFERROR(__xludf.DUMMYFUNCTION("GoogleTranslate(C156, ""en"", ""sv"")"),"Första kvartalet")</f>
        <v>Första kvartalet</v>
      </c>
      <c r="BH156" s="7" t="str">
        <f>IFERROR(__xludf.DUMMYFUNCTION("GoogleTranslate(C156, ""en"", ""te"")"),"మొదటి త్రైమాసికం")</f>
        <v>మొదటి త్రైమాసికం</v>
      </c>
      <c r="BI156" s="7" t="str">
        <f>IFERROR(__xludf.DUMMYFUNCTION("GoogleTranslate(C156, ""en"", ""th"")"),"ไตรมาสแรก")</f>
        <v>ไตรมาสแรก</v>
      </c>
      <c r="BJ156" s="7" t="str">
        <f>IFERROR(__xludf.DUMMYFUNCTION("GoogleTranslate(C156, ""en"", ""tr"")"),"İlk Çeyrek")</f>
        <v>İlk Çeyrek</v>
      </c>
      <c r="BK156" s="7" t="str">
        <f>IFERROR(__xludf.DUMMYFUNCTION("GoogleTranslate(C156, ""en"", ""uk"")"),"Перша чверть")</f>
        <v>Перша чверть</v>
      </c>
      <c r="BL156" s="7" t="str">
        <f>IFERROR(__xludf.DUMMYFUNCTION("GoogleTranslate(C156, ""en"", ""zu"")"),"Ikota yokuqala")</f>
        <v>Ikota yokuqala</v>
      </c>
    </row>
    <row r="157">
      <c r="A157" s="5" t="str">
        <f t="shared" si="1"/>
        <v>Waxing_Gibbous</v>
      </c>
      <c r="B157" s="6" t="s">
        <v>213</v>
      </c>
      <c r="C157" s="5" t="str">
        <f t="shared" si="2"/>
        <v>Waxing Gibbous</v>
      </c>
      <c r="D157" s="7" t="str">
        <f>IFERROR(__xludf.DUMMYFUNCTION("GoogleTranslate(C157, ""en"", ""es"")"),"Gibosa creciente")</f>
        <v>Gibosa creciente</v>
      </c>
      <c r="E157" s="7" t="str">
        <f>IFERROR(__xludf.DUMMYFUNCTION("GoogleTranslate(C157, ""en"", ""ar"")"),"الصبح جيبوس")</f>
        <v>الصبح جيبوس</v>
      </c>
      <c r="F157" s="7" t="str">
        <f>IFERROR(__xludf.DUMMYFUNCTION("GoogleTranslate(C157, ""en"", ""hy"")"),"Էպիլյացիա Gibbous")</f>
        <v>Էպիլյացիա Gibbous</v>
      </c>
      <c r="G157" s="7" t="str">
        <f>IFERROR(__xludf.DUMMYFUNCTION("GoogleTranslate(C157, ""en"", ""vi"")"),"tẩy lông vượn")</f>
        <v>tẩy lông vượn</v>
      </c>
      <c r="H157" s="7" t="str">
        <f>IFERROR(__xludf.DUMMYFUNCTION("GoogleTranslate(C157, ""en"", ""az"")"),"Balmumu Gibbous")</f>
        <v>Balmumu Gibbous</v>
      </c>
      <c r="I157" s="7" t="str">
        <f>IFERROR(__xludf.DUMMYFUNCTION("GoogleTranslate(C157, ""en"", ""eu"")"),"Argizaria Gibosa")</f>
        <v>Argizaria Gibosa</v>
      </c>
      <c r="J157" s="7" t="str">
        <f>IFERROR(__xludf.DUMMYFUNCTION("GoogleTranslate(C157, ""en"", ""be"")"),"Ваксаванне Gibbous")</f>
        <v>Ваксаванне Gibbous</v>
      </c>
      <c r="K157" s="7" t="str">
        <f>IFERROR(__xludf.DUMMYFUNCTION("GoogleTranslate(C157, ""en"", ""bn"")"),"Waxing Gibbous")</f>
        <v>Waxing Gibbous</v>
      </c>
      <c r="L157" s="7" t="str">
        <f>IFERROR(__xludf.DUMMYFUNCTION("GoogleTranslate(C157, ""en"", ""bg"")"),"Нарастващ Gibbous")</f>
        <v>Нарастващ Gibbous</v>
      </c>
      <c r="M157" s="7" t="str">
        <f>IFERROR(__xludf.DUMMYFUNCTION("GoogleTranslate(C157, ""en"", ""my"")"),"Waxing Gibbous")</f>
        <v>Waxing Gibbous</v>
      </c>
      <c r="N157" s="7" t="str">
        <f>IFERROR(__xludf.DUMMYFUNCTION("GoogleTranslate(C157, ""en"", ""ca"")"),"Gibosa creixent")</f>
        <v>Gibosa creixent</v>
      </c>
      <c r="O157" s="7" t="str">
        <f>IFERROR(__xludf.DUMMYFUNCTION("GoogleTranslate(C157, ""en"", ""zh-cn"")"),"打蜡凸凸")</f>
        <v>打蜡凸凸</v>
      </c>
      <c r="P157" s="7" t="str">
        <f>IFERROR(__xludf.DUMMYFUNCTION("GoogleTranslate(C157, ""en"", ""zh-TW"")"),"打蠟凸凸")</f>
        <v>打蠟凸凸</v>
      </c>
      <c r="Q157" s="7" t="str">
        <f>IFERROR(__xludf.DUMMYFUNCTION("GoogleTranslate(C157, ""en"", ""hr"")"),"Waxing Gibbous")</f>
        <v>Waxing Gibbous</v>
      </c>
      <c r="R157" s="7" t="str">
        <f>IFERROR(__xludf.DUMMYFUNCTION("GoogleTranslate(C157, ""en"", ""cs"")"),"Voskování Gibbous")</f>
        <v>Voskování Gibbous</v>
      </c>
      <c r="S157" s="7" t="str">
        <f>IFERROR(__xludf.DUMMYFUNCTION("GoogleTranslate(C157, ""en"", ""da"")"),"Voksende Gibbous")</f>
        <v>Voksende Gibbous</v>
      </c>
      <c r="T157" s="7" t="str">
        <f>IFERROR(__xludf.DUMMYFUNCTION("GoogleTranslate(C157, ""en"", ""nl"")"),"Gibbous in de was zetten")</f>
        <v>Gibbous in de was zetten</v>
      </c>
      <c r="U157" s="7" t="str">
        <f>IFERROR(__xludf.DUMMYFUNCTION("GoogleTranslate(C157, ""en"", ""et"")"),"Vahatamine Gibbous")</f>
        <v>Vahatamine Gibbous</v>
      </c>
      <c r="V157" s="5" t="str">
        <f t="shared" si="3"/>
        <v>Waxing Gibbous</v>
      </c>
      <c r="W157" s="7" t="str">
        <f>IFERROR(__xludf.DUMMYFUNCTION("GoogleTranslate(C157, ""en"", ""fi"")"),"Vahaus Gibbous")</f>
        <v>Vahaus Gibbous</v>
      </c>
      <c r="X157" s="7" t="str">
        <f>IFERROR(__xludf.DUMMYFUNCTION("GoogleTranslate(C157, ""en"", ""fr"")"),"Épilation gibbeuse")</f>
        <v>Épilation gibbeuse</v>
      </c>
      <c r="Y157" s="7" t="str">
        <f>IFERROR(__xludf.DUMMYFUNCTION("GoogleTranslate(C157, ""en"", ""de"")"),"Wachsender Gibbous")</f>
        <v>Wachsender Gibbous</v>
      </c>
      <c r="Z157" s="7" t="str">
        <f>IFERROR(__xludf.DUMMYFUNCTION("GoogleTranslate(C157, ""en"", ""el"")"),"Αποτρίχωση Gibbous")</f>
        <v>Αποτρίχωση Gibbous</v>
      </c>
      <c r="AA157" s="7" t="str">
        <f>IFERROR(__xludf.DUMMYFUNCTION("GoogleTranslate(C157, ""en"", ""iw"")"),"שעווה Gibbous")</f>
        <v>שעווה Gibbous</v>
      </c>
      <c r="AB157" s="7" t="str">
        <f>IFERROR(__xludf.DUMMYFUNCTION("GoogleTranslate(C157, ""en"", ""hi"")"),"वैक्सिंग गिबयस")</f>
        <v>वैक्सिंग गिबयस</v>
      </c>
      <c r="AC157" s="7" t="str">
        <f>IFERROR(__xludf.DUMMYFUNCTION("GoogleTranslate(C157, ""en"", ""hu"")"),"Gyantázás Gibbous")</f>
        <v>Gyantázás Gibbous</v>
      </c>
      <c r="AD157" s="7" t="str">
        <f>IFERROR(__xludf.DUMMYFUNCTION("GoogleTranslate(C157, ""en"", ""is"")"),"Vaxandi Gibbous")</f>
        <v>Vaxandi Gibbous</v>
      </c>
      <c r="AE157" s="7" t="str">
        <f>IFERROR(__xludf.DUMMYFUNCTION("GoogleTranslate(C157, ""en"", ""id"")"),"Waxing Gibbous")</f>
        <v>Waxing Gibbous</v>
      </c>
      <c r="AF157" s="7" t="str">
        <f>IFERROR(__xludf.DUMMYFUNCTION("GoogleTranslate(C157, ""en"", ""in"")"),"Waxing Gibbous")</f>
        <v>Waxing Gibbous</v>
      </c>
      <c r="AG157" s="7" t="str">
        <f>IFERROR(__xludf.DUMMYFUNCTION("GoogleTranslate(C157, ""en"", ""it"")"),"Gibbosa ceretta")</f>
        <v>Gibbosa ceretta</v>
      </c>
      <c r="AH157" s="7" t="str">
        <f>IFERROR(__xludf.DUMMYFUNCTION("GoogleTranslate(C157, ""en"", ""ja"")"),"ギブスのワックスがけ")</f>
        <v>ギブスのワックスがけ</v>
      </c>
      <c r="AI157" s="7" t="str">
        <f>IFERROR(__xludf.DUMMYFUNCTION("GoogleTranslate(C157, ""en"", ""kn"")"),"ವ್ಯಾಕ್ಸಿಂಗ್ ಗಿಬ್ಬಸ್")</f>
        <v>ವ್ಯಾಕ್ಸಿಂಗ್ ಗಿಬ್ಬಸ್</v>
      </c>
      <c r="AJ157" s="7" t="str">
        <f>IFERROR(__xludf.DUMMYFUNCTION("GoogleTranslate(C157, ""en"", ""km"")"),"Waxing Gibbous")</f>
        <v>Waxing Gibbous</v>
      </c>
      <c r="AK157" s="7" t="str">
        <f>IFERROR(__xludf.DUMMYFUNCTION("GoogleTranslate(C157, ""en"", ""ko"")"),"왁싱")</f>
        <v>왁싱</v>
      </c>
      <c r="AL157" s="7" t="str">
        <f>IFERROR(__xludf.DUMMYFUNCTION("GoogleTranslate(C157, ""en"", ""lo"")"),"Waxing Gibbous")</f>
        <v>Waxing Gibbous</v>
      </c>
      <c r="AM157" s="7" t="str">
        <f>IFERROR(__xludf.DUMMYFUNCTION("GoogleTranslate(C157, ""en"", ""lv"")"),"Vaksācija Gibbous")</f>
        <v>Vaksācija Gibbous</v>
      </c>
      <c r="AN157" s="7" t="str">
        <f>IFERROR(__xludf.DUMMYFUNCTION("GoogleTranslate(C157, ""en"", ""lt"")"),"Gibbous vaškavimas")</f>
        <v>Gibbous vaškavimas</v>
      </c>
      <c r="AO157" s="7" t="str">
        <f>IFERROR(__xludf.DUMMYFUNCTION("GoogleTranslate(C157, ""en"", ""mk"")"),"Депилација на Gibbous")</f>
        <v>Депилација на Gibbous</v>
      </c>
      <c r="AP157" s="7" t="str">
        <f>IFERROR(__xludf.DUMMYFUNCTION("GoogleTranslate(C157, ""en"", ""ms"")"),"Waxing Gibbous")</f>
        <v>Waxing Gibbous</v>
      </c>
      <c r="AQ157" s="7" t="str">
        <f>IFERROR(__xludf.DUMMYFUNCTION("GoogleTranslate(C157, ""en"", ""ml"")"),"വാക്സിംഗ് ഗിബ്ബസ്")</f>
        <v>വാക്സിംഗ് ഗിബ്ബസ്</v>
      </c>
      <c r="AR157" s="7" t="str">
        <f>IFERROR(__xludf.DUMMYFUNCTION("GoogleTranslate(C157, ""en"", ""mr"")"),"वॅक्सिंग गिबस")</f>
        <v>वॅक्सिंग गिबस</v>
      </c>
      <c r="AS157" s="7" t="str">
        <f>IFERROR(__xludf.DUMMYFUNCTION("GoogleTranslate(C157, ""en"", ""mn"")"),"Waxing Gibbous")</f>
        <v>Waxing Gibbous</v>
      </c>
      <c r="AT157" s="7" t="str">
        <f>IFERROR(__xludf.DUMMYFUNCTION("GoogleTranslate(C157, ""en"", ""ne"")"),"Waxing Gibbous")</f>
        <v>Waxing Gibbous</v>
      </c>
      <c r="AU157" s="7" t="str">
        <f>IFERROR(__xludf.DUMMYFUNCTION("GoogleTranslate(C157, ""en"", ""nb"")"),"Voksende Gibbous")</f>
        <v>Voksende Gibbous</v>
      </c>
      <c r="AV157" s="7" t="str">
        <f>IFERROR(__xludf.DUMMYFUNCTION("GoogleTranslate(C157, ""en"", ""fa"")"),"اپیلاسیون گیبوس")</f>
        <v>اپیلاسیون گیبوس</v>
      </c>
      <c r="AW157" s="7" t="str">
        <f>IFERROR(__xludf.DUMMYFUNCTION("GoogleTranslate(C157, ""en"", ""pl"")"),"Woskowanie Gibbousa")</f>
        <v>Woskowanie Gibbousa</v>
      </c>
      <c r="AX157" s="7" t="str">
        <f>IFERROR(__xludf.DUMMYFUNCTION("GoogleTranslate(C157, ""en"", ""pt"")"),"Depilação Gibosa")</f>
        <v>Depilação Gibosa</v>
      </c>
      <c r="AY157" s="7" t="str">
        <f>IFERROR(__xludf.DUMMYFUNCTION("GoogleTranslate(C157, ""en"", ""ro"")"),"Gibbous în ceară")</f>
        <v>Gibbous în ceară</v>
      </c>
      <c r="AZ157" s="7" t="str">
        <f>IFERROR(__xludf.DUMMYFUNCTION("GoogleTranslate(C157, ""en"", ""ru"")"),"Растущая луна")</f>
        <v>Растущая луна</v>
      </c>
      <c r="BA157" s="7" t="str">
        <f>IFERROR(__xludf.DUMMYFUNCTION("GoogleTranslate(C157, ""en"", ""sr"")"),"Вакинг Гиббоус")</f>
        <v>Вакинг Гиббоус</v>
      </c>
      <c r="BB157" s="7" t="str">
        <f>IFERROR(__xludf.DUMMYFUNCTION("GoogleTranslate(C157, ""en"", ""si"")"),"Waxing Gibbous")</f>
        <v>Waxing Gibbous</v>
      </c>
      <c r="BC157" s="7" t="str">
        <f>IFERROR(__xludf.DUMMYFUNCTION("GoogleTranslate(C157, ""en"", ""sk"")"),"Voskovanie Gibbous")</f>
        <v>Voskovanie Gibbous</v>
      </c>
      <c r="BD157" s="7" t="str">
        <f>IFERROR(__xludf.DUMMYFUNCTION("GoogleTranslate(C157, ""en"", ""sl"")"),"Voskanje Gibbous")</f>
        <v>Voskanje Gibbous</v>
      </c>
      <c r="BE157" s="7" t="str">
        <f>IFERROR(__xludf.DUMMYFUNCTION("GoogleTranslate(C157, ""en"", ""es"")"),"Gibosa creciente")</f>
        <v>Gibosa creciente</v>
      </c>
      <c r="BF157" s="7" t="str">
        <f>IFERROR(__xludf.DUMMYFUNCTION("GoogleTranslate(C157, ""en"", ""sw"")"),"Mng'aro Gibbous")</f>
        <v>Mng'aro Gibbous</v>
      </c>
      <c r="BG157" s="7" t="str">
        <f>IFERROR(__xludf.DUMMYFUNCTION("GoogleTranslate(C157, ""en"", ""sv"")"),"Vaxande Gibbous")</f>
        <v>Vaxande Gibbous</v>
      </c>
      <c r="BH157" s="7" t="str">
        <f>IFERROR(__xludf.DUMMYFUNCTION("GoogleTranslate(C157, ""en"", ""te"")"),"వాక్సింగ్ గిబ్బస్")</f>
        <v>వాక్సింగ్ గిబ్బస్</v>
      </c>
      <c r="BI157" s="7" t="str">
        <f>IFERROR(__xludf.DUMMYFUNCTION("GoogleTranslate(C157, ""en"", ""th"")"),"แว็กซ์ Gibbous")</f>
        <v>แว็กซ์ Gibbous</v>
      </c>
      <c r="BJ157" s="7" t="str">
        <f>IFERROR(__xludf.DUMMYFUNCTION("GoogleTranslate(C157, ""en"", ""tr"")"),"Ağdalı Kambur")</f>
        <v>Ağdalı Kambur</v>
      </c>
      <c r="BK157" s="7" t="str">
        <f>IFERROR(__xludf.DUMMYFUNCTION("GoogleTranslate(C157, ""en"", ""uk"")"),"Восковий Гіббус")</f>
        <v>Восковий Гіббус</v>
      </c>
      <c r="BL157" s="7" t="str">
        <f>IFERROR(__xludf.DUMMYFUNCTION("GoogleTranslate(C157, ""en"", ""zu"")"),"I-Waxing Gibbous")</f>
        <v>I-Waxing Gibbous</v>
      </c>
    </row>
    <row r="158">
      <c r="A158" s="5" t="str">
        <f t="shared" si="1"/>
        <v>Full_Moon</v>
      </c>
      <c r="B158" s="6" t="s">
        <v>214</v>
      </c>
      <c r="C158" s="5" t="str">
        <f t="shared" si="2"/>
        <v>Full Moon</v>
      </c>
      <c r="D158" s="7" t="str">
        <f>IFERROR(__xludf.DUMMYFUNCTION("GoogleTranslate(C158, ""en"", ""es"")"),"Luna llena")</f>
        <v>Luna llena</v>
      </c>
      <c r="E158" s="7" t="str">
        <f>IFERROR(__xludf.DUMMYFUNCTION("GoogleTranslate(C158, ""en"", ""ar"")"),"اكتمال القمر")</f>
        <v>اكتمال القمر</v>
      </c>
      <c r="F158" s="7" t="str">
        <f>IFERROR(__xludf.DUMMYFUNCTION("GoogleTranslate(C158, ""en"", ""hy"")"),"Լիալուսին")</f>
        <v>Լիալուսին</v>
      </c>
      <c r="G158" s="7" t="str">
        <f>IFERROR(__xludf.DUMMYFUNCTION("GoogleTranslate(C158, ""en"", ""vi"")"),"Trăng tròn")</f>
        <v>Trăng tròn</v>
      </c>
      <c r="H158" s="7" t="str">
        <f>IFERROR(__xludf.DUMMYFUNCTION("GoogleTranslate(C158, ""en"", ""az"")"),"Tam ay")</f>
        <v>Tam ay</v>
      </c>
      <c r="I158" s="7" t="str">
        <f>IFERROR(__xludf.DUMMYFUNCTION("GoogleTranslate(C158, ""en"", ""eu"")"),"Ilargi betea")</f>
        <v>Ilargi betea</v>
      </c>
      <c r="J158" s="7" t="str">
        <f>IFERROR(__xludf.DUMMYFUNCTION("GoogleTranslate(C158, ""en"", ""be"")"),"Поўня")</f>
        <v>Поўня</v>
      </c>
      <c r="K158" s="7" t="str">
        <f>IFERROR(__xludf.DUMMYFUNCTION("GoogleTranslate(C158, ""en"", ""bn"")"),"পূর্ণিমা")</f>
        <v>পূর্ণিমা</v>
      </c>
      <c r="L158" s="7" t="str">
        <f>IFERROR(__xludf.DUMMYFUNCTION("GoogleTranslate(C158, ""en"", ""bg"")"),"Пълнолуние")</f>
        <v>Пълнолуние</v>
      </c>
      <c r="M158" s="7" t="str">
        <f>IFERROR(__xludf.DUMMYFUNCTION("GoogleTranslate(C158, ""en"", ""my"")"),"ဝါဆိုလပြည့်")</f>
        <v>ဝါဆိုလပြည့်</v>
      </c>
      <c r="N158" s="7" t="str">
        <f>IFERROR(__xludf.DUMMYFUNCTION("GoogleTranslate(C158, ""en"", ""ca"")"),"Lluna plena")</f>
        <v>Lluna plena</v>
      </c>
      <c r="O158" s="7" t="str">
        <f>IFERROR(__xludf.DUMMYFUNCTION("GoogleTranslate(C158, ""en"", ""zh-cn"")"),"满月")</f>
        <v>满月</v>
      </c>
      <c r="P158" s="7" t="str">
        <f>IFERROR(__xludf.DUMMYFUNCTION("GoogleTranslate(C158, ""en"", ""zh-TW"")"),"滿月")</f>
        <v>滿月</v>
      </c>
      <c r="Q158" s="7" t="str">
        <f>IFERROR(__xludf.DUMMYFUNCTION("GoogleTranslate(C158, ""en"", ""hr"")"),"Pun mjesec")</f>
        <v>Pun mjesec</v>
      </c>
      <c r="R158" s="7" t="str">
        <f>IFERROR(__xludf.DUMMYFUNCTION("GoogleTranslate(C158, ""en"", ""cs"")"),"Úplněk")</f>
        <v>Úplněk</v>
      </c>
      <c r="S158" s="7" t="str">
        <f>IFERROR(__xludf.DUMMYFUNCTION("GoogleTranslate(C158, ""en"", ""da"")"),"Fuldmåne")</f>
        <v>Fuldmåne</v>
      </c>
      <c r="T158" s="7" t="str">
        <f>IFERROR(__xludf.DUMMYFUNCTION("GoogleTranslate(C158, ""en"", ""nl"")"),"Volle maan")</f>
        <v>Volle maan</v>
      </c>
      <c r="U158" s="7" t="str">
        <f>IFERROR(__xludf.DUMMYFUNCTION("GoogleTranslate(C158, ""en"", ""et"")"),"Täiskuu")</f>
        <v>Täiskuu</v>
      </c>
      <c r="V158" s="5" t="str">
        <f t="shared" si="3"/>
        <v>Full Moon</v>
      </c>
      <c r="W158" s="7" t="str">
        <f>IFERROR(__xludf.DUMMYFUNCTION("GoogleTranslate(C158, ""en"", ""fi"")"),"Täysikuu")</f>
        <v>Täysikuu</v>
      </c>
      <c r="X158" s="7" t="str">
        <f>IFERROR(__xludf.DUMMYFUNCTION("GoogleTranslate(C158, ""en"", ""fr"")"),"Pleine lune")</f>
        <v>Pleine lune</v>
      </c>
      <c r="Y158" s="7" t="str">
        <f>IFERROR(__xludf.DUMMYFUNCTION("GoogleTranslate(C158, ""en"", ""de"")"),"Vollmond")</f>
        <v>Vollmond</v>
      </c>
      <c r="Z158" s="7" t="str">
        <f>IFERROR(__xludf.DUMMYFUNCTION("GoogleTranslate(C158, ""en"", ""el"")"),"Πανσέληνος")</f>
        <v>Πανσέληνος</v>
      </c>
      <c r="AA158" s="7" t="str">
        <f>IFERROR(__xludf.DUMMYFUNCTION("GoogleTranslate(C158, ""en"", ""iw"")"),"אַגַן הַסַהַר")</f>
        <v>אַגַן הַסַהַר</v>
      </c>
      <c r="AB158" s="7" t="str">
        <f>IFERROR(__xludf.DUMMYFUNCTION("GoogleTranslate(C158, ""en"", ""hi"")"),"पूर्णचंद्र")</f>
        <v>पूर्णचंद्र</v>
      </c>
      <c r="AC158" s="7" t="str">
        <f>IFERROR(__xludf.DUMMYFUNCTION("GoogleTranslate(C158, ""en"", ""hu"")"),"Telihold")</f>
        <v>Telihold</v>
      </c>
      <c r="AD158" s="7" t="str">
        <f>IFERROR(__xludf.DUMMYFUNCTION("GoogleTranslate(C158, ""en"", ""is"")"),"Fullt tungl")</f>
        <v>Fullt tungl</v>
      </c>
      <c r="AE158" s="7" t="str">
        <f>IFERROR(__xludf.DUMMYFUNCTION("GoogleTranslate(C158, ""en"", ""id"")"),"Bulan purnama")</f>
        <v>Bulan purnama</v>
      </c>
      <c r="AF158" s="7" t="str">
        <f>IFERROR(__xludf.DUMMYFUNCTION("GoogleTranslate(C158, ""en"", ""in"")"),"Bulan purnama")</f>
        <v>Bulan purnama</v>
      </c>
      <c r="AG158" s="7" t="str">
        <f>IFERROR(__xludf.DUMMYFUNCTION("GoogleTranslate(C158, ""en"", ""it"")"),"Luna piena")</f>
        <v>Luna piena</v>
      </c>
      <c r="AH158" s="7" t="str">
        <f>IFERROR(__xludf.DUMMYFUNCTION("GoogleTranslate(C158, ""en"", ""ja"")"),"満月")</f>
        <v>満月</v>
      </c>
      <c r="AI158" s="7" t="str">
        <f>IFERROR(__xludf.DUMMYFUNCTION("GoogleTranslate(C158, ""en"", ""kn"")"),"ಹುಣ್ಣಿಮೆ")</f>
        <v>ಹುಣ್ಣಿಮೆ</v>
      </c>
      <c r="AJ158" s="7" t="str">
        <f>IFERROR(__xludf.DUMMYFUNCTION("GoogleTranslate(C158, ""en"", ""km"")"),"ព្រះច័ន្ទពេញ")</f>
        <v>ព្រះច័ន្ទពេញ</v>
      </c>
      <c r="AK158" s="7" t="str">
        <f>IFERROR(__xludf.DUMMYFUNCTION("GoogleTranslate(C158, ""en"", ""ko"")"),"만월")</f>
        <v>만월</v>
      </c>
      <c r="AL158" s="7" t="str">
        <f>IFERROR(__xludf.DUMMYFUNCTION("GoogleTranslate(C158, ""en"", ""lo"")"),"ເດືອນເຕັມ")</f>
        <v>ເດືອນເຕັມ</v>
      </c>
      <c r="AM158" s="7" t="str">
        <f>IFERROR(__xludf.DUMMYFUNCTION("GoogleTranslate(C158, ""en"", ""lv"")"),"Pilnmēness")</f>
        <v>Pilnmēness</v>
      </c>
      <c r="AN158" s="7" t="str">
        <f>IFERROR(__xludf.DUMMYFUNCTION("GoogleTranslate(C158, ""en"", ""lt"")"),"Pilnatis")</f>
        <v>Pilnatis</v>
      </c>
      <c r="AO158" s="7" t="str">
        <f>IFERROR(__xludf.DUMMYFUNCTION("GoogleTranslate(C158, ""en"", ""mk"")"),"Полна месечина")</f>
        <v>Полна месечина</v>
      </c>
      <c r="AP158" s="7" t="str">
        <f>IFERROR(__xludf.DUMMYFUNCTION("GoogleTranslate(C158, ""en"", ""ms"")"),"Bulan Penuh")</f>
        <v>Bulan Penuh</v>
      </c>
      <c r="AQ158" s="7" t="str">
        <f>IFERROR(__xludf.DUMMYFUNCTION("GoogleTranslate(C158, ""en"", ""ml"")"),"പൂർണ്ണ ചന്ദ്രൻ")</f>
        <v>പൂർണ്ണ ചന്ദ്രൻ</v>
      </c>
      <c r="AR158" s="7" t="str">
        <f>IFERROR(__xludf.DUMMYFUNCTION("GoogleTranslate(C158, ""en"", ""mr"")"),"पौर्णिमा")</f>
        <v>पौर्णिमा</v>
      </c>
      <c r="AS158" s="7" t="str">
        <f>IFERROR(__xludf.DUMMYFUNCTION("GoogleTranslate(C158, ""en"", ""mn"")"),"Бүтэн сар")</f>
        <v>Бүтэн сар</v>
      </c>
      <c r="AT158" s="7" t="str">
        <f>IFERROR(__xludf.DUMMYFUNCTION("GoogleTranslate(C158, ""en"", ""ne"")"),"पूर्णिमा")</f>
        <v>पूर्णिमा</v>
      </c>
      <c r="AU158" s="7" t="str">
        <f>IFERROR(__xludf.DUMMYFUNCTION("GoogleTranslate(C158, ""en"", ""nb"")"),"Fullmåne")</f>
        <v>Fullmåne</v>
      </c>
      <c r="AV158" s="7" t="str">
        <f>IFERROR(__xludf.DUMMYFUNCTION("GoogleTranslate(C158, ""en"", ""fa"")"),"ماه کامل")</f>
        <v>ماه کامل</v>
      </c>
      <c r="AW158" s="7" t="str">
        <f>IFERROR(__xludf.DUMMYFUNCTION("GoogleTranslate(C158, ""en"", ""pl"")"),"Pełnia księżyca")</f>
        <v>Pełnia księżyca</v>
      </c>
      <c r="AX158" s="7" t="str">
        <f>IFERROR(__xludf.DUMMYFUNCTION("GoogleTranslate(C158, ""en"", ""pt"")"),"Lua Cheia")</f>
        <v>Lua Cheia</v>
      </c>
      <c r="AY158" s="7" t="str">
        <f>IFERROR(__xludf.DUMMYFUNCTION("GoogleTranslate(C158, ""en"", ""ro"")"),"Lună plină")</f>
        <v>Lună plină</v>
      </c>
      <c r="AZ158" s="7" t="str">
        <f>IFERROR(__xludf.DUMMYFUNCTION("GoogleTranslate(C158, ""en"", ""ru"")"),"Полнолуние")</f>
        <v>Полнолуние</v>
      </c>
      <c r="BA158" s="7" t="str">
        <f>IFERROR(__xludf.DUMMYFUNCTION("GoogleTranslate(C158, ""en"", ""sr"")"),"Фулл Моон")</f>
        <v>Фулл Моон</v>
      </c>
      <c r="BB158" s="7" t="str">
        <f>IFERROR(__xludf.DUMMYFUNCTION("GoogleTranslate(C158, ""en"", ""si"")"),"පූර්ණ චන්ද්රයා")</f>
        <v>පූර්ණ චන්ද්රයා</v>
      </c>
      <c r="BC158" s="7" t="str">
        <f>IFERROR(__xludf.DUMMYFUNCTION("GoogleTranslate(C158, ""en"", ""sk"")"),"Spln mesiaca")</f>
        <v>Spln mesiaca</v>
      </c>
      <c r="BD158" s="7" t="str">
        <f>IFERROR(__xludf.DUMMYFUNCTION("GoogleTranslate(C158, ""en"", ""sl"")"),"polna luna")</f>
        <v>polna luna</v>
      </c>
      <c r="BE158" s="7" t="str">
        <f>IFERROR(__xludf.DUMMYFUNCTION("GoogleTranslate(C158, ""en"", ""es"")"),"Luna llena")</f>
        <v>Luna llena</v>
      </c>
      <c r="BF158" s="7" t="str">
        <f>IFERROR(__xludf.DUMMYFUNCTION("GoogleTranslate(C158, ""en"", ""sw"")"),"Mwezi Kamili")</f>
        <v>Mwezi Kamili</v>
      </c>
      <c r="BG158" s="7" t="str">
        <f>IFERROR(__xludf.DUMMYFUNCTION("GoogleTranslate(C158, ""en"", ""sv"")"),"Fullmåne")</f>
        <v>Fullmåne</v>
      </c>
      <c r="BH158" s="7" t="str">
        <f>IFERROR(__xludf.DUMMYFUNCTION("GoogleTranslate(C158, ""en"", ""te"")"),"పౌర్ణమి")</f>
        <v>పౌర్ణమి</v>
      </c>
      <c r="BI158" s="7" t="str">
        <f>IFERROR(__xludf.DUMMYFUNCTION("GoogleTranslate(C158, ""en"", ""th"")"),"พระจันทร์เต็มดวง")</f>
        <v>พระจันทร์เต็มดวง</v>
      </c>
      <c r="BJ158" s="7" t="str">
        <f>IFERROR(__xludf.DUMMYFUNCTION("GoogleTranslate(C158, ""en"", ""tr"")"),"Dolunay")</f>
        <v>Dolunay</v>
      </c>
      <c r="BK158" s="7" t="str">
        <f>IFERROR(__xludf.DUMMYFUNCTION("GoogleTranslate(C158, ""en"", ""uk"")"),"повний місяць")</f>
        <v>повний місяць</v>
      </c>
      <c r="BL158" s="7" t="str">
        <f>IFERROR(__xludf.DUMMYFUNCTION("GoogleTranslate(C158, ""en"", ""zu"")"),"Inyanga egcwele")</f>
        <v>Inyanga egcwele</v>
      </c>
    </row>
    <row r="159">
      <c r="A159" s="5" t="str">
        <f t="shared" si="1"/>
        <v>Waning_Gibbous</v>
      </c>
      <c r="B159" s="6" t="s">
        <v>215</v>
      </c>
      <c r="C159" s="5" t="str">
        <f t="shared" si="2"/>
        <v>Waning Gibbous</v>
      </c>
      <c r="D159" s="7" t="str">
        <f>IFERROR(__xludf.DUMMYFUNCTION("GoogleTranslate(C159, ""en"", ""es"")"),"Gibosa menguante")</f>
        <v>Gibosa menguante</v>
      </c>
      <c r="E159" s="7" t="str">
        <f>IFERROR(__xludf.DUMMYFUNCTION("GoogleTranslate(C159, ""en"", ""ar"")"),"يتضاءل جيبوس")</f>
        <v>يتضاءل جيبوس</v>
      </c>
      <c r="F159" s="7" t="str">
        <f>IFERROR(__xludf.DUMMYFUNCTION("GoogleTranslate(C159, ""en"", ""hy"")"),"Ունինգ Գիբուս")</f>
        <v>Ունինգ Գիբուս</v>
      </c>
      <c r="G159" s="7" t="str">
        <f>IFERROR(__xludf.DUMMYFUNCTION("GoogleTranslate(C159, ""en"", ""vi"")"),"Vượn suy yếu")</f>
        <v>Vượn suy yếu</v>
      </c>
      <c r="H159" s="7" t="str">
        <f>IFERROR(__xludf.DUMMYFUNCTION("GoogleTranslate(C159, ""en"", ""az"")"),"Gibbous zəifləyir")</f>
        <v>Gibbous zəifləyir</v>
      </c>
      <c r="I159" s="7" t="str">
        <f>IFERROR(__xludf.DUMMYFUNCTION("GoogleTranslate(C159, ""en"", ""eu"")"),"Gibosa galtzen")</f>
        <v>Gibosa galtzen</v>
      </c>
      <c r="J159" s="7" t="str">
        <f>IFERROR(__xludf.DUMMYFUNCTION("GoogleTranslate(C159, ""en"", ""be"")"),"Змяншэнне Gibbous")</f>
        <v>Змяншэнне Gibbous</v>
      </c>
      <c r="K159" s="7" t="str">
        <f>IFERROR(__xludf.DUMMYFUNCTION("GoogleTranslate(C159, ""en"", ""bn"")"),"ওয়েনিং গিবস")</f>
        <v>ওয়েনিং গিবস</v>
      </c>
      <c r="L159" s="7" t="str">
        <f>IFERROR(__xludf.DUMMYFUNCTION("GoogleTranslate(C159, ""en"", ""bg"")"),"Намаляващ Гибъс")</f>
        <v>Намаляващ Гибъс</v>
      </c>
      <c r="M159" s="7" t="str">
        <f>IFERROR(__xludf.DUMMYFUNCTION("GoogleTranslate(C159, ""en"", ""my"")"),"လဆုတ်လဆုတ်")</f>
        <v>လဆုတ်လဆုတ်</v>
      </c>
      <c r="N159" s="7" t="str">
        <f>IFERROR(__xludf.DUMMYFUNCTION("GoogleTranslate(C159, ""en"", ""ca"")"),"Gibós minvant")</f>
        <v>Gibós minvant</v>
      </c>
      <c r="O159" s="7" t="str">
        <f>IFERROR(__xludf.DUMMYFUNCTION("GoogleTranslate(C159, ""en"", ""zh-cn"")"),"渐亏凸月")</f>
        <v>渐亏凸月</v>
      </c>
      <c r="P159" s="7" t="str">
        <f>IFERROR(__xludf.DUMMYFUNCTION("GoogleTranslate(C159, ""en"", ""zh-TW"")"),"漸虧凸月")</f>
        <v>漸虧凸月</v>
      </c>
      <c r="Q159" s="7" t="str">
        <f>IFERROR(__xludf.DUMMYFUNCTION("GoogleTranslate(C159, ""en"", ""hr"")"),"Opadajući Gibbous")</f>
        <v>Opadajući Gibbous</v>
      </c>
      <c r="R159" s="7" t="str">
        <f>IFERROR(__xludf.DUMMYFUNCTION("GoogleTranslate(C159, ""en"", ""cs"")"),"Ubývající Gibbous")</f>
        <v>Ubývající Gibbous</v>
      </c>
      <c r="S159" s="7" t="str">
        <f>IFERROR(__xludf.DUMMYFUNCTION("GoogleTranslate(C159, ""en"", ""da"")"),"Aftagende Gibbous")</f>
        <v>Aftagende Gibbous</v>
      </c>
      <c r="T159" s="7" t="str">
        <f>IFERROR(__xludf.DUMMYFUNCTION("GoogleTranslate(C159, ""en"", ""nl"")"),"Afnemende Gibbous")</f>
        <v>Afnemende Gibbous</v>
      </c>
      <c r="U159" s="7" t="str">
        <f>IFERROR(__xludf.DUMMYFUNCTION("GoogleTranslate(C159, ""en"", ""et"")"),"Kahanev Gibbous")</f>
        <v>Kahanev Gibbous</v>
      </c>
      <c r="V159" s="5" t="str">
        <f t="shared" si="3"/>
        <v>Waning Gibbous</v>
      </c>
      <c r="W159" s="7" t="str">
        <f>IFERROR(__xludf.DUMMYFUNCTION("GoogleTranslate(C159, ""en"", ""fi"")"),"Hiipuva Gibbous")</f>
        <v>Hiipuva Gibbous</v>
      </c>
      <c r="X159" s="7" t="str">
        <f>IFERROR(__xludf.DUMMYFUNCTION("GoogleTranslate(C159, ""en"", ""fr"")"),"Gibbeux décroissant")</f>
        <v>Gibbeux décroissant</v>
      </c>
      <c r="Y159" s="7" t="str">
        <f>IFERROR(__xludf.DUMMYFUNCTION("GoogleTranslate(C159, ""en"", ""de"")"),"Abnehmender Gibbous")</f>
        <v>Abnehmender Gibbous</v>
      </c>
      <c r="Z159" s="7" t="str">
        <f>IFERROR(__xludf.DUMMYFUNCTION("GoogleTranslate(C159, ""en"", ""el"")"),"Waning Gibbous")</f>
        <v>Waning Gibbous</v>
      </c>
      <c r="AA159" s="7" t="str">
        <f>IFERROR(__xludf.DUMMYFUNCTION("GoogleTranslate(C159, ""en"", ""iw"")"),"גיבוס דועך")</f>
        <v>גיבוס דועך</v>
      </c>
      <c r="AB159" s="7" t="str">
        <f>IFERROR(__xludf.DUMMYFUNCTION("GoogleTranslate(C159, ""en"", ""hi"")"),"वैनिंग गिबस")</f>
        <v>वैनिंग गिबस</v>
      </c>
      <c r="AC159" s="7" t="str">
        <f>IFERROR(__xludf.DUMMYFUNCTION("GoogleTranslate(C159, ""en"", ""hu"")"),"Hanyatló Gibbous")</f>
        <v>Hanyatló Gibbous</v>
      </c>
      <c r="AD159" s="7" t="str">
        <f>IFERROR(__xludf.DUMMYFUNCTION("GoogleTranslate(C159, ""en"", ""is"")"),"Dvínandi Gibbous")</f>
        <v>Dvínandi Gibbous</v>
      </c>
      <c r="AE159" s="7" t="str">
        <f>IFERROR(__xludf.DUMMYFUNCTION("GoogleTranslate(C159, ""en"", ""id"")"),"Memudarnya Gibbous")</f>
        <v>Memudarnya Gibbous</v>
      </c>
      <c r="AF159" s="7" t="str">
        <f>IFERROR(__xludf.DUMMYFUNCTION("GoogleTranslate(C159, ""en"", ""in"")"),"Memudarnya Gibbous")</f>
        <v>Memudarnya Gibbous</v>
      </c>
      <c r="AG159" s="7" t="str">
        <f>IFERROR(__xludf.DUMMYFUNCTION("GoogleTranslate(C159, ""en"", ""it"")"),"Gibbous calante")</f>
        <v>Gibbous calante</v>
      </c>
      <c r="AH159" s="7" t="str">
        <f>IFERROR(__xludf.DUMMYFUNCTION("GoogleTranslate(C159, ""en"", ""ja"")"),"衰退するギブス")</f>
        <v>衰退するギブス</v>
      </c>
      <c r="AI159" s="7" t="str">
        <f>IFERROR(__xludf.DUMMYFUNCTION("GoogleTranslate(C159, ""en"", ""kn"")"),"ಕ್ಷೀಣಿಸುತ್ತಿರುವ ಗಿಬ್ಬಸ್")</f>
        <v>ಕ್ಷೀಣಿಸುತ್ತಿರುವ ಗಿಬ್ಬಸ್</v>
      </c>
      <c r="AJ159" s="7" t="str">
        <f>IFERROR(__xludf.DUMMYFUNCTION("GoogleTranslate(C159, ""en"", ""km"")"),"Waning Gibbous")</f>
        <v>Waning Gibbous</v>
      </c>
      <c r="AK159" s="7" t="str">
        <f>IFERROR(__xludf.DUMMYFUNCTION("GoogleTranslate(C159, ""en"", ""ko"")"),"쇠퇴하는 기버스")</f>
        <v>쇠퇴하는 기버스</v>
      </c>
      <c r="AL159" s="7" t="str">
        <f>IFERROR(__xludf.DUMMYFUNCTION("GoogleTranslate(C159, ""en"", ""lo"")"),"Waning Gibbous")</f>
        <v>Waning Gibbous</v>
      </c>
      <c r="AM159" s="7" t="str">
        <f>IFERROR(__xludf.DUMMYFUNCTION("GoogleTranslate(C159, ""en"", ""lv"")"),"Dilstošs Gibbous")</f>
        <v>Dilstošs Gibbous</v>
      </c>
      <c r="AN159" s="7" t="str">
        <f>IFERROR(__xludf.DUMMYFUNCTION("GoogleTranslate(C159, ""en"", ""lt"")"),"Mažėjantis Gibbousas")</f>
        <v>Mažėjantis Gibbousas</v>
      </c>
      <c r="AO159" s="7" t="str">
        <f>IFERROR(__xludf.DUMMYFUNCTION("GoogleTranslate(C159, ""en"", ""mk"")"),"Вангинг Гибус")</f>
        <v>Вангинг Гибус</v>
      </c>
      <c r="AP159" s="7" t="str">
        <f>IFERROR(__xludf.DUMMYFUNCTION("GoogleTranslate(C159, ""en"", ""ms"")"),"Waning Gibbous")</f>
        <v>Waning Gibbous</v>
      </c>
      <c r="AQ159" s="7" t="str">
        <f>IFERROR(__xludf.DUMMYFUNCTION("GoogleTranslate(C159, ""en"", ""ml"")"),"ക്ഷയിച്ചുപോകുന്ന ഗിബ്ബസ്")</f>
        <v>ക്ഷയിച്ചുപോകുന്ന ഗിബ്ബസ്</v>
      </c>
      <c r="AR159" s="7" t="str">
        <f>IFERROR(__xludf.DUMMYFUNCTION("GoogleTranslate(C159, ""en"", ""mr"")"),"वानिंग गिबस")</f>
        <v>वानिंग गिबस</v>
      </c>
      <c r="AS159" s="7" t="str">
        <f>IFERROR(__xludf.DUMMYFUNCTION("GoogleTranslate(C159, ""en"", ""mn"")"),"Усан Гиббоус")</f>
        <v>Усан Гиббоус</v>
      </c>
      <c r="AT159" s="7" t="str">
        <f>IFERROR(__xludf.DUMMYFUNCTION("GoogleTranslate(C159, ""en"", ""ne"")"),"Waning Gibbous")</f>
        <v>Waning Gibbous</v>
      </c>
      <c r="AU159" s="7" t="str">
        <f>IFERROR(__xludf.DUMMYFUNCTION("GoogleTranslate(C159, ""en"", ""nb"")"),"Avtagende Gibbous")</f>
        <v>Avtagende Gibbous</v>
      </c>
      <c r="AV159" s="7" t="str">
        <f>IFERROR(__xludf.DUMMYFUNCTION("GoogleTranslate(C159, ""en"", ""fa"")"),"گیبوس ونینگ")</f>
        <v>گیبوس ونینگ</v>
      </c>
      <c r="AW159" s="7" t="str">
        <f>IFERROR(__xludf.DUMMYFUNCTION("GoogleTranslate(C159, ""en"", ""pl"")"),"Ubywający Gibbous")</f>
        <v>Ubywający Gibbous</v>
      </c>
      <c r="AX159" s="7" t="str">
        <f>IFERROR(__xludf.DUMMYFUNCTION("GoogleTranslate(C159, ""en"", ""pt"")"),"Minguante Giboso")</f>
        <v>Minguante Giboso</v>
      </c>
      <c r="AY159" s="7" t="str">
        <f>IFERROR(__xludf.DUMMYFUNCTION("GoogleTranslate(C159, ""en"", ""ro"")"),"Waning Gibbous")</f>
        <v>Waning Gibbous</v>
      </c>
      <c r="AZ159" s="7" t="str">
        <f>IFERROR(__xludf.DUMMYFUNCTION("GoogleTranslate(C159, ""en"", ""ru"")"),"Убывающая Луна")</f>
        <v>Убывающая Луна</v>
      </c>
      <c r="BA159" s="7" t="str">
        <f>IFERROR(__xludf.DUMMYFUNCTION("GoogleTranslate(C159, ""en"", ""sr"")"),"Ванинг Гиббоус")</f>
        <v>Ванинг Гиббоус</v>
      </c>
      <c r="BB159" s="7" t="str">
        <f>IFERROR(__xludf.DUMMYFUNCTION("GoogleTranslate(C159, ""en"", ""si"")"),"ගිලිහෙන ගිබස්")</f>
        <v>ගිලිහෙන ගිබස්</v>
      </c>
      <c r="BC159" s="7" t="str">
        <f>IFERROR(__xludf.DUMMYFUNCTION("GoogleTranslate(C159, ""en"", ""sk"")"),"Ubúdajúci Gibbous")</f>
        <v>Ubúdajúci Gibbous</v>
      </c>
      <c r="BD159" s="7" t="str">
        <f>IFERROR(__xludf.DUMMYFUNCTION("GoogleTranslate(C159, ""en"", ""sl"")"),"Pojemajoči Gibbous")</f>
        <v>Pojemajoči Gibbous</v>
      </c>
      <c r="BE159" s="7" t="str">
        <f>IFERROR(__xludf.DUMMYFUNCTION("GoogleTranslate(C159, ""en"", ""es"")"),"Gibosa menguante")</f>
        <v>Gibosa menguante</v>
      </c>
      <c r="BF159" s="7" t="str">
        <f>IFERROR(__xludf.DUMMYFUNCTION("GoogleTranslate(C159, ""en"", ""sw"")"),"Gibbous anayepungua")</f>
        <v>Gibbous anayepungua</v>
      </c>
      <c r="BG159" s="7" t="str">
        <f>IFERROR(__xludf.DUMMYFUNCTION("GoogleTranslate(C159, ""en"", ""sv"")"),"Avtagande Gibbous")</f>
        <v>Avtagande Gibbous</v>
      </c>
      <c r="BH159" s="7" t="str">
        <f>IFERROR(__xludf.DUMMYFUNCTION("GoogleTranslate(C159, ""en"", ""te"")"),"క్షీణిస్తున్న గిబ్బస్")</f>
        <v>క్షీణిస్తున్న గిబ్బస్</v>
      </c>
      <c r="BI159" s="7" t="str">
        <f>IFERROR(__xludf.DUMMYFUNCTION("GoogleTranslate(C159, ""en"", ""th"")"),"จางหายไป Gibbous")</f>
        <v>จางหายไป Gibbous</v>
      </c>
      <c r="BJ159" s="7" t="str">
        <f>IFERROR(__xludf.DUMMYFUNCTION("GoogleTranslate(C159, ""en"", ""tr"")"),"Zayıflayan Kambur")</f>
        <v>Zayıflayan Kambur</v>
      </c>
      <c r="BK159" s="7" t="str">
        <f>IFERROR(__xludf.DUMMYFUNCTION("GoogleTranslate(C159, ""en"", ""uk"")"),"Згасаючий Гіббус")</f>
        <v>Згасаючий Гіббус</v>
      </c>
      <c r="BL159" s="7" t="str">
        <f>IFERROR(__xludf.DUMMYFUNCTION("GoogleTranslate(C159, ""en"", ""zu"")"),"Ehleka uGibbous")</f>
        <v>Ehleka uGibbous</v>
      </c>
    </row>
    <row r="160">
      <c r="A160" s="5" t="str">
        <f t="shared" si="1"/>
        <v>Third_Quarter</v>
      </c>
      <c r="B160" s="6" t="s">
        <v>216</v>
      </c>
      <c r="C160" s="5" t="str">
        <f t="shared" si="2"/>
        <v>Third Quarter</v>
      </c>
      <c r="D160" s="7" t="str">
        <f>IFERROR(__xludf.DUMMYFUNCTION("GoogleTranslate(C160, ""en"", ""es"")"),"Tercer trimestre")</f>
        <v>Tercer trimestre</v>
      </c>
      <c r="E160" s="7" t="str">
        <f>IFERROR(__xludf.DUMMYFUNCTION("GoogleTranslate(C160, ""en"", ""ar"")"),"الربع الثالث")</f>
        <v>الربع الثالث</v>
      </c>
      <c r="F160" s="7" t="str">
        <f>IFERROR(__xludf.DUMMYFUNCTION("GoogleTranslate(C160, ""en"", ""hy"")"),"Երրորդ եռամսյակ")</f>
        <v>Երրորդ եռամսյակ</v>
      </c>
      <c r="G160" s="7" t="str">
        <f>IFERROR(__xludf.DUMMYFUNCTION("GoogleTranslate(C160, ""en"", ""vi"")"),"Quý 3")</f>
        <v>Quý 3</v>
      </c>
      <c r="H160" s="7" t="str">
        <f>IFERROR(__xludf.DUMMYFUNCTION("GoogleTranslate(C160, ""en"", ""az"")"),"Üçüncü rüb")</f>
        <v>Üçüncü rüb</v>
      </c>
      <c r="I160" s="7" t="str">
        <f>IFERROR(__xludf.DUMMYFUNCTION("GoogleTranslate(C160, ""en"", ""eu"")"),"Hirugarren Hiruhilekoa")</f>
        <v>Hirugarren Hiruhilekoa</v>
      </c>
      <c r="J160" s="7" t="str">
        <f>IFERROR(__xludf.DUMMYFUNCTION("GoogleTranslate(C160, ""en"", ""be"")"),"Трэцяя чвэрць")</f>
        <v>Трэцяя чвэрць</v>
      </c>
      <c r="K160" s="7" t="str">
        <f>IFERROR(__xludf.DUMMYFUNCTION("GoogleTranslate(C160, ""en"", ""bn"")"),"তৃতীয় ত্রৈমাসিক")</f>
        <v>তৃতীয় ত্রৈমাসিক</v>
      </c>
      <c r="L160" s="7" t="str">
        <f>IFERROR(__xludf.DUMMYFUNCTION("GoogleTranslate(C160, ""en"", ""bg"")"),"Трета четвърт")</f>
        <v>Трета четвърт</v>
      </c>
      <c r="M160" s="7" t="str">
        <f>IFERROR(__xludf.DUMMYFUNCTION("GoogleTranslate(C160, ""en"", ""my"")"),"တတိယရပ်ကွက်")</f>
        <v>တတိယရပ်ကွက်</v>
      </c>
      <c r="N160" s="7" t="str">
        <f>IFERROR(__xludf.DUMMYFUNCTION("GoogleTranslate(C160, ""en"", ""ca"")"),"Tercer trimestre")</f>
        <v>Tercer trimestre</v>
      </c>
      <c r="O160" s="7" t="str">
        <f>IFERROR(__xludf.DUMMYFUNCTION("GoogleTranslate(C160, ""en"", ""zh-cn"")"),"第三季度")</f>
        <v>第三季度</v>
      </c>
      <c r="P160" s="7" t="str">
        <f>IFERROR(__xludf.DUMMYFUNCTION("GoogleTranslate(C160, ""en"", ""zh-TW"")"),"第三季")</f>
        <v>第三季</v>
      </c>
      <c r="Q160" s="7" t="str">
        <f>IFERROR(__xludf.DUMMYFUNCTION("GoogleTranslate(C160, ""en"", ""hr"")"),"Treća četvrtina")</f>
        <v>Treća četvrtina</v>
      </c>
      <c r="R160" s="7" t="str">
        <f>IFERROR(__xludf.DUMMYFUNCTION("GoogleTranslate(C160, ""en"", ""cs"")"),"Třetí čtvrtletí")</f>
        <v>Třetí čtvrtletí</v>
      </c>
      <c r="S160" s="7" t="str">
        <f>IFERROR(__xludf.DUMMYFUNCTION("GoogleTranslate(C160, ""en"", ""da"")"),"Tredje kvartal")</f>
        <v>Tredje kvartal</v>
      </c>
      <c r="T160" s="7" t="str">
        <f>IFERROR(__xludf.DUMMYFUNCTION("GoogleTranslate(C160, ""en"", ""nl"")"),"Derde kwartaal")</f>
        <v>Derde kwartaal</v>
      </c>
      <c r="U160" s="7" t="str">
        <f>IFERROR(__xludf.DUMMYFUNCTION("GoogleTranslate(C160, ""en"", ""et"")"),"Kolmas kvartal")</f>
        <v>Kolmas kvartal</v>
      </c>
      <c r="V160" s="5" t="str">
        <f t="shared" si="3"/>
        <v>Third Quarter</v>
      </c>
      <c r="W160" s="7" t="str">
        <f>IFERROR(__xludf.DUMMYFUNCTION("GoogleTranslate(C160, ""en"", ""fi"")"),"Kolmas vuosineljännes")</f>
        <v>Kolmas vuosineljännes</v>
      </c>
      <c r="X160" s="7" t="str">
        <f>IFERROR(__xludf.DUMMYFUNCTION("GoogleTranslate(C160, ""en"", ""fr"")"),"Troisième trimestre")</f>
        <v>Troisième trimestre</v>
      </c>
      <c r="Y160" s="7" t="str">
        <f>IFERROR(__xludf.DUMMYFUNCTION("GoogleTranslate(C160, ""en"", ""de"")"),"Drittes Viertel")</f>
        <v>Drittes Viertel</v>
      </c>
      <c r="Z160" s="7" t="str">
        <f>IFERROR(__xludf.DUMMYFUNCTION("GoogleTranslate(C160, ""en"", ""el"")"),"Τρίτο Τρίμηνο")</f>
        <v>Τρίτο Τρίμηνο</v>
      </c>
      <c r="AA160" s="7" t="str">
        <f>IFERROR(__xludf.DUMMYFUNCTION("GoogleTranslate(C160, ""en"", ""iw"")"),"רבעון שלישי")</f>
        <v>רבעון שלישי</v>
      </c>
      <c r="AB160" s="7" t="str">
        <f>IFERROR(__xludf.DUMMYFUNCTION("GoogleTranslate(C160, ""en"", ""hi"")"),"तीसरी तिमाही")</f>
        <v>तीसरी तिमाही</v>
      </c>
      <c r="AC160" s="7" t="str">
        <f>IFERROR(__xludf.DUMMYFUNCTION("GoogleTranslate(C160, ""en"", ""hu"")"),"Harmadik Negyed")</f>
        <v>Harmadik Negyed</v>
      </c>
      <c r="AD160" s="7" t="str">
        <f>IFERROR(__xludf.DUMMYFUNCTION("GoogleTranslate(C160, ""en"", ""is"")"),"Þriðji ársfjórðungur")</f>
        <v>Þriðji ársfjórðungur</v>
      </c>
      <c r="AE160" s="7" t="str">
        <f>IFERROR(__xludf.DUMMYFUNCTION("GoogleTranslate(C160, ""en"", ""id"")"),"Kuartal Ketiga")</f>
        <v>Kuartal Ketiga</v>
      </c>
      <c r="AF160" s="7" t="str">
        <f>IFERROR(__xludf.DUMMYFUNCTION("GoogleTranslate(C160, ""en"", ""in"")"),"Kuartal Ketiga")</f>
        <v>Kuartal Ketiga</v>
      </c>
      <c r="AG160" s="7" t="str">
        <f>IFERROR(__xludf.DUMMYFUNCTION("GoogleTranslate(C160, ""en"", ""it"")"),"Terzo quarto")</f>
        <v>Terzo quarto</v>
      </c>
      <c r="AH160" s="7" t="str">
        <f>IFERROR(__xludf.DUMMYFUNCTION("GoogleTranslate(C160, ""en"", ""ja"")"),"第3四半期")</f>
        <v>第3四半期</v>
      </c>
      <c r="AI160" s="7" t="str">
        <f>IFERROR(__xludf.DUMMYFUNCTION("GoogleTranslate(C160, ""en"", ""kn"")"),"ಮೂರನೇ ತ್ರೈಮಾಸಿಕ")</f>
        <v>ಮೂರನೇ ತ್ರೈಮಾಸಿಕ</v>
      </c>
      <c r="AJ160" s="7" t="str">
        <f>IFERROR(__xludf.DUMMYFUNCTION("GoogleTranslate(C160, ""en"", ""km"")"),"ត្រីមាសទីបី")</f>
        <v>ត្រីមាសទីបី</v>
      </c>
      <c r="AK160" s="7" t="str">
        <f>IFERROR(__xludf.DUMMYFUNCTION("GoogleTranslate(C160, ""en"", ""ko"")"),"3분기")</f>
        <v>3분기</v>
      </c>
      <c r="AL160" s="7" t="str">
        <f>IFERROR(__xludf.DUMMYFUNCTION("GoogleTranslate(C160, ""en"", ""lo"")"),"ໄຕມາດທີສາມ")</f>
        <v>ໄຕມາດທີສາມ</v>
      </c>
      <c r="AM160" s="7" t="str">
        <f>IFERROR(__xludf.DUMMYFUNCTION("GoogleTranslate(C160, ""en"", ""lv"")"),"Trešais ceturksnis")</f>
        <v>Trešais ceturksnis</v>
      </c>
      <c r="AN160" s="7" t="str">
        <f>IFERROR(__xludf.DUMMYFUNCTION("GoogleTranslate(C160, ""en"", ""lt"")"),"Trečiasis ketvirtis")</f>
        <v>Trečiasis ketvirtis</v>
      </c>
      <c r="AO160" s="7" t="str">
        <f>IFERROR(__xludf.DUMMYFUNCTION("GoogleTranslate(C160, ""en"", ""mk"")"),"Третиот квартал")</f>
        <v>Третиот квартал</v>
      </c>
      <c r="AP160" s="7" t="str">
        <f>IFERROR(__xludf.DUMMYFUNCTION("GoogleTranslate(C160, ""en"", ""ms"")"),"Suku Ketiga")</f>
        <v>Suku Ketiga</v>
      </c>
      <c r="AQ160" s="7" t="str">
        <f>IFERROR(__xludf.DUMMYFUNCTION("GoogleTranslate(C160, ""en"", ""ml"")"),"മൂന്നാം പാദം")</f>
        <v>മൂന്നാം പാദം</v>
      </c>
      <c r="AR160" s="7" t="str">
        <f>IFERROR(__xludf.DUMMYFUNCTION("GoogleTranslate(C160, ""en"", ""mr"")"),"तिसरा तिमाही")</f>
        <v>तिसरा तिमाही</v>
      </c>
      <c r="AS160" s="7" t="str">
        <f>IFERROR(__xludf.DUMMYFUNCTION("GoogleTranslate(C160, ""en"", ""mn"")"),"Гуравдугаар улирал")</f>
        <v>Гуравдугаар улирал</v>
      </c>
      <c r="AT160" s="7" t="str">
        <f>IFERROR(__xludf.DUMMYFUNCTION("GoogleTranslate(C160, ""en"", ""ne"")"),"तेस्रो क्वार्टर")</f>
        <v>तेस्रो क्वार्टर</v>
      </c>
      <c r="AU160" s="7" t="str">
        <f>IFERROR(__xludf.DUMMYFUNCTION("GoogleTranslate(C160, ""en"", ""nb"")"),"Tredje kvartal")</f>
        <v>Tredje kvartal</v>
      </c>
      <c r="AV160" s="7" t="str">
        <f>IFERROR(__xludf.DUMMYFUNCTION("GoogleTranslate(C160, ""en"", ""fa"")"),"سه ماهه سوم")</f>
        <v>سه ماهه سوم</v>
      </c>
      <c r="AW160" s="7" t="str">
        <f>IFERROR(__xludf.DUMMYFUNCTION("GoogleTranslate(C160, ""en"", ""pl"")"),"Trzeci kwartał")</f>
        <v>Trzeci kwartał</v>
      </c>
      <c r="AX160" s="7" t="str">
        <f>IFERROR(__xludf.DUMMYFUNCTION("GoogleTranslate(C160, ""en"", ""pt"")"),"Terceiro Trimestre")</f>
        <v>Terceiro Trimestre</v>
      </c>
      <c r="AY160" s="7" t="str">
        <f>IFERROR(__xludf.DUMMYFUNCTION("GoogleTranslate(C160, ""en"", ""ro"")"),"Al treilea trimestru")</f>
        <v>Al treilea trimestru</v>
      </c>
      <c r="AZ160" s="7" t="str">
        <f>IFERROR(__xludf.DUMMYFUNCTION("GoogleTranslate(C160, ""en"", ""ru"")"),"Третья четверть")</f>
        <v>Третья четверть</v>
      </c>
      <c r="BA160" s="7" t="str">
        <f>IFERROR(__xludf.DUMMYFUNCTION("GoogleTranslate(C160, ""en"", ""sr"")"),"Трећа четвртина")</f>
        <v>Трећа четвртина</v>
      </c>
      <c r="BB160" s="7" t="str">
        <f>IFERROR(__xludf.DUMMYFUNCTION("GoogleTranslate(C160, ""en"", ""si"")"),"තුන්වන කාර්තුව")</f>
        <v>තුන්වන කාර්තුව</v>
      </c>
      <c r="BC160" s="7" t="str">
        <f>IFERROR(__xludf.DUMMYFUNCTION("GoogleTranslate(C160, ""en"", ""sk"")"),"Tretí štvrťrok")</f>
        <v>Tretí štvrťrok</v>
      </c>
      <c r="BD160" s="7" t="str">
        <f>IFERROR(__xludf.DUMMYFUNCTION("GoogleTranslate(C160, ""en"", ""sl"")"),"Tretja četrtina")</f>
        <v>Tretja četrtina</v>
      </c>
      <c r="BE160" s="7" t="str">
        <f>IFERROR(__xludf.DUMMYFUNCTION("GoogleTranslate(C160, ""en"", ""es"")"),"Tercer trimestre")</f>
        <v>Tercer trimestre</v>
      </c>
      <c r="BF160" s="7" t="str">
        <f>IFERROR(__xludf.DUMMYFUNCTION("GoogleTranslate(C160, ""en"", ""sw"")"),"Robo ya Tatu")</f>
        <v>Robo ya Tatu</v>
      </c>
      <c r="BG160" s="7" t="str">
        <f>IFERROR(__xludf.DUMMYFUNCTION("GoogleTranslate(C160, ""en"", ""sv"")"),"Tredje kvartalet")</f>
        <v>Tredje kvartalet</v>
      </c>
      <c r="BH160" s="7" t="str">
        <f>IFERROR(__xludf.DUMMYFUNCTION("GoogleTranslate(C160, ""en"", ""te"")"),"మూడవ త్రైమాసికం")</f>
        <v>మూడవ త్రైమాసికం</v>
      </c>
      <c r="BI160" s="7" t="str">
        <f>IFERROR(__xludf.DUMMYFUNCTION("GoogleTranslate(C160, ""en"", ""th"")"),"ไตรมาสที่สาม")</f>
        <v>ไตรมาสที่สาม</v>
      </c>
      <c r="BJ160" s="7" t="str">
        <f>IFERROR(__xludf.DUMMYFUNCTION("GoogleTranslate(C160, ""en"", ""tr"")"),"Üçüncü Çeyrek")</f>
        <v>Üçüncü Çeyrek</v>
      </c>
      <c r="BK160" s="7" t="str">
        <f>IFERROR(__xludf.DUMMYFUNCTION("GoogleTranslate(C160, ""en"", ""uk"")"),"Третя чверть")</f>
        <v>Третя чверть</v>
      </c>
      <c r="BL160" s="7" t="str">
        <f>IFERROR(__xludf.DUMMYFUNCTION("GoogleTranslate(C160, ""en"", ""zu"")"),"Ikota Yesithathu")</f>
        <v>Ikota Yesithathu</v>
      </c>
    </row>
    <row r="161">
      <c r="A161" s="5" t="str">
        <f t="shared" si="1"/>
        <v>Waning_Crescent</v>
      </c>
      <c r="B161" s="6" t="s">
        <v>217</v>
      </c>
      <c r="C161" s="5" t="str">
        <f t="shared" si="2"/>
        <v>Waning Crescent</v>
      </c>
      <c r="D161" s="7" t="str">
        <f>IFERROR(__xludf.DUMMYFUNCTION("GoogleTranslate(C161, ""en"", ""es"")"),"Media luna menguante")</f>
        <v>Media luna menguante</v>
      </c>
      <c r="E161" s="7" t="str">
        <f>IFERROR(__xludf.DUMMYFUNCTION("GoogleTranslate(C161, ""en"", ""ar"")"),"الهلال المتضاءل")</f>
        <v>الهلال المتضاءل</v>
      </c>
      <c r="F161" s="7" t="str">
        <f>IFERROR(__xludf.DUMMYFUNCTION("GoogleTranslate(C161, ""en"", ""hy"")"),"Թուլացող կիսալուսին")</f>
        <v>Թուլացող կիսալուսին</v>
      </c>
      <c r="G161" s="7" t="str">
        <f>IFERROR(__xludf.DUMMYFUNCTION("GoogleTranslate(C161, ""en"", ""vi"")"),"Lưỡi liềm suy yếu")</f>
        <v>Lưỡi liềm suy yếu</v>
      </c>
      <c r="H161" s="7" t="str">
        <f>IFERROR(__xludf.DUMMYFUNCTION("GoogleTranslate(C161, ""en"", ""az"")"),"Sönən Aypara")</f>
        <v>Sönən Aypara</v>
      </c>
      <c r="I161" s="7" t="str">
        <f>IFERROR(__xludf.DUMMYFUNCTION("GoogleTranslate(C161, ""en"", ""eu"")"),"Ilargierdi beherakorra")</f>
        <v>Ilargierdi beherakorra</v>
      </c>
      <c r="J161" s="7" t="str">
        <f>IFERROR(__xludf.DUMMYFUNCTION("GoogleTranslate(C161, ""en"", ""be"")"),"Змяншальны паўмесяц")</f>
        <v>Змяншальны паўмесяц</v>
      </c>
      <c r="K161" s="7" t="str">
        <f>IFERROR(__xludf.DUMMYFUNCTION("GoogleTranslate(C161, ""en"", ""bn"")"),"ক্ষয়প্রাপ্ত ক্রিসেন্ট")</f>
        <v>ক্ষয়প্রাপ্ত ক্রিসেন্ট</v>
      </c>
      <c r="L161" s="7" t="str">
        <f>IFERROR(__xludf.DUMMYFUNCTION("GoogleTranslate(C161, ""en"", ""bg"")"),"Намаляващ полумесец")</f>
        <v>Намаляващ полумесец</v>
      </c>
      <c r="M161" s="7" t="str">
        <f>IFERROR(__xludf.DUMMYFUNCTION("GoogleTranslate(C161, ""en"", ""my"")"),"လဆုတ်လခြမ်း")</f>
        <v>လဆုတ်လခြမ်း</v>
      </c>
      <c r="N161" s="7" t="str">
        <f>IFERROR(__xludf.DUMMYFUNCTION("GoogleTranslate(C161, ""en"", ""ca"")"),"Creixent minvant")</f>
        <v>Creixent minvant</v>
      </c>
      <c r="O161" s="7" t="str">
        <f>IFERROR(__xludf.DUMMYFUNCTION("GoogleTranslate(C161, ""en"", ""zh-cn"")"),"渐亏新月")</f>
        <v>渐亏新月</v>
      </c>
      <c r="P161" s="7" t="str">
        <f>IFERROR(__xludf.DUMMYFUNCTION("GoogleTranslate(C161, ""en"", ""zh-TW"")"),"漸虧新月")</f>
        <v>漸虧新月</v>
      </c>
      <c r="Q161" s="7" t="str">
        <f>IFERROR(__xludf.DUMMYFUNCTION("GoogleTranslate(C161, ""en"", ""hr"")"),"Opadajući polumjesec")</f>
        <v>Opadajući polumjesec</v>
      </c>
      <c r="R161" s="7" t="str">
        <f>IFERROR(__xludf.DUMMYFUNCTION("GoogleTranslate(C161, ""en"", ""cs"")"),"Ubývající půlměsíc")</f>
        <v>Ubývající půlměsíc</v>
      </c>
      <c r="S161" s="7" t="str">
        <f>IFERROR(__xludf.DUMMYFUNCTION("GoogleTranslate(C161, ""en"", ""da"")"),"Aftagende halvmåne")</f>
        <v>Aftagende halvmåne</v>
      </c>
      <c r="T161" s="7" t="str">
        <f>IFERROR(__xludf.DUMMYFUNCTION("GoogleTranslate(C161, ""en"", ""nl"")"),"Afnemende halve maan")</f>
        <v>Afnemende halve maan</v>
      </c>
      <c r="U161" s="7" t="str">
        <f>IFERROR(__xludf.DUMMYFUNCTION("GoogleTranslate(C161, ""en"", ""et"")"),"Kahanev poolkuu")</f>
        <v>Kahanev poolkuu</v>
      </c>
      <c r="V161" s="5" t="str">
        <f t="shared" si="3"/>
        <v>Waning Crescent</v>
      </c>
      <c r="W161" s="7" t="str">
        <f>IFERROR(__xludf.DUMMYFUNCTION("GoogleTranslate(C161, ""en"", ""fi"")"),"Hiipuva Crescent")</f>
        <v>Hiipuva Crescent</v>
      </c>
      <c r="X161" s="7" t="str">
        <f>IFERROR(__xludf.DUMMYFUNCTION("GoogleTranslate(C161, ""en"", ""fr"")"),"Croissant décroissant")</f>
        <v>Croissant décroissant</v>
      </c>
      <c r="Y161" s="7" t="str">
        <f>IFERROR(__xludf.DUMMYFUNCTION("GoogleTranslate(C161, ""en"", ""de"")"),"Abnehmender Halbmond")</f>
        <v>Abnehmender Halbmond</v>
      </c>
      <c r="Z161" s="7" t="str">
        <f>IFERROR(__xludf.DUMMYFUNCTION("GoogleTranslate(C161, ""en"", ""el"")"),"Ημισέληνος που εξαφανίζεται")</f>
        <v>Ημισέληνος που εξαφανίζεται</v>
      </c>
      <c r="AA161" s="7" t="str">
        <f>IFERROR(__xludf.DUMMYFUNCTION("GoogleTranslate(C161, ""en"", ""iw"")"),"סהר הולך ופוחת")</f>
        <v>סהר הולך ופוחת</v>
      </c>
      <c r="AB161" s="7" t="str">
        <f>IFERROR(__xludf.DUMMYFUNCTION("GoogleTranslate(C161, ""en"", ""hi"")"),"नवचंद्र का घटाव")</f>
        <v>नवचंद्र का घटाव</v>
      </c>
      <c r="AC161" s="7" t="str">
        <f>IFERROR(__xludf.DUMMYFUNCTION("GoogleTranslate(C161, ""en"", ""hu"")"),"Csökkenő Félhold")</f>
        <v>Csökkenő Félhold</v>
      </c>
      <c r="AD161" s="7" t="str">
        <f>IFERROR(__xludf.DUMMYFUNCTION("GoogleTranslate(C161, ""en"", ""is"")"),"Dvínandi hálfmáni")</f>
        <v>Dvínandi hálfmáni</v>
      </c>
      <c r="AE161" s="7" t="str">
        <f>IFERROR(__xludf.DUMMYFUNCTION("GoogleTranslate(C161, ""en"", ""id"")"),"Bulan Sabit yang Memudar")</f>
        <v>Bulan Sabit yang Memudar</v>
      </c>
      <c r="AF161" s="7" t="str">
        <f>IFERROR(__xludf.DUMMYFUNCTION("GoogleTranslate(C161, ""en"", ""in"")"),"Bulan Sabit yang Memudar")</f>
        <v>Bulan Sabit yang Memudar</v>
      </c>
      <c r="AG161" s="7" t="str">
        <f>IFERROR(__xludf.DUMMYFUNCTION("GoogleTranslate(C161, ""en"", ""it"")"),"Mezzaluna calante")</f>
        <v>Mezzaluna calante</v>
      </c>
      <c r="AH161" s="7" t="str">
        <f>IFERROR(__xludf.DUMMYFUNCTION("GoogleTranslate(C161, ""en"", ""ja"")"),"下弦の三日月")</f>
        <v>下弦の三日月</v>
      </c>
      <c r="AI161" s="7" t="str">
        <f>IFERROR(__xludf.DUMMYFUNCTION("GoogleTranslate(C161, ""en"", ""kn"")"),"ಕ್ಷೀಣಿಸುತ್ತಿರುವ ಕ್ರೆಸೆಂಟ್")</f>
        <v>ಕ್ಷೀಣಿಸುತ್ತಿರುವ ಕ್ರೆಸೆಂಟ್</v>
      </c>
      <c r="AJ161" s="7" t="str">
        <f>IFERROR(__xludf.DUMMYFUNCTION("GoogleTranslate(C161, ""en"", ""km"")"),"អឌ្ឍចន្ទចន្ទន៍")</f>
        <v>អឌ្ឍចន្ទចន្ទន៍</v>
      </c>
      <c r="AK161" s="7" t="str">
        <f>IFERROR(__xludf.DUMMYFUNCTION("GoogleTranslate(C161, ""en"", ""ko"")"),"쇠퇴하는 초승달")</f>
        <v>쇠퇴하는 초승달</v>
      </c>
      <c r="AL161" s="7" t="str">
        <f>IFERROR(__xludf.DUMMYFUNCTION("GoogleTranslate(C161, ""en"", ""lo"")"),"ວົງເດືອນຂ້າງ")</f>
        <v>ວົງເດືອນຂ້າງ</v>
      </c>
      <c r="AM161" s="7" t="str">
        <f>IFERROR(__xludf.DUMMYFUNCTION("GoogleTranslate(C161, ""en"", ""lv"")"),"Dilstošs pusmēness")</f>
        <v>Dilstošs pusmēness</v>
      </c>
      <c r="AN161" s="7" t="str">
        <f>IFERROR(__xludf.DUMMYFUNCTION("GoogleTranslate(C161, ""en"", ""lt"")"),"Mažėjantis pusmėnulis")</f>
        <v>Mažėjantis pusmėnulis</v>
      </c>
      <c r="AO161" s="7" t="str">
        <f>IFERROR(__xludf.DUMMYFUNCTION("GoogleTranslate(C161, ""en"", ""mk"")"),"Слаба полумесечина")</f>
        <v>Слаба полумесечина</v>
      </c>
      <c r="AP161" s="7" t="str">
        <f>IFERROR(__xludf.DUMMYFUNCTION("GoogleTranslate(C161, ""en"", ""ms"")"),"Bulan Sabit Memudar")</f>
        <v>Bulan Sabit Memudar</v>
      </c>
      <c r="AQ161" s="7" t="str">
        <f>IFERROR(__xludf.DUMMYFUNCTION("GoogleTranslate(C161, ""en"", ""ml"")"),"ക്ഷയിക്കുന്ന ചന്ദ്രക്കല")</f>
        <v>ക്ഷയിക്കുന്ന ചന്ദ്രക്കല</v>
      </c>
      <c r="AR161" s="7" t="str">
        <f>IFERROR(__xludf.DUMMYFUNCTION("GoogleTranslate(C161, ""en"", ""mr"")"),"क्षीण चंद्रकोर")</f>
        <v>क्षीण चंद्रकोर</v>
      </c>
      <c r="AS161" s="7" t="str">
        <f>IFERROR(__xludf.DUMMYFUNCTION("GoogleTranslate(C161, ""en"", ""mn"")"),"Хагас сар")</f>
        <v>Хагас сар</v>
      </c>
      <c r="AT161" s="7" t="str">
        <f>IFERROR(__xludf.DUMMYFUNCTION("GoogleTranslate(C161, ""en"", ""ne"")"),"झर्ने क्रिसेन्ट")</f>
        <v>झर्ने क्रिसेन्ट</v>
      </c>
      <c r="AU161" s="7" t="str">
        <f>IFERROR(__xludf.DUMMYFUNCTION("GoogleTranslate(C161, ""en"", ""nb"")"),"Avtagende halvmåne")</f>
        <v>Avtagende halvmåne</v>
      </c>
      <c r="AV161" s="7" t="str">
        <f>IFERROR(__xludf.DUMMYFUNCTION("GoogleTranslate(C161, ""en"", ""fa"")"),"هلال رو به زوال")</f>
        <v>هلال رو به زوال</v>
      </c>
      <c r="AW161" s="7" t="str">
        <f>IFERROR(__xludf.DUMMYFUNCTION("GoogleTranslate(C161, ""en"", ""pl"")"),"Ubywający Półksiężyc")</f>
        <v>Ubywający Półksiężyc</v>
      </c>
      <c r="AX161" s="7" t="str">
        <f>IFERROR(__xludf.DUMMYFUNCTION("GoogleTranslate(C161, ""en"", ""pt"")"),"Crescente Minguante")</f>
        <v>Crescente Minguante</v>
      </c>
      <c r="AY161" s="7" t="str">
        <f>IFERROR(__xludf.DUMMYFUNCTION("GoogleTranslate(C161, ""en"", ""ro"")"),"Semiluna în scădere")</f>
        <v>Semiluna în scădere</v>
      </c>
      <c r="AZ161" s="7" t="str">
        <f>IFERROR(__xludf.DUMMYFUNCTION("GoogleTranslate(C161, ""en"", ""ru"")"),"Убывающий полумесяц")</f>
        <v>Убывающий полумесяц</v>
      </c>
      <c r="BA161" s="7" t="str">
        <f>IFERROR(__xludf.DUMMYFUNCTION("GoogleTranslate(C161, ""en"", ""sr"")"),"Ванинг Цресцент")</f>
        <v>Ванинг Цресцент</v>
      </c>
      <c r="BB161" s="7" t="str">
        <f>IFERROR(__xludf.DUMMYFUNCTION("GoogleTranslate(C161, ""en"", ""si"")"),"ක්‍රෙසන්ට් ක්ෂය වෙමින් පවතී")</f>
        <v>ක්‍රෙසන්ට් ක්ෂය වෙමින් පවතී</v>
      </c>
      <c r="BC161" s="7" t="str">
        <f>IFERROR(__xludf.DUMMYFUNCTION("GoogleTranslate(C161, ""en"", ""sk"")"),"Ubúdajúci polmesiac")</f>
        <v>Ubúdajúci polmesiac</v>
      </c>
      <c r="BD161" s="7" t="str">
        <f>IFERROR(__xludf.DUMMYFUNCTION("GoogleTranslate(C161, ""en"", ""sl"")"),"Padajoči polmesec")</f>
        <v>Padajoči polmesec</v>
      </c>
      <c r="BE161" s="7" t="str">
        <f>IFERROR(__xludf.DUMMYFUNCTION("GoogleTranslate(C161, ""en"", ""es"")"),"Media luna menguante")</f>
        <v>Media luna menguante</v>
      </c>
      <c r="BF161" s="7" t="str">
        <f>IFERROR(__xludf.DUMMYFUNCTION("GoogleTranslate(C161, ""en"", ""sw"")"),"Mpevu unaopungua")</f>
        <v>Mpevu unaopungua</v>
      </c>
      <c r="BG161" s="7" t="str">
        <f>IFERROR(__xludf.DUMMYFUNCTION("GoogleTranslate(C161, ""en"", ""sv"")"),"Avtagande halvmåne")</f>
        <v>Avtagande halvmåne</v>
      </c>
      <c r="BH161" s="7" t="str">
        <f>IFERROR(__xludf.DUMMYFUNCTION("GoogleTranslate(C161, ""en"", ""te"")"),"క్షీణిస్తున్న చంద్రవంక")</f>
        <v>క్షీణిస్తున్న చంద్రవంక</v>
      </c>
      <c r="BI161" s="7" t="str">
        <f>IFERROR(__xludf.DUMMYFUNCTION("GoogleTranslate(C161, ""en"", ""th"")"),"จันทร์เสี้ยวข้างแรม")</f>
        <v>จันทร์เสี้ยวข้างแรม</v>
      </c>
      <c r="BJ161" s="7" t="str">
        <f>IFERROR(__xludf.DUMMYFUNCTION("GoogleTranslate(C161, ""en"", ""tr"")"),"Azalan Hilal")</f>
        <v>Azalan Hilal</v>
      </c>
      <c r="BK161" s="7" t="str">
        <f>IFERROR(__xludf.DUMMYFUNCTION("GoogleTranslate(C161, ""en"", ""uk"")"),"Згасаючий півмісяць")</f>
        <v>Згасаючий півмісяць</v>
      </c>
      <c r="BL161" s="7" t="str">
        <f>IFERROR(__xludf.DUMMYFUNCTION("GoogleTranslate(C161, ""en"", ""zu"")"),"I-Crescent Eyehlayo")</f>
        <v>I-Crescent Eyehlayo</v>
      </c>
    </row>
    <row r="162">
      <c r="A162" s="5" t="str">
        <f t="shared" si="1"/>
        <v>New_Moon</v>
      </c>
      <c r="B162" s="6" t="s">
        <v>210</v>
      </c>
      <c r="C162" s="5" t="str">
        <f t="shared" si="2"/>
        <v>New Moon</v>
      </c>
      <c r="D162" s="7" t="str">
        <f>IFERROR(__xludf.DUMMYFUNCTION("GoogleTranslate(C162, ""en"", ""es"")"),"Luna nueva")</f>
        <v>Luna nueva</v>
      </c>
      <c r="E162" s="7" t="str">
        <f>IFERROR(__xludf.DUMMYFUNCTION("GoogleTranslate(C162, ""en"", ""ar"")"),"القمر الجديد")</f>
        <v>القمر الجديد</v>
      </c>
      <c r="F162" s="7" t="str">
        <f>IFERROR(__xludf.DUMMYFUNCTION("GoogleTranslate(C162, ""en"", ""hy"")"),"Նոր Լուսին")</f>
        <v>Նոր Լուսին</v>
      </c>
      <c r="G162" s="7" t="str">
        <f>IFERROR(__xludf.DUMMYFUNCTION("GoogleTranslate(C162, ""en"", ""vi"")"),"Trăng non")</f>
        <v>Trăng non</v>
      </c>
      <c r="H162" s="7" t="str">
        <f>IFERROR(__xludf.DUMMYFUNCTION("GoogleTranslate(C162, ""en"", ""az"")"),"Yeni Ay")</f>
        <v>Yeni Ay</v>
      </c>
      <c r="I162" s="7" t="str">
        <f>IFERROR(__xludf.DUMMYFUNCTION("GoogleTranslate(C162, ""en"", ""eu"")"),"Ilberria")</f>
        <v>Ilberria</v>
      </c>
      <c r="J162" s="7" t="str">
        <f>IFERROR(__xludf.DUMMYFUNCTION("GoogleTranslate(C162, ""en"", ""be"")"),"Маладзік")</f>
        <v>Маладзік</v>
      </c>
      <c r="K162" s="7" t="str">
        <f>IFERROR(__xludf.DUMMYFUNCTION("GoogleTranslate(C162, ""en"", ""bn"")"),"অমাবস্যা")</f>
        <v>অমাবস্যা</v>
      </c>
      <c r="L162" s="7" t="str">
        <f>IFERROR(__xludf.DUMMYFUNCTION("GoogleTranslate(C162, ""en"", ""bg"")"),"Новолуние")</f>
        <v>Новолуние</v>
      </c>
      <c r="M162" s="7" t="str">
        <f>IFERROR(__xludf.DUMMYFUNCTION("GoogleTranslate(C162, ""en"", ""my"")"),"လဆန်း")</f>
        <v>လဆန်း</v>
      </c>
      <c r="N162" s="7" t="str">
        <f>IFERROR(__xludf.DUMMYFUNCTION("GoogleTranslate(C162, ""en"", ""ca"")"),"Lluna nova")</f>
        <v>Lluna nova</v>
      </c>
      <c r="O162" s="7" t="str">
        <f>IFERROR(__xludf.DUMMYFUNCTION("GoogleTranslate(C162, ""en"", ""zh-cn"")"),"新月")</f>
        <v>新月</v>
      </c>
      <c r="P162" s="7" t="str">
        <f>IFERROR(__xludf.DUMMYFUNCTION("GoogleTranslate(C162, ""en"", ""zh-TW"")"),"新月")</f>
        <v>新月</v>
      </c>
      <c r="Q162" s="7" t="str">
        <f>IFERROR(__xludf.DUMMYFUNCTION("GoogleTranslate(C162, ""en"", ""hr"")"),"mladi mjesec")</f>
        <v>mladi mjesec</v>
      </c>
      <c r="R162" s="7" t="str">
        <f>IFERROR(__xludf.DUMMYFUNCTION("GoogleTranslate(C162, ""en"", ""cs"")"),"Novoluní")</f>
        <v>Novoluní</v>
      </c>
      <c r="S162" s="7" t="str">
        <f>IFERROR(__xludf.DUMMYFUNCTION("GoogleTranslate(C162, ""en"", ""da"")"),"Nymåne")</f>
        <v>Nymåne</v>
      </c>
      <c r="T162" s="7" t="str">
        <f>IFERROR(__xludf.DUMMYFUNCTION("GoogleTranslate(C162, ""en"", ""nl"")"),"Nieuwe maan")</f>
        <v>Nieuwe maan</v>
      </c>
      <c r="U162" s="7" t="str">
        <f>IFERROR(__xludf.DUMMYFUNCTION("GoogleTranslate(C162, ""en"", ""et"")"),"Noorkuu")</f>
        <v>Noorkuu</v>
      </c>
      <c r="V162" s="5" t="str">
        <f t="shared" si="3"/>
        <v>New Moon</v>
      </c>
      <c r="W162" s="7" t="str">
        <f>IFERROR(__xludf.DUMMYFUNCTION("GoogleTranslate(C162, ""en"", ""fi"")"),"Uusi kuu")</f>
        <v>Uusi kuu</v>
      </c>
      <c r="X162" s="7" t="str">
        <f>IFERROR(__xludf.DUMMYFUNCTION("GoogleTranslate(C162, ""en"", ""fr"")"),"Nouvelle lune")</f>
        <v>Nouvelle lune</v>
      </c>
      <c r="Y162" s="7" t="str">
        <f>IFERROR(__xludf.DUMMYFUNCTION("GoogleTranslate(C162, ""en"", ""de"")"),"Neumond")</f>
        <v>Neumond</v>
      </c>
      <c r="Z162" s="7" t="str">
        <f>IFERROR(__xludf.DUMMYFUNCTION("GoogleTranslate(C162, ""en"", ""el"")"),"Νέα Σελήνη")</f>
        <v>Νέα Σελήνη</v>
      </c>
      <c r="AA162" s="7" t="str">
        <f>IFERROR(__xludf.DUMMYFUNCTION("GoogleTranslate(C162, ""en"", ""iw"")"),"רֹאשׁ חוֹדֶשׁ")</f>
        <v>רֹאשׁ חוֹדֶשׁ</v>
      </c>
      <c r="AB162" s="7" t="str">
        <f>IFERROR(__xludf.DUMMYFUNCTION("GoogleTranslate(C162, ""en"", ""hi"")"),"अमावस्या")</f>
        <v>अमावस्या</v>
      </c>
      <c r="AC162" s="7" t="str">
        <f>IFERROR(__xludf.DUMMYFUNCTION("GoogleTranslate(C162, ""en"", ""hu"")"),"Újhold")</f>
        <v>Újhold</v>
      </c>
      <c r="AD162" s="7" t="str">
        <f>IFERROR(__xludf.DUMMYFUNCTION("GoogleTranslate(C162, ""en"", ""is"")"),"Nýtt tungl")</f>
        <v>Nýtt tungl</v>
      </c>
      <c r="AE162" s="7" t="str">
        <f>IFERROR(__xludf.DUMMYFUNCTION("GoogleTranslate(C162, ""en"", ""id"")"),"Bulan Baru")</f>
        <v>Bulan Baru</v>
      </c>
      <c r="AF162" s="7" t="str">
        <f>IFERROR(__xludf.DUMMYFUNCTION("GoogleTranslate(C162, ""en"", ""in"")"),"Bulan Baru")</f>
        <v>Bulan Baru</v>
      </c>
      <c r="AG162" s="7" t="str">
        <f>IFERROR(__xludf.DUMMYFUNCTION("GoogleTranslate(C162, ""en"", ""it"")"),"Luna Nuova")</f>
        <v>Luna Nuova</v>
      </c>
      <c r="AH162" s="7" t="str">
        <f>IFERROR(__xludf.DUMMYFUNCTION("GoogleTranslate(C162, ""en"", ""ja"")"),"新月")</f>
        <v>新月</v>
      </c>
      <c r="AI162" s="7" t="str">
        <f>IFERROR(__xludf.DUMMYFUNCTION("GoogleTranslate(C162, ""en"", ""kn"")"),"ಅಮಾವಾಸ್ಯೆ")</f>
        <v>ಅಮಾವಾಸ್ಯೆ</v>
      </c>
      <c r="AJ162" s="7" t="str">
        <f>IFERROR(__xludf.DUMMYFUNCTION("GoogleTranslate(C162, ""en"", ""km"")"),"ព្រះច័ន្ទថ្មី។")</f>
        <v>ព្រះច័ន្ទថ្មី។</v>
      </c>
      <c r="AK162" s="7" t="str">
        <f>IFERROR(__xludf.DUMMYFUNCTION("GoogleTranslate(C162, ""en"", ""ko"")"),"초승달")</f>
        <v>초승달</v>
      </c>
      <c r="AL162" s="7" t="str">
        <f>IFERROR(__xludf.DUMMYFUNCTION("GoogleTranslate(C162, ""en"", ""lo"")"),"ເດືອນໃໝ່")</f>
        <v>ເດືອນໃໝ່</v>
      </c>
      <c r="AM162" s="7" t="str">
        <f>IFERROR(__xludf.DUMMYFUNCTION("GoogleTranslate(C162, ""en"", ""lv"")"),"Jauns Mēness")</f>
        <v>Jauns Mēness</v>
      </c>
      <c r="AN162" s="7" t="str">
        <f>IFERROR(__xludf.DUMMYFUNCTION("GoogleTranslate(C162, ""en"", ""lt"")"),"Jaunatis")</f>
        <v>Jaunatis</v>
      </c>
      <c r="AO162" s="7" t="str">
        <f>IFERROR(__xludf.DUMMYFUNCTION("GoogleTranslate(C162, ""en"", ""mk"")"),"млада месечина")</f>
        <v>млада месечина</v>
      </c>
      <c r="AP162" s="7" t="str">
        <f>IFERROR(__xludf.DUMMYFUNCTION("GoogleTranslate(C162, ""en"", ""ms"")"),"Bulan Baru")</f>
        <v>Bulan Baru</v>
      </c>
      <c r="AQ162" s="7" t="str">
        <f>IFERROR(__xludf.DUMMYFUNCTION("GoogleTranslate(C162, ""en"", ""ml"")"),"അമാവാസി")</f>
        <v>അമാവാസി</v>
      </c>
      <c r="AR162" s="7" t="str">
        <f>IFERROR(__xludf.DUMMYFUNCTION("GoogleTranslate(C162, ""en"", ""mr"")"),"अमावस्या")</f>
        <v>अमावस्या</v>
      </c>
      <c r="AS162" s="7" t="str">
        <f>IFERROR(__xludf.DUMMYFUNCTION("GoogleTranslate(C162, ""en"", ""mn"")"),"Шинэ сар")</f>
        <v>Шинэ сар</v>
      </c>
      <c r="AT162" s="7" t="str">
        <f>IFERROR(__xludf.DUMMYFUNCTION("GoogleTranslate(C162, ""en"", ""ne"")"),"नयाँ चन्द्र")</f>
        <v>नयाँ चन्द्र</v>
      </c>
      <c r="AU162" s="7" t="str">
        <f>IFERROR(__xludf.DUMMYFUNCTION("GoogleTranslate(C162, ""en"", ""nb"")"),"Nymåne")</f>
        <v>Nymåne</v>
      </c>
      <c r="AV162" s="7" t="str">
        <f>IFERROR(__xludf.DUMMYFUNCTION("GoogleTranslate(C162, ""en"", ""fa"")"),"ماه نو")</f>
        <v>ماه نو</v>
      </c>
      <c r="AW162" s="7" t="str">
        <f>IFERROR(__xludf.DUMMYFUNCTION("GoogleTranslate(C162, ""en"", ""pl"")"),"Nówy księżyc")</f>
        <v>Nówy księżyc</v>
      </c>
      <c r="AX162" s="7" t="str">
        <f>IFERROR(__xludf.DUMMYFUNCTION("GoogleTranslate(C162, ""en"", ""pt"")"),"Lua nova")</f>
        <v>Lua nova</v>
      </c>
      <c r="AY162" s="7" t="str">
        <f>IFERROR(__xludf.DUMMYFUNCTION("GoogleTranslate(C162, ""en"", ""ro"")"),"Lună nouă")</f>
        <v>Lună nouă</v>
      </c>
      <c r="AZ162" s="7" t="str">
        <f>IFERROR(__xludf.DUMMYFUNCTION("GoogleTranslate(C162, ""en"", ""ru"")"),"Новолуние")</f>
        <v>Новолуние</v>
      </c>
      <c r="BA162" s="7" t="str">
        <f>IFERROR(__xludf.DUMMYFUNCTION("GoogleTranslate(C162, ""en"", ""sr"")"),"Млад Месец")</f>
        <v>Млад Месец</v>
      </c>
      <c r="BB162" s="7" t="str">
        <f>IFERROR(__xludf.DUMMYFUNCTION("GoogleTranslate(C162, ""en"", ""si"")"),"නව සඳ")</f>
        <v>නව සඳ</v>
      </c>
      <c r="BC162" s="7" t="str">
        <f>IFERROR(__xludf.DUMMYFUNCTION("GoogleTranslate(C162, ""en"", ""sk"")"),"Nový Mesiac")</f>
        <v>Nový Mesiac</v>
      </c>
      <c r="BD162" s="7" t="str">
        <f>IFERROR(__xludf.DUMMYFUNCTION("GoogleTranslate(C162, ""en"", ""sl"")"),"Nova luna")</f>
        <v>Nova luna</v>
      </c>
      <c r="BE162" s="7" t="str">
        <f>IFERROR(__xludf.DUMMYFUNCTION("GoogleTranslate(C162, ""en"", ""es"")"),"Luna nueva")</f>
        <v>Luna nueva</v>
      </c>
      <c r="BF162" s="7" t="str">
        <f>IFERROR(__xludf.DUMMYFUNCTION("GoogleTranslate(C162, ""en"", ""sw"")"),"Mwezi Mpya")</f>
        <v>Mwezi Mpya</v>
      </c>
      <c r="BG162" s="7" t="str">
        <f>IFERROR(__xludf.DUMMYFUNCTION("GoogleTranslate(C162, ""en"", ""sv"")"),"Nymåne")</f>
        <v>Nymåne</v>
      </c>
      <c r="BH162" s="7" t="str">
        <f>IFERROR(__xludf.DUMMYFUNCTION("GoogleTranslate(C162, ""en"", ""te"")"),"అమావాస్య")</f>
        <v>అమావాస్య</v>
      </c>
      <c r="BI162" s="7" t="str">
        <f>IFERROR(__xludf.DUMMYFUNCTION("GoogleTranslate(C162, ""en"", ""th"")"),"นิวมูน")</f>
        <v>นิวมูน</v>
      </c>
      <c r="BJ162" s="7" t="str">
        <f>IFERROR(__xludf.DUMMYFUNCTION("GoogleTranslate(C162, ""en"", ""tr"")"),"Yeni ay")</f>
        <v>Yeni ay</v>
      </c>
      <c r="BK162" s="7" t="str">
        <f>IFERROR(__xludf.DUMMYFUNCTION("GoogleTranslate(C162, ""en"", ""uk"")"),"Молодик")</f>
        <v>Молодик</v>
      </c>
      <c r="BL162" s="7" t="str">
        <f>IFERROR(__xludf.DUMMYFUNCTION("GoogleTranslate(C162, ""en"", ""zu"")"),"Inyanga Entsha")</f>
        <v>Inyanga Entsha</v>
      </c>
    </row>
    <row r="163">
      <c r="A163" s="5" t="str">
        <f t="shared" si="1"/>
        <v>Uv_index_{name}_today</v>
      </c>
      <c r="B163" s="6" t="s">
        <v>218</v>
      </c>
      <c r="C163" s="5" t="str">
        <f t="shared" si="2"/>
        <v>Uv index {name} today</v>
      </c>
      <c r="D163" s="7" t="str">
        <f>IFERROR(__xludf.DUMMYFUNCTION("GoogleTranslate(C163, ""en"", ""es"")"),"Índice ultravioleta {nombre} hoy")</f>
        <v>Índice ultravioleta {nombre} hoy</v>
      </c>
      <c r="E163" s="7" t="str">
        <f>IFERROR(__xludf.DUMMYFUNCTION("GoogleTranslate(C163, ""en"", ""ar"")"),"مؤشر الأشعة فوق البنفسجية {name} اليوم")</f>
        <v>مؤشر الأشعة فوق البنفسجية {name} اليوم</v>
      </c>
      <c r="F163" s="7" t="str">
        <f>IFERROR(__xludf.DUMMYFUNCTION("GoogleTranslate(C163, ""en"", ""hy"")"),"Uv ինդեքս {name} այսօր")</f>
        <v>Uv ինդեքս {name} այսօր</v>
      </c>
      <c r="G163" s="7" t="str">
        <f>IFERROR(__xludf.DUMMYFUNCTION("GoogleTranslate(C163, ""en"", ""vi"")"),"Chỉ số UV {name} hôm nay")</f>
        <v>Chỉ số UV {name} hôm nay</v>
      </c>
      <c r="H163" s="7" t="str">
        <f>IFERROR(__xludf.DUMMYFUNCTION("GoogleTranslate(C163, ""en"", ""az"")"),"UV indeksi bu gün {name}")</f>
        <v>UV indeksi bu gün {name}</v>
      </c>
      <c r="I163" s="7" t="str">
        <f>IFERROR(__xludf.DUMMYFUNCTION("GoogleTranslate(C163, ""en"", ""eu"")"),"Uv indizea {izena} gaur")</f>
        <v>Uv indizea {izena} gaur</v>
      </c>
      <c r="J163" s="7" t="str">
        <f>IFERROR(__xludf.DUMMYFUNCTION("GoogleTranslate(C163, ""en"", ""be"")"),"УФ-індэкс {name} сёння")</f>
        <v>УФ-індэкс {name} сёння</v>
      </c>
      <c r="K163" s="7" t="str">
        <f>IFERROR(__xludf.DUMMYFUNCTION("GoogleTranslate(C163, ""en"", ""bn"")"),"Uv সূচক {name} আজ")</f>
        <v>Uv সূচক {name} আজ</v>
      </c>
      <c r="L163" s="7" t="str">
        <f>IFERROR(__xludf.DUMMYFUNCTION("GoogleTranslate(C163, ""en"", ""bg"")"),"Uv индекс {name} днес")</f>
        <v>Uv индекс {name} днес</v>
      </c>
      <c r="M163" s="7" t="str">
        <f>IFERROR(__xludf.DUMMYFUNCTION("GoogleTranslate(C163, ""en"", ""my"")"),"Uv အညွှန်း {name} ယနေ့")</f>
        <v>Uv အညွှန်း {name} ယနေ့</v>
      </c>
      <c r="N163" s="7" t="str">
        <f>IFERROR(__xludf.DUMMYFUNCTION("GoogleTranslate(C163, ""en"", ""ca"")"),"Índex UV {nom} avui")</f>
        <v>Índex UV {nom} avui</v>
      </c>
      <c r="O163" s="7" t="str">
        <f>IFERROR(__xludf.DUMMYFUNCTION("GoogleTranslate(C163, ""en"", ""zh-cn"")"),"今天紫外线指数 {name}")</f>
        <v>今天紫外线指数 {name}</v>
      </c>
      <c r="P163" s="7" t="str">
        <f>IFERROR(__xludf.DUMMYFUNCTION("GoogleTranslate(C163, ""en"", ""zh-TW"")"),"今天紫外線指數 {name}")</f>
        <v>今天紫外線指數 {name}</v>
      </c>
      <c r="Q163" s="7" t="str">
        <f>IFERROR(__xludf.DUMMYFUNCTION("GoogleTranslate(C163, ""en"", ""hr"")"),"Uv indeks {name} danas")</f>
        <v>Uv indeks {name} danas</v>
      </c>
      <c r="R163" s="7" t="str">
        <f>IFERROR(__xludf.DUMMYFUNCTION("GoogleTranslate(C163, ""en"", ""cs"")"),"UV index {name} dnes")</f>
        <v>UV index {name} dnes</v>
      </c>
      <c r="S163" s="7" t="str">
        <f>IFERROR(__xludf.DUMMYFUNCTION("GoogleTranslate(C163, ""en"", ""da"")"),"Uv-indeks {navn} i dag")</f>
        <v>Uv-indeks {navn} i dag</v>
      </c>
      <c r="T163" s="7" t="str">
        <f>IFERROR(__xludf.DUMMYFUNCTION("GoogleTranslate(C163, ""en"", ""nl"")"),"UV-index {naam} vandaag")</f>
        <v>UV-index {naam} vandaag</v>
      </c>
      <c r="U163" s="7" t="str">
        <f>IFERROR(__xludf.DUMMYFUNCTION("GoogleTranslate(C163, ""en"", ""et"")"),"UV-indeks {name} täna")</f>
        <v>UV-indeks {name} täna</v>
      </c>
      <c r="V163" s="5" t="str">
        <f t="shared" si="3"/>
        <v>Uv index {name} today</v>
      </c>
      <c r="W163" s="7" t="str">
        <f>IFERROR(__xludf.DUMMYFUNCTION("GoogleTranslate(C163, ""en"", ""fi"")"),"UV-indeksi {name} tänään")</f>
        <v>UV-indeksi {name} tänään</v>
      </c>
      <c r="X163" s="7" t="str">
        <f>IFERROR(__xludf.DUMMYFUNCTION("GoogleTranslate(C163, ""en"", ""fr"")"),"Indice UV {nom} aujourd'hui")</f>
        <v>Indice UV {nom} aujourd'hui</v>
      </c>
      <c r="Y163" s="7" t="str">
        <f>IFERROR(__xludf.DUMMYFUNCTION("GoogleTranslate(C163, ""en"", ""de"")"),"UV-Index {Name} heute")</f>
        <v>UV-Index {Name} heute</v>
      </c>
      <c r="Z163" s="7" t="str">
        <f>IFERROR(__xludf.DUMMYFUNCTION("GoogleTranslate(C163, ""en"", ""el"")"),"Δείκτης UV {name} σήμερα")</f>
        <v>Δείκτης UV {name} σήμερα</v>
      </c>
      <c r="AA163" s="7" t="str">
        <f>IFERROR(__xludf.DUMMYFUNCTION("GoogleTranslate(C163, ""en"", ""iw"")"),"אינדקס UV {name} היום")</f>
        <v>אינדקס UV {name} היום</v>
      </c>
      <c r="AB163" s="7" t="str">
        <f>IFERROR(__xludf.DUMMYFUNCTION("GoogleTranslate(C163, ""en"", ""hi"")"),"यूवी सूचकांक {नाम} आज")</f>
        <v>यूवी सूचकांक {नाम} आज</v>
      </c>
      <c r="AC163" s="7" t="str">
        <f>IFERROR(__xludf.DUMMYFUNCTION("GoogleTranslate(C163, ""en"", ""hu"")"),"Ma UV index {name}")</f>
        <v>Ma UV index {name}</v>
      </c>
      <c r="AD163" s="7" t="str">
        <f>IFERROR(__xludf.DUMMYFUNCTION("GoogleTranslate(C163, ""en"", ""is"")"),"UV vísitala {name} í dag")</f>
        <v>UV vísitala {name} í dag</v>
      </c>
      <c r="AE163" s="7" t="str">
        <f>IFERROR(__xludf.DUMMYFUNCTION("GoogleTranslate(C163, ""en"", ""id"")"),"Indeks UV {name} hari ini")</f>
        <v>Indeks UV {name} hari ini</v>
      </c>
      <c r="AF163" s="7" t="str">
        <f>IFERROR(__xludf.DUMMYFUNCTION("GoogleTranslate(C163, ""en"", ""in"")"),"Indeks UV {name} hari ini")</f>
        <v>Indeks UV {name} hari ini</v>
      </c>
      <c r="AG163" s="7" t="str">
        <f>IFERROR(__xludf.DUMMYFUNCTION("GoogleTranslate(C163, ""en"", ""it"")"),"Indice Uv {nome} oggi")</f>
        <v>Indice Uv {nome} oggi</v>
      </c>
      <c r="AH163" s="7" t="str">
        <f>IFERROR(__xludf.DUMMYFUNCTION("GoogleTranslate(C163, ""en"", ""ja"")"),"今日の紫外線指数 {name}")</f>
        <v>今日の紫外線指数 {name}</v>
      </c>
      <c r="AI163" s="7" t="str">
        <f>IFERROR(__xludf.DUMMYFUNCTION("GoogleTranslate(C163, ""en"", ""kn"")"),"ಯುವಿ ಸೂಚ್ಯಂಕ {name} ಇಂದು")</f>
        <v>ಯುವಿ ಸೂಚ್ಯಂಕ {name} ಇಂದು</v>
      </c>
      <c r="AJ163" s="7" t="str">
        <f>IFERROR(__xludf.DUMMYFUNCTION("GoogleTranslate(C163, ""en"", ""km"")"),"Uv index {name} ថ្ងៃនេះ")</f>
        <v>Uv index {name} ថ្ងៃនេះ</v>
      </c>
      <c r="AK163" s="7" t="str">
        <f>IFERROR(__xludf.DUMMYFUNCTION("GoogleTranslate(C163, ""en"", ""ko"")"),"오늘 자외선 지수 {이름}")</f>
        <v>오늘 자외선 지수 {이름}</v>
      </c>
      <c r="AL163" s="7" t="str">
        <f>IFERROR(__xludf.DUMMYFUNCTION("GoogleTranslate(C163, ""en"", ""lo"")"),"Uv index {name} ມື້ນີ້")</f>
        <v>Uv index {name} ມື້ນີ້</v>
      </c>
      <c r="AM163" s="7" t="str">
        <f>IFERROR(__xludf.DUMMYFUNCTION("GoogleTranslate(C163, ""en"", ""lv"")"),"UV indekss {name} šodien")</f>
        <v>UV indekss {name} šodien</v>
      </c>
      <c r="AN163" s="7" t="str">
        <f>IFERROR(__xludf.DUMMYFUNCTION("GoogleTranslate(C163, ""en"", ""lt"")"),"UV indeksas {name} šiandien")</f>
        <v>UV indeksas {name} šiandien</v>
      </c>
      <c r="AO163" s="7" t="str">
        <f>IFERROR(__xludf.DUMMYFUNCTION("GoogleTranslate(C163, ""en"", ""mk"")"),"УВ индекс {име} денес")</f>
        <v>УВ индекс {име} денес</v>
      </c>
      <c r="AP163" s="7" t="str">
        <f>IFERROR(__xludf.DUMMYFUNCTION("GoogleTranslate(C163, ""en"", ""ms"")"),"Indeks UV {nama} hari ini")</f>
        <v>Indeks UV {nama} hari ini</v>
      </c>
      <c r="AQ163" s="7" t="str">
        <f>IFERROR(__xludf.DUMMYFUNCTION("GoogleTranslate(C163, ""en"", ""ml"")"),"Uv സൂചിക {name} ഇന്ന്")</f>
        <v>Uv സൂചിക {name} ഇന്ന്</v>
      </c>
      <c r="AR163" s="7" t="str">
        <f>IFERROR(__xludf.DUMMYFUNCTION("GoogleTranslate(C163, ""en"", ""mr"")"),"Uv इंडेक्स {name} आज")</f>
        <v>Uv इंडेक्स {name} आज</v>
      </c>
      <c r="AS163" s="7" t="str">
        <f>IFERROR(__xludf.DUMMYFUNCTION("GoogleTranslate(C163, ""en"", ""mn"")"),"Өнөөдөр UV индекс {name}")</f>
        <v>Өнөөдөр UV индекс {name}</v>
      </c>
      <c r="AT163" s="7" t="str">
        <f>IFERROR(__xludf.DUMMYFUNCTION("GoogleTranslate(C163, ""en"", ""ne"")"),"Uv अनुक्रमणिका {name} आज")</f>
        <v>Uv अनुक्रमणिका {name} आज</v>
      </c>
      <c r="AU163" s="7" t="str">
        <f>IFERROR(__xludf.DUMMYFUNCTION("GoogleTranslate(C163, ""en"", ""nb"")"),"Uv-indeks {name} i dag")</f>
        <v>Uv-indeks {name} i dag</v>
      </c>
      <c r="AV163" s="7" t="str">
        <f>IFERROR(__xludf.DUMMYFUNCTION("GoogleTranslate(C163, ""en"", ""fa"")"),"شاخص UV {name} امروز")</f>
        <v>شاخص UV {name} امروز</v>
      </c>
      <c r="AW163" s="7" t="str">
        <f>IFERROR(__xludf.DUMMYFUNCTION("GoogleTranslate(C163, ""en"", ""pl"")"),"Indeks UV {name} dzisiaj")</f>
        <v>Indeks UV {name} dzisiaj</v>
      </c>
      <c r="AX163" s="7" t="str">
        <f>IFERROR(__xludf.DUMMYFUNCTION("GoogleTranslate(C163, ""en"", ""pt"")"),"Índice UV {nome} hoje")</f>
        <v>Índice UV {nome} hoje</v>
      </c>
      <c r="AY163" s="7" t="str">
        <f>IFERROR(__xludf.DUMMYFUNCTION("GoogleTranslate(C163, ""en"", ""ro"")"),"Index UV {name} astăzi")</f>
        <v>Index UV {name} astăzi</v>
      </c>
      <c r="AZ163" s="7" t="str">
        <f>IFERROR(__xludf.DUMMYFUNCTION("GoogleTranslate(C163, ""en"", ""ru"")"),"УФ-индекс {имя} сегодня")</f>
        <v>УФ-индекс {имя} сегодня</v>
      </c>
      <c r="BA163" s="7" t="str">
        <f>IFERROR(__xludf.DUMMYFUNCTION("GoogleTranslate(C163, ""en"", ""sr"")"),"УВ индекс {наме} данас")</f>
        <v>УВ индекс {наме} данас</v>
      </c>
      <c r="BB163" s="7" t="str">
        <f>IFERROR(__xludf.DUMMYFUNCTION("GoogleTranslate(C163, ""en"", ""si"")"),"Uv දර්ශකය {name} අද")</f>
        <v>Uv දර්ශකය {name} අද</v>
      </c>
      <c r="BC163" s="7" t="str">
        <f>IFERROR(__xludf.DUMMYFUNCTION("GoogleTranslate(C163, ""en"", ""sk"")"),"UV index {name} dnes")</f>
        <v>UV index {name} dnes</v>
      </c>
      <c r="BD163" s="7" t="str">
        <f>IFERROR(__xludf.DUMMYFUNCTION("GoogleTranslate(C163, ""en"", ""sl"")"),"Uv indeks {name} danes")</f>
        <v>Uv indeks {name} danes</v>
      </c>
      <c r="BE163" s="7" t="str">
        <f>IFERROR(__xludf.DUMMYFUNCTION("GoogleTranslate(C163, ""en"", ""es"")"),"Índice ultravioleta {nombre} hoy")</f>
        <v>Índice ultravioleta {nombre} hoy</v>
      </c>
      <c r="BF163" s="7" t="str">
        <f>IFERROR(__xludf.DUMMYFUNCTION("GoogleTranslate(C163, ""en"", ""sw"")"),"Faharasa ya UV {name} leo")</f>
        <v>Faharasa ya UV {name} leo</v>
      </c>
      <c r="BG163" s="7" t="str">
        <f>IFERROR(__xludf.DUMMYFUNCTION("GoogleTranslate(C163, ""en"", ""sv"")"),"Uv-index {name} idag")</f>
        <v>Uv-index {name} idag</v>
      </c>
      <c r="BH163" s="7" t="str">
        <f>IFERROR(__xludf.DUMMYFUNCTION("GoogleTranslate(C163, ""en"", ""te"")"),"ఈ రోజు Uv సూచిక {name}")</f>
        <v>ఈ రోజు Uv సూచిక {name}</v>
      </c>
      <c r="BI163" s="7" t="str">
        <f>IFERROR(__xludf.DUMMYFUNCTION("GoogleTranslate(C163, ""en"", ""th"")"),"ดัชนีรังสียูวี {name} วันนี้")</f>
        <v>ดัชนีรังสียูวี {name} วันนี้</v>
      </c>
      <c r="BJ163" s="7" t="str">
        <f>IFERROR(__xludf.DUMMYFUNCTION("GoogleTranslate(C163, ""en"", ""tr"")"),"UV indeksi {name} bugün")</f>
        <v>UV indeksi {name} bugün</v>
      </c>
      <c r="BK163" s="7" t="str">
        <f>IFERROR(__xludf.DUMMYFUNCTION("GoogleTranslate(C163, ""en"", ""uk"")"),"УФ-індекс {name} сьогодні")</f>
        <v>УФ-індекс {name} сьогодні</v>
      </c>
      <c r="BL163" s="7" t="str">
        <f>IFERROR(__xludf.DUMMYFUNCTION("GoogleTranslate(C163, ""en"", ""zu"")"),"Inkomba ye-Uv {name} namuhla")</f>
        <v>Inkomba ye-Uv {name} namuhla</v>
      </c>
    </row>
    <row r="164">
      <c r="A164" s="5" t="str">
        <f t="shared" si="1"/>
        <v>World_Health_Organization_UVI</v>
      </c>
      <c r="B164" s="6" t="s">
        <v>219</v>
      </c>
      <c r="C164" s="5" t="str">
        <f t="shared" si="2"/>
        <v>World Health Organization UVI</v>
      </c>
      <c r="D164" s="7" t="str">
        <f>IFERROR(__xludf.DUMMYFUNCTION("GoogleTranslate(C164, ""en"", ""es"")"),"Organización Mundial de la Salud UVI")</f>
        <v>Organización Mundial de la Salud UVI</v>
      </c>
      <c r="E164" s="7" t="str">
        <f>IFERROR(__xludf.DUMMYFUNCTION("GoogleTranslate(C164, ""en"", ""ar"")"),"منظمة الصحة العالمية UVI")</f>
        <v>منظمة الصحة العالمية UVI</v>
      </c>
      <c r="F164" s="7" t="str">
        <f>IFERROR(__xludf.DUMMYFUNCTION("GoogleTranslate(C164, ""en"", ""hy"")"),"Առողջապահության համաշխարհային կազմակերպություն UVI")</f>
        <v>Առողջապահության համաշխարհային կազմակերպություն UVI</v>
      </c>
      <c r="G164" s="7" t="str">
        <f>IFERROR(__xludf.DUMMYFUNCTION("GoogleTranslate(C164, ""en"", ""vi"")"),"Tổ chức Y tế Thế giới UVI")</f>
        <v>Tổ chức Y tế Thế giới UVI</v>
      </c>
      <c r="H164" s="7" t="str">
        <f>IFERROR(__xludf.DUMMYFUNCTION("GoogleTranslate(C164, ""en"", ""az"")"),"Ümumdünya Səhiyyə Təşkilatı UVI")</f>
        <v>Ümumdünya Səhiyyə Təşkilatı UVI</v>
      </c>
      <c r="I164" s="7" t="str">
        <f>IFERROR(__xludf.DUMMYFUNCTION("GoogleTranslate(C164, ""en"", ""eu"")"),"Osasunaren Mundu Erakundea UVI")</f>
        <v>Osasunaren Mundu Erakundea UVI</v>
      </c>
      <c r="J164" s="7" t="str">
        <f>IFERROR(__xludf.DUMMYFUNCTION("GoogleTranslate(C164, ""en"", ""be"")"),"Сусветная арганізацыя аховы здароўя УФІ")</f>
        <v>Сусветная арганізацыя аховы здароўя УФІ</v>
      </c>
      <c r="K164" s="7" t="str">
        <f>IFERROR(__xludf.DUMMYFUNCTION("GoogleTranslate(C164, ""en"", ""bn"")"),"বিশ্ব স্বাস্থ্য সংস্থা UVI")</f>
        <v>বিশ্ব স্বাস্থ্য সংস্থা UVI</v>
      </c>
      <c r="L164" s="7" t="str">
        <f>IFERROR(__xludf.DUMMYFUNCTION("GoogleTranslate(C164, ""en"", ""bg"")"),"Световната здравна организация UVI")</f>
        <v>Световната здравна организация UVI</v>
      </c>
      <c r="M164" s="7" t="str">
        <f>IFERROR(__xludf.DUMMYFUNCTION("GoogleTranslate(C164, ""en"", ""my"")"),"ကမ္ဘာ့ကျန်းမာရေးအဖွဲ့ UVI")</f>
        <v>ကမ္ဘာ့ကျန်းမာရေးအဖွဲ့ UVI</v>
      </c>
      <c r="N164" s="7" t="str">
        <f>IFERROR(__xludf.DUMMYFUNCTION("GoogleTranslate(C164, ""en"", ""ca"")"),"Organització Mundial de la Salut UVI")</f>
        <v>Organització Mundial de la Salut UVI</v>
      </c>
      <c r="O164" s="7" t="str">
        <f>IFERROR(__xludf.DUMMYFUNCTION("GoogleTranslate(C164, ""en"", ""zh-cn"")"),"世界卫生组织 UVI")</f>
        <v>世界卫生组织 UVI</v>
      </c>
      <c r="P164" s="7" t="str">
        <f>IFERROR(__xludf.DUMMYFUNCTION("GoogleTranslate(C164, ""en"", ""zh-TW"")"),"世界衛生組織 UVI")</f>
        <v>世界衛生組織 UVI</v>
      </c>
      <c r="Q164" s="7" t="str">
        <f>IFERROR(__xludf.DUMMYFUNCTION("GoogleTranslate(C164, ""en"", ""hr"")"),"Svjetska zdravstvena organizacija UVI")</f>
        <v>Svjetska zdravstvena organizacija UVI</v>
      </c>
      <c r="R164" s="7" t="str">
        <f>IFERROR(__xludf.DUMMYFUNCTION("GoogleTranslate(C164, ""en"", ""cs"")"),"Světová zdravotnická organizace UVI")</f>
        <v>Světová zdravotnická organizace UVI</v>
      </c>
      <c r="S164" s="7" t="str">
        <f>IFERROR(__xludf.DUMMYFUNCTION("GoogleTranslate(C164, ""en"", ""da"")"),"Verdenssundhedsorganisationen UVI")</f>
        <v>Verdenssundhedsorganisationen UVI</v>
      </c>
      <c r="T164" s="7" t="str">
        <f>IFERROR(__xludf.DUMMYFUNCTION("GoogleTranslate(C164, ""en"", ""nl"")"),"Wereldgezondheidsorganisatie UVI")</f>
        <v>Wereldgezondheidsorganisatie UVI</v>
      </c>
      <c r="U164" s="7" t="str">
        <f>IFERROR(__xludf.DUMMYFUNCTION("GoogleTranslate(C164, ""en"", ""et"")"),"Maailma Terviseorganisatsioon UVI")</f>
        <v>Maailma Terviseorganisatsioon UVI</v>
      </c>
      <c r="V164" s="5" t="str">
        <f t="shared" si="3"/>
        <v>World Health Organization UVI</v>
      </c>
      <c r="W164" s="7" t="str">
        <f>IFERROR(__xludf.DUMMYFUNCTION("GoogleTranslate(C164, ""en"", ""fi"")"),"Maailman terveysjärjestön UVI")</f>
        <v>Maailman terveysjärjestön UVI</v>
      </c>
      <c r="X164" s="7" t="str">
        <f>IFERROR(__xludf.DUMMYFUNCTION("GoogleTranslate(C164, ""en"", ""fr"")"),"Organisation Mondiale de la Santé UVI")</f>
        <v>Organisation Mondiale de la Santé UVI</v>
      </c>
      <c r="Y164" s="7" t="str">
        <f>IFERROR(__xludf.DUMMYFUNCTION("GoogleTranslate(C164, ""en"", ""de"")"),"Weltgesundheitsorganisation UVI")</f>
        <v>Weltgesundheitsorganisation UVI</v>
      </c>
      <c r="Z164" s="7" t="str">
        <f>IFERROR(__xludf.DUMMYFUNCTION("GoogleTranslate(C164, ""en"", ""el"")"),"Παγκόσμιος Οργανισμός Υγείας UVI")</f>
        <v>Παγκόσμιος Οργανισμός Υγείας UVI</v>
      </c>
      <c r="AA164" s="7" t="str">
        <f>IFERROR(__xludf.DUMMYFUNCTION("GoogleTranslate(C164, ""en"", ""iw"")"),"ארגון הבריאות העולמי UVI")</f>
        <v>ארגון הבריאות העולמי UVI</v>
      </c>
      <c r="AB164" s="7" t="str">
        <f>IFERROR(__xludf.DUMMYFUNCTION("GoogleTranslate(C164, ""en"", ""hi"")"),"विश्व स्वास्थ्य संगठन यूवीआई")</f>
        <v>विश्व स्वास्थ्य संगठन यूवीआई</v>
      </c>
      <c r="AC164" s="7" t="str">
        <f>IFERROR(__xludf.DUMMYFUNCTION("GoogleTranslate(C164, ""en"", ""hu"")"),"Egészségügyi Világszervezet UVI")</f>
        <v>Egészségügyi Világszervezet UVI</v>
      </c>
      <c r="AD164" s="7" t="str">
        <f>IFERROR(__xludf.DUMMYFUNCTION("GoogleTranslate(C164, ""en"", ""is"")"),"Alþjóðaheilbrigðismálastofnunin UVI")</f>
        <v>Alþjóðaheilbrigðismálastofnunin UVI</v>
      </c>
      <c r="AE164" s="7" t="str">
        <f>IFERROR(__xludf.DUMMYFUNCTION("GoogleTranslate(C164, ""en"", ""id"")"),"Organisasi Kesehatan Dunia UVI")</f>
        <v>Organisasi Kesehatan Dunia UVI</v>
      </c>
      <c r="AF164" s="7" t="str">
        <f>IFERROR(__xludf.DUMMYFUNCTION("GoogleTranslate(C164, ""en"", ""in"")"),"Organisasi Kesehatan Dunia UVI")</f>
        <v>Organisasi Kesehatan Dunia UVI</v>
      </c>
      <c r="AG164" s="7" t="str">
        <f>IFERROR(__xludf.DUMMYFUNCTION("GoogleTranslate(C164, ""en"", ""it"")"),"Organizzazione Mondiale della Sanità UVI")</f>
        <v>Organizzazione Mondiale della Sanità UVI</v>
      </c>
      <c r="AH164" s="7" t="str">
        <f>IFERROR(__xludf.DUMMYFUNCTION("GoogleTranslate(C164, ""en"", ""ja"")"),"世界保健機関 UVI")</f>
        <v>世界保健機関 UVI</v>
      </c>
      <c r="AI164" s="7" t="str">
        <f>IFERROR(__xludf.DUMMYFUNCTION("GoogleTranslate(C164, ""en"", ""kn"")"),"ವಿಶ್ವ ಆರೋಗ್ಯ ಸಂಸ್ಥೆ UVI")</f>
        <v>ವಿಶ್ವ ಆರೋಗ್ಯ ಸಂಸ್ಥೆ UVI</v>
      </c>
      <c r="AJ164" s="7" t="str">
        <f>IFERROR(__xludf.DUMMYFUNCTION("GoogleTranslate(C164, ""en"", ""km"")"),"អង្គការសុខភាពពិភពលោក UVI")</f>
        <v>អង្គការសុខភាពពិភពលោក UVI</v>
      </c>
      <c r="AK164" s="7" t="str">
        <f>IFERROR(__xludf.DUMMYFUNCTION("GoogleTranslate(C164, ""en"", ""ko"")"),"세계보건기구 UVI")</f>
        <v>세계보건기구 UVI</v>
      </c>
      <c r="AL164" s="7" t="str">
        <f>IFERROR(__xludf.DUMMYFUNCTION("GoogleTranslate(C164, ""en"", ""lo"")"),"ອົງການອະນາໄມໂລກ UVI")</f>
        <v>ອົງການອະນາໄມໂລກ UVI</v>
      </c>
      <c r="AM164" s="7" t="str">
        <f>IFERROR(__xludf.DUMMYFUNCTION("GoogleTranslate(C164, ""en"", ""lv"")"),"Pasaules Veselības organizācija UVI")</f>
        <v>Pasaules Veselības organizācija UVI</v>
      </c>
      <c r="AN164" s="7" t="str">
        <f>IFERROR(__xludf.DUMMYFUNCTION("GoogleTranslate(C164, ""en"", ""lt"")"),"Pasaulio sveikatos organizacija UVI")</f>
        <v>Pasaulio sveikatos organizacija UVI</v>
      </c>
      <c r="AO164" s="7" t="str">
        <f>IFERROR(__xludf.DUMMYFUNCTION("GoogleTranslate(C164, ""en"", ""mk"")"),"Светската здравствена организација UVI")</f>
        <v>Светската здравствена организација UVI</v>
      </c>
      <c r="AP164" s="7" t="str">
        <f>IFERROR(__xludf.DUMMYFUNCTION("GoogleTranslate(C164, ""en"", ""ms"")"),"Pertubuhan Kesihatan Sedunia UVI")</f>
        <v>Pertubuhan Kesihatan Sedunia UVI</v>
      </c>
      <c r="AQ164" s="7" t="str">
        <f>IFERROR(__xludf.DUMMYFUNCTION("GoogleTranslate(C164, ""en"", ""ml"")"),"ലോകാരോഗ്യ സംഘടന യു.വി.ഐ")</f>
        <v>ലോകാരോഗ്യ സംഘടന യു.വി.ഐ</v>
      </c>
      <c r="AR164" s="7" t="str">
        <f>IFERROR(__xludf.DUMMYFUNCTION("GoogleTranslate(C164, ""en"", ""mr"")"),"जागतिक आरोग्य संघटना UVI")</f>
        <v>जागतिक आरोग्य संघटना UVI</v>
      </c>
      <c r="AS164" s="7" t="str">
        <f>IFERROR(__xludf.DUMMYFUNCTION("GoogleTranslate(C164, ""en"", ""mn"")"),"Дэлхийн эрүүл мэндийн байгууллага UVI")</f>
        <v>Дэлхийн эрүүл мэндийн байгууллага UVI</v>
      </c>
      <c r="AT164" s="7" t="str">
        <f>IFERROR(__xludf.DUMMYFUNCTION("GoogleTranslate(C164, ""en"", ""ne"")"),"विश्व स्वास्थ्य संगठन UVI")</f>
        <v>विश्व स्वास्थ्य संगठन UVI</v>
      </c>
      <c r="AU164" s="7" t="str">
        <f>IFERROR(__xludf.DUMMYFUNCTION("GoogleTranslate(C164, ""en"", ""nb"")"),"Verdens helseorganisasjon UVI")</f>
        <v>Verdens helseorganisasjon UVI</v>
      </c>
      <c r="AV164" s="7" t="str">
        <f>IFERROR(__xludf.DUMMYFUNCTION("GoogleTranslate(C164, ""en"", ""fa"")"),"سازمان جهانی بهداشت UVI")</f>
        <v>سازمان جهانی بهداشت UVI</v>
      </c>
      <c r="AW164" s="7" t="str">
        <f>IFERROR(__xludf.DUMMYFUNCTION("GoogleTranslate(C164, ""en"", ""pl"")"),"Światowa Organizacja Zdrowia UVI")</f>
        <v>Światowa Organizacja Zdrowia UVI</v>
      </c>
      <c r="AX164" s="7" t="str">
        <f>IFERROR(__xludf.DUMMYFUNCTION("GoogleTranslate(C164, ""en"", ""pt"")"),"UVI da Organização Mundial da Saúde")</f>
        <v>UVI da Organização Mundial da Saúde</v>
      </c>
      <c r="AY164" s="7" t="str">
        <f>IFERROR(__xludf.DUMMYFUNCTION("GoogleTranslate(C164, ""en"", ""ro"")"),"Organizația Mondială a Sănătății UVI")</f>
        <v>Organizația Mondială a Sănătății UVI</v>
      </c>
      <c r="AZ164" s="7" t="str">
        <f>IFERROR(__xludf.DUMMYFUNCTION("GoogleTranslate(C164, ""en"", ""ru"")"),"Всемирная организация здравоохранения УВИ")</f>
        <v>Всемирная организация здравоохранения УВИ</v>
      </c>
      <c r="BA164" s="7" t="str">
        <f>IFERROR(__xludf.DUMMYFUNCTION("GoogleTranslate(C164, ""en"", ""sr"")"),"Светска здравствена организација УВИ")</f>
        <v>Светска здравствена организација УВИ</v>
      </c>
      <c r="BB164" s="7" t="str">
        <f>IFERROR(__xludf.DUMMYFUNCTION("GoogleTranslate(C164, ""en"", ""si"")"),"ලෝක සෞඛ්ය සංවිධානය UVI")</f>
        <v>ලෝක සෞඛ්ය සංවිධානය UVI</v>
      </c>
      <c r="BC164" s="7" t="str">
        <f>IFERROR(__xludf.DUMMYFUNCTION("GoogleTranslate(C164, ""en"", ""sk"")"),"Svetová zdravotnícka organizácia UVI")</f>
        <v>Svetová zdravotnícka organizácia UVI</v>
      </c>
      <c r="BD164" s="7" t="str">
        <f>IFERROR(__xludf.DUMMYFUNCTION("GoogleTranslate(C164, ""en"", ""sl"")"),"Svetovna zdravstvena organizacija UVI")</f>
        <v>Svetovna zdravstvena organizacija UVI</v>
      </c>
      <c r="BE164" s="7" t="str">
        <f>IFERROR(__xludf.DUMMYFUNCTION("GoogleTranslate(C164, ""en"", ""es"")"),"Organización Mundial de la Salud UVI")</f>
        <v>Organización Mundial de la Salud UVI</v>
      </c>
      <c r="BF164" s="7" t="str">
        <f>IFERROR(__xludf.DUMMYFUNCTION("GoogleTranslate(C164, ""en"", ""sw"")"),"Shirika la Afya Duniani UV")</f>
        <v>Shirika la Afya Duniani UV</v>
      </c>
      <c r="BG164" s="7" t="str">
        <f>IFERROR(__xludf.DUMMYFUNCTION("GoogleTranslate(C164, ""en"", ""sv"")"),"Världshälsoorganisationen UVI")</f>
        <v>Världshälsoorganisationen UVI</v>
      </c>
      <c r="BH164" s="7" t="str">
        <f>IFERROR(__xludf.DUMMYFUNCTION("GoogleTranslate(C164, ""en"", ""te"")"),"ప్రపంచ ఆరోగ్య సంస్థ UVI")</f>
        <v>ప్రపంచ ఆరోగ్య సంస్థ UVI</v>
      </c>
      <c r="BI164" s="7" t="str">
        <f>IFERROR(__xludf.DUMMYFUNCTION("GoogleTranslate(C164, ""en"", ""th"")"),"UVI ขององค์การอนามัยโลก")</f>
        <v>UVI ขององค์การอนามัยโลก</v>
      </c>
      <c r="BJ164" s="7" t="str">
        <f>IFERROR(__xludf.DUMMYFUNCTION("GoogleTranslate(C164, ""en"", ""tr"")"),"Dünya Sağlık Örgütü UVI")</f>
        <v>Dünya Sağlık Örgütü UVI</v>
      </c>
      <c r="BK164" s="7" t="str">
        <f>IFERROR(__xludf.DUMMYFUNCTION("GoogleTranslate(C164, ""en"", ""uk"")"),"Всесвітня організація охорони здоров'я УФІ")</f>
        <v>Всесвітня організація охорони здоров'я УФІ</v>
      </c>
      <c r="BL164" s="7" t="str">
        <f>IFERROR(__xludf.DUMMYFUNCTION("GoogleTranslate(C164, ""en"", ""zu"")"),"I-UVI ye-World Health Organization")</f>
        <v>I-UVI ye-World Health Organization</v>
      </c>
    </row>
    <row r="165">
      <c r="A165" s="5" t="str">
        <f t="shared" si="1"/>
        <v>Uv_index_{name}_{number}_days</v>
      </c>
      <c r="B165" s="6" t="s">
        <v>220</v>
      </c>
      <c r="C165" s="5" t="str">
        <f t="shared" si="2"/>
        <v>Uv index {name} {number} days</v>
      </c>
      <c r="D165" s="7" t="str">
        <f>IFERROR(__xludf.DUMMYFUNCTION("GoogleTranslate(C165, ""en"", ""es"")"),"Índice ultravioleta {nombre} {número} días")</f>
        <v>Índice ultravioleta {nombre} {número} días</v>
      </c>
      <c r="E165" s="7" t="str">
        <f>IFERROR(__xludf.DUMMYFUNCTION("GoogleTranslate(C165, ""en"", ""ar"")"),"مؤشر الأشعة فوق البنفسجية {name} {number} يوم")</f>
        <v>مؤشر الأشعة فوق البنفسجية {name} {number} يوم</v>
      </c>
      <c r="F165" s="7" t="str">
        <f>IFERROR(__xludf.DUMMYFUNCTION("GoogleTranslate(C165, ""en"", ""hy"")"),"Uv ինդեքս {name} {number} օր")</f>
        <v>Uv ինդեքս {name} {number} օր</v>
      </c>
      <c r="G165" s="7" t="str">
        <f>IFERROR(__xludf.DUMMYFUNCTION("GoogleTranslate(C165, ""en"", ""vi"")"),"Chỉ số UV {name} {number} ngày")</f>
        <v>Chỉ số UV {name} {number} ngày</v>
      </c>
      <c r="H165" s="7" t="str">
        <f>IFERROR(__xludf.DUMMYFUNCTION("GoogleTranslate(C165, ""en"", ""az"")"),"UV indeksi {name} {sayı} gün")</f>
        <v>UV indeksi {name} {sayı} gün</v>
      </c>
      <c r="I165" s="7" t="str">
        <f>IFERROR(__xludf.DUMMYFUNCTION("GoogleTranslate(C165, ""en"", ""eu"")"),"Uv indizea {name} {number} egun")</f>
        <v>Uv indizea {name} {number} egun</v>
      </c>
      <c r="J165" s="7" t="str">
        <f>IFERROR(__xludf.DUMMYFUNCTION("GoogleTranslate(C165, ""en"", ""be"")"),"УФ-індэкс {name} {number} дзён")</f>
        <v>УФ-індэкс {name} {number} дзён</v>
      </c>
      <c r="K165" s="7" t="str">
        <f>IFERROR(__xludf.DUMMYFUNCTION("GoogleTranslate(C165, ""en"", ""bn"")"),"Uv সূচক {name} {number} দিন")</f>
        <v>Uv সূচক {name} {number} দিন</v>
      </c>
      <c r="L165" s="7" t="str">
        <f>IFERROR(__xludf.DUMMYFUNCTION("GoogleTranslate(C165, ""en"", ""bg"")"),"Uv индекс {name} {number} дни")</f>
        <v>Uv индекс {name} {number} дни</v>
      </c>
      <c r="M165" s="7" t="str">
        <f>IFERROR(__xludf.DUMMYFUNCTION("GoogleTranslate(C165, ""en"", ""my"")"),"Uv အညွှန်း {name} {number} ရက်")</f>
        <v>Uv အညွှန်း {name} {number} ရက်</v>
      </c>
      <c r="N165" s="7" t="str">
        <f>IFERROR(__xludf.DUMMYFUNCTION("GoogleTranslate(C165, ""en"", ""ca"")"),"Índex UV {nom} {nombre} dies")</f>
        <v>Índex UV {nom} {nombre} dies</v>
      </c>
      <c r="O165" s="7" t="str">
        <f>IFERROR(__xludf.DUMMYFUNCTION("GoogleTranslate(C165, ""en"", ""zh-cn"")"),"紫外线指数 {name} {number} 天")</f>
        <v>紫外线指数 {name} {number} 天</v>
      </c>
      <c r="P165" s="7" t="str">
        <f>IFERROR(__xludf.DUMMYFUNCTION("GoogleTranslate(C165, ""en"", ""zh-TW"")"),"紫外線指數 {name} {number} 天")</f>
        <v>紫外線指數 {name} {number} 天</v>
      </c>
      <c r="Q165" s="7" t="str">
        <f>IFERROR(__xludf.DUMMYFUNCTION("GoogleTranslate(C165, ""en"", ""hr"")"),"Uv indeks {name} {number} dana")</f>
        <v>Uv indeks {name} {number} dana</v>
      </c>
      <c r="R165" s="7" t="str">
        <f>IFERROR(__xludf.DUMMYFUNCTION("GoogleTranslate(C165, ""en"", ""cs"")"),"UV index {jméno} {počet} dní")</f>
        <v>UV index {jméno} {počet} dní</v>
      </c>
      <c r="S165" s="7" t="str">
        <f>IFERROR(__xludf.DUMMYFUNCTION("GoogleTranslate(C165, ""en"", ""da"")"),"Uv-indeks {name} {number} dage")</f>
        <v>Uv-indeks {name} {number} dage</v>
      </c>
      <c r="T165" s="7" t="str">
        <f>IFERROR(__xludf.DUMMYFUNCTION("GoogleTranslate(C165, ""en"", ""nl"")"),"UV-index {naam} {aantal} dagen")</f>
        <v>UV-index {naam} {aantal} dagen</v>
      </c>
      <c r="U165" s="7" t="str">
        <f>IFERROR(__xludf.DUMMYFUNCTION("GoogleTranslate(C165, ""en"", ""et"")"),"UV-indeks {name} {number} päeva")</f>
        <v>UV-indeks {name} {number} päeva</v>
      </c>
      <c r="V165" s="5" t="str">
        <f t="shared" si="3"/>
        <v>Uv index {name} {number} days</v>
      </c>
      <c r="W165" s="7" t="str">
        <f>IFERROR(__xludf.DUMMYFUNCTION("GoogleTranslate(C165, ""en"", ""fi"")"),"UV-indeksi {name} {number} päivää")</f>
        <v>UV-indeksi {name} {number} päivää</v>
      </c>
      <c r="X165" s="7" t="str">
        <f>IFERROR(__xludf.DUMMYFUNCTION("GoogleTranslate(C165, ""en"", ""fr"")"),"Indice Uv {nom} {nombre} jours")</f>
        <v>Indice Uv {nom} {nombre} jours</v>
      </c>
      <c r="Y165" s="7" t="str">
        <f>IFERROR(__xludf.DUMMYFUNCTION("GoogleTranslate(C165, ""en"", ""de"")"),"UV-Index {Name} {Anzahl} Tage")</f>
        <v>UV-Index {Name} {Anzahl} Tage</v>
      </c>
      <c r="Z165" s="7" t="str">
        <f>IFERROR(__xludf.DUMMYFUNCTION("GoogleTranslate(C165, ""en"", ""el"")"),"Δείκτης UV {όνομα} {αριθμός} ημέρες")</f>
        <v>Δείκτης UV {όνομα} {αριθμός} ημέρες</v>
      </c>
      <c r="AA165" s="7" t="str">
        <f>IFERROR(__xludf.DUMMYFUNCTION("GoogleTranslate(C165, ""en"", ""iw"")"),"אינדקס UV {name} {number} ימים")</f>
        <v>אינדקס UV {name} {number} ימים</v>
      </c>
      <c r="AB165" s="7" t="str">
        <f>IFERROR(__xludf.DUMMYFUNCTION("GoogleTranslate(C165, ""en"", ""hi"")"),"यूवी सूचकांक {नाम} {संख्या} दिन")</f>
        <v>यूवी सूचकांक {नाम} {संख्या} दिन</v>
      </c>
      <c r="AC165" s="7" t="str">
        <f>IFERROR(__xludf.DUMMYFUNCTION("GoogleTranslate(C165, ""en"", ""hu"")"),"UV index {name} {number} nap")</f>
        <v>UV index {name} {number} nap</v>
      </c>
      <c r="AD165" s="7" t="str">
        <f>IFERROR(__xludf.DUMMYFUNCTION("GoogleTranslate(C165, ""en"", ""is"")"),"UV vísitala {name} {number} dagar")</f>
        <v>UV vísitala {name} {number} dagar</v>
      </c>
      <c r="AE165" s="7" t="str">
        <f>IFERROR(__xludf.DUMMYFUNCTION("GoogleTranslate(C165, ""en"", ""id"")"),"Indeks UV {nama} {angka} hari")</f>
        <v>Indeks UV {nama} {angka} hari</v>
      </c>
      <c r="AF165" s="7" t="str">
        <f>IFERROR(__xludf.DUMMYFUNCTION("GoogleTranslate(C165, ""en"", ""in"")"),"Indeks UV {nama} {angka} hari")</f>
        <v>Indeks UV {nama} {angka} hari</v>
      </c>
      <c r="AG165" s="7" t="str">
        <f>IFERROR(__xludf.DUMMYFUNCTION("GoogleTranslate(C165, ""en"", ""it"")"),"Indice Uv {nome} {numero} giorni")</f>
        <v>Indice Uv {nome} {numero} giorni</v>
      </c>
      <c r="AH165" s="7" t="str">
        <f>IFERROR(__xludf.DUMMYFUNCTION("GoogleTranslate(C165, ""en"", ""ja"")"),"紫外線指数 {名前} {数値} 日")</f>
        <v>紫外線指数 {名前} {数値} 日</v>
      </c>
      <c r="AI165" s="7" t="str">
        <f>IFERROR(__xludf.DUMMYFUNCTION("GoogleTranslate(C165, ""en"", ""kn"")"),"ಯುವಿ ಸೂಚ್ಯಂಕ {name} {number} ದಿನಗಳು")</f>
        <v>ಯುವಿ ಸೂಚ್ಯಂಕ {name} {number} ದಿನಗಳು</v>
      </c>
      <c r="AJ165" s="7" t="str">
        <f>IFERROR(__xludf.DUMMYFUNCTION("GoogleTranslate(C165, ""en"", ""km"")"),"សន្ទស្សន៍ Uv {name} {number} ថ្ងៃ។")</f>
        <v>សន្ទស្សន៍ Uv {name} {number} ថ្ងៃ។</v>
      </c>
      <c r="AK165" s="7" t="str">
        <f>IFERROR(__xludf.DUMMYFUNCTION("GoogleTranslate(C165, ""en"", ""ko"")"),"자외선 지수 {name} {number}일")</f>
        <v>자외선 지수 {name} {number}일</v>
      </c>
      <c r="AL165" s="7" t="str">
        <f>IFERROR(__xludf.DUMMYFUNCTION("GoogleTranslate(C165, ""en"", ""lo"")"),"Uv index {name} {number} ມື້")</f>
        <v>Uv index {name} {number} ມື້</v>
      </c>
      <c r="AM165" s="7" t="str">
        <f>IFERROR(__xludf.DUMMYFUNCTION("GoogleTranslate(C165, ""en"", ""lv"")"),"UV indekss {name} {number} dienas")</f>
        <v>UV indekss {name} {number} dienas</v>
      </c>
      <c r="AN165" s="7" t="str">
        <f>IFERROR(__xludf.DUMMYFUNCTION("GoogleTranslate(C165, ""en"", ""lt"")"),"UV indeksas {name} {number} d")</f>
        <v>UV indeksas {name} {number} d</v>
      </c>
      <c r="AO165" s="7" t="str">
        <f>IFERROR(__xludf.DUMMYFUNCTION("GoogleTranslate(C165, ""en"", ""mk"")"),"УВ индекс {име} {број} дена")</f>
        <v>УВ индекс {име} {број} дена</v>
      </c>
      <c r="AP165" s="7" t="str">
        <f>IFERROR(__xludf.DUMMYFUNCTION("GoogleTranslate(C165, ""en"", ""ms"")"),"Indeks UV {nama} {number} hari")</f>
        <v>Indeks UV {nama} {number} hari</v>
      </c>
      <c r="AQ165" s="7" t="str">
        <f>IFERROR(__xludf.DUMMYFUNCTION("GoogleTranslate(C165, ""en"", ""ml"")"),"യുവി സൂചിക {name} {number} ദിവസം")</f>
        <v>യുവി സൂചിക {name} {number} ദിവസം</v>
      </c>
      <c r="AR165" s="7" t="str">
        <f>IFERROR(__xludf.DUMMYFUNCTION("GoogleTranslate(C165, ""en"", ""mr"")"),"Uv इंडेक्स {name} {number} दिवस")</f>
        <v>Uv इंडेक्स {name} {number} दिवस</v>
      </c>
      <c r="AS165" s="7" t="str">
        <f>IFERROR(__xludf.DUMMYFUNCTION("GoogleTranslate(C165, ""en"", ""mn"")"),"Хэт ягаан туяаны индекс {нэр} {тоо} хоног")</f>
        <v>Хэт ягаан туяаны индекс {нэр} {тоо} хоног</v>
      </c>
      <c r="AT165" s="7" t="str">
        <f>IFERROR(__xludf.DUMMYFUNCTION("GoogleTranslate(C165, ""en"", ""ne"")"),"Uv अनुक्रमणिका {name} {number} दिन")</f>
        <v>Uv अनुक्रमणिका {name} {number} दिन</v>
      </c>
      <c r="AU165" s="7" t="str">
        <f>IFERROR(__xludf.DUMMYFUNCTION("GoogleTranslate(C165, ""en"", ""nb"")"),"Uv-indeks {name} {number} dager")</f>
        <v>Uv-indeks {name} {number} dager</v>
      </c>
      <c r="AV165" s="7" t="str">
        <f>IFERROR(__xludf.DUMMYFUNCTION("GoogleTranslate(C165, ""en"", ""fa"")"),"شاخص UV {name} {number} روز")</f>
        <v>شاخص UV {name} {number} روز</v>
      </c>
      <c r="AW165" s="7" t="str">
        <f>IFERROR(__xludf.DUMMYFUNCTION("GoogleTranslate(C165, ""en"", ""pl"")"),"Indeks UV {nazwa} {liczba} dni")</f>
        <v>Indeks UV {nazwa} {liczba} dni</v>
      </c>
      <c r="AX165" s="7" t="str">
        <f>IFERROR(__xludf.DUMMYFUNCTION("GoogleTranslate(C165, ""en"", ""pt"")"),"Índice UV {nome} {número} dias")</f>
        <v>Índice UV {nome} {número} dias</v>
      </c>
      <c r="AY165" s="7" t="str">
        <f>IFERROR(__xludf.DUMMYFUNCTION("GoogleTranslate(C165, ""en"", ""ro"")"),"Index UV {name} {number} zile")</f>
        <v>Index UV {name} {number} zile</v>
      </c>
      <c r="AZ165" s="7" t="str">
        <f>IFERROR(__xludf.DUMMYFUNCTION("GoogleTranslate(C165, ""en"", ""ru"")"),"УФ-индекс {name} {number} дней")</f>
        <v>УФ-индекс {name} {number} дней</v>
      </c>
      <c r="BA165" s="7" t="str">
        <f>IFERROR(__xludf.DUMMYFUNCTION("GoogleTranslate(C165, ""en"", ""sr"")"),"Ув индекс {наме} {нумбер} дана")</f>
        <v>Ув индекс {наме} {нумбер} дана</v>
      </c>
      <c r="BB165" s="7" t="str">
        <f>IFERROR(__xludf.DUMMYFUNCTION("GoogleTranslate(C165, ""en"", ""si"")"),"Uv දර්ශකය දින {name} {number}")</f>
        <v>Uv දර්ශකය දින {name} {number}</v>
      </c>
      <c r="BC165" s="7" t="str">
        <f>IFERROR(__xludf.DUMMYFUNCTION("GoogleTranslate(C165, ""en"", ""sk"")"),"UV index {meno} {počet} dní")</f>
        <v>UV index {meno} {počet} dní</v>
      </c>
      <c r="BD165" s="7" t="str">
        <f>IFERROR(__xludf.DUMMYFUNCTION("GoogleTranslate(C165, ""en"", ""sl"")"),"Uv indeks {ime} {število} dni")</f>
        <v>Uv indeks {ime} {število} dni</v>
      </c>
      <c r="BE165" s="7" t="str">
        <f>IFERROR(__xludf.DUMMYFUNCTION("GoogleTranslate(C165, ""en"", ""es"")"),"Índice ultravioleta {nombre} {número} días")</f>
        <v>Índice ultravioleta {nombre} {número} días</v>
      </c>
      <c r="BF165" s="7" t="str">
        <f>IFERROR(__xludf.DUMMYFUNCTION("GoogleTranslate(C165, ""en"", ""sw"")"),"Faharasa ya UV {name} siku {number}")</f>
        <v>Faharasa ya UV {name} siku {number}</v>
      </c>
      <c r="BG165" s="7" t="str">
        <f>IFERROR(__xludf.DUMMYFUNCTION("GoogleTranslate(C165, ""en"", ""sv"")"),"Uv-index {name} {number} dagar")</f>
        <v>Uv-index {name} {number} dagar</v>
      </c>
      <c r="BH165" s="7" t="str">
        <f>IFERROR(__xludf.DUMMYFUNCTION("GoogleTranslate(C165, ""en"", ""te"")"),"Uv సూచిక {name} {number} రోజులు")</f>
        <v>Uv సూచిక {name} {number} రోజులు</v>
      </c>
      <c r="BI165" s="7" t="str">
        <f>IFERROR(__xludf.DUMMYFUNCTION("GoogleTranslate(C165, ""en"", ""th"")"),"ดัชนีรังสียูวี {name} {number} วัน")</f>
        <v>ดัชนีรังสียูวี {name} {number} วัน</v>
      </c>
      <c r="BJ165" s="7" t="str">
        <f>IFERROR(__xludf.DUMMYFUNCTION("GoogleTranslate(C165, ""en"", ""tr"")"),"UV indeksi {name} {number} gün")</f>
        <v>UV indeksi {name} {number} gün</v>
      </c>
      <c r="BK165" s="7" t="str">
        <f>IFERROR(__xludf.DUMMYFUNCTION("GoogleTranslate(C165, ""en"", ""uk"")"),"УФ-індекс {name} {кількість} днів")</f>
        <v>УФ-індекс {name} {кількість} днів</v>
      </c>
      <c r="BL165" s="7" t="str">
        <f>IFERROR(__xludf.DUMMYFUNCTION("GoogleTranslate(C165, ""en"", ""zu"")"),"Inkomba ye-Uv {name} {number} izinsuku")</f>
        <v>Inkomba ye-Uv {name} {number} izinsuku</v>
      </c>
    </row>
    <row r="166">
      <c r="A166" s="5" t="str">
        <f t="shared" si="1"/>
        <v>Settings</v>
      </c>
      <c r="B166" s="6" t="s">
        <v>221</v>
      </c>
      <c r="C166" s="5" t="str">
        <f t="shared" si="2"/>
        <v>Settings</v>
      </c>
      <c r="D166" s="7" t="str">
        <f>IFERROR(__xludf.DUMMYFUNCTION("GoogleTranslate(C166, ""en"", ""es"")"),"Ajustes")</f>
        <v>Ajustes</v>
      </c>
      <c r="E166" s="7" t="str">
        <f>IFERROR(__xludf.DUMMYFUNCTION("GoogleTranslate(C166, ""en"", ""ar"")"),"إعدادات")</f>
        <v>إعدادات</v>
      </c>
      <c r="F166" s="7" t="str">
        <f>IFERROR(__xludf.DUMMYFUNCTION("GoogleTranslate(C166, ""en"", ""hy"")"),"Կարգավորումներ")</f>
        <v>Կարգավորումներ</v>
      </c>
      <c r="G166" s="7" t="str">
        <f>IFERROR(__xludf.DUMMYFUNCTION("GoogleTranslate(C166, ""en"", ""vi"")"),"Cài đặt")</f>
        <v>Cài đặt</v>
      </c>
      <c r="H166" s="7" t="str">
        <f>IFERROR(__xludf.DUMMYFUNCTION("GoogleTranslate(C166, ""en"", ""az"")"),"Parametrlər")</f>
        <v>Parametrlər</v>
      </c>
      <c r="I166" s="7" t="str">
        <f>IFERROR(__xludf.DUMMYFUNCTION("GoogleTranslate(C166, ""en"", ""eu"")"),"Ezarpenak")</f>
        <v>Ezarpenak</v>
      </c>
      <c r="J166" s="7" t="str">
        <f>IFERROR(__xludf.DUMMYFUNCTION("GoogleTranslate(C166, ""en"", ""be"")"),"Налады")</f>
        <v>Налады</v>
      </c>
      <c r="K166" s="7" t="str">
        <f>IFERROR(__xludf.DUMMYFUNCTION("GoogleTranslate(C166, ""en"", ""bn"")"),"সেটিংস")</f>
        <v>সেটিংস</v>
      </c>
      <c r="L166" s="7" t="str">
        <f>IFERROR(__xludf.DUMMYFUNCTION("GoogleTranslate(C166, ""en"", ""bg"")"),"Настройки")</f>
        <v>Настройки</v>
      </c>
      <c r="M166" s="7" t="str">
        <f>IFERROR(__xludf.DUMMYFUNCTION("GoogleTranslate(C166, ""en"", ""my"")"),"ဆက်တင်များ")</f>
        <v>ဆက်တင်များ</v>
      </c>
      <c r="N166" s="7" t="str">
        <f>IFERROR(__xludf.DUMMYFUNCTION("GoogleTranslate(C166, ""en"", ""ca"")"),"Configuració")</f>
        <v>Configuració</v>
      </c>
      <c r="O166" s="7" t="str">
        <f>IFERROR(__xludf.DUMMYFUNCTION("GoogleTranslate(C166, ""en"", ""zh-cn"")"),"设置")</f>
        <v>设置</v>
      </c>
      <c r="P166" s="7" t="str">
        <f>IFERROR(__xludf.DUMMYFUNCTION("GoogleTranslate(C166, ""en"", ""zh-TW"")"),"設定")</f>
        <v>設定</v>
      </c>
      <c r="Q166" s="7" t="str">
        <f>IFERROR(__xludf.DUMMYFUNCTION("GoogleTranslate(C166, ""en"", ""hr"")"),"postavke")</f>
        <v>postavke</v>
      </c>
      <c r="R166" s="7" t="str">
        <f>IFERROR(__xludf.DUMMYFUNCTION("GoogleTranslate(C166, ""en"", ""cs"")"),"Nastavení")</f>
        <v>Nastavení</v>
      </c>
      <c r="S166" s="7" t="str">
        <f>IFERROR(__xludf.DUMMYFUNCTION("GoogleTranslate(C166, ""en"", ""da"")"),"Indstillinger")</f>
        <v>Indstillinger</v>
      </c>
      <c r="T166" s="7" t="str">
        <f>IFERROR(__xludf.DUMMYFUNCTION("GoogleTranslate(C166, ""en"", ""nl"")"),"Instellingen")</f>
        <v>Instellingen</v>
      </c>
      <c r="U166" s="7" t="str">
        <f>IFERROR(__xludf.DUMMYFUNCTION("GoogleTranslate(C166, ""en"", ""et"")"),"Seaded")</f>
        <v>Seaded</v>
      </c>
      <c r="V166" s="5" t="str">
        <f t="shared" si="3"/>
        <v>Settings</v>
      </c>
      <c r="W166" s="7" t="str">
        <f>IFERROR(__xludf.DUMMYFUNCTION("GoogleTranslate(C166, ""en"", ""fi"")"),"Asetukset")</f>
        <v>Asetukset</v>
      </c>
      <c r="X166" s="7" t="str">
        <f>IFERROR(__xludf.DUMMYFUNCTION("GoogleTranslate(C166, ""en"", ""fr"")"),"Paramètres")</f>
        <v>Paramètres</v>
      </c>
      <c r="Y166" s="7" t="str">
        <f>IFERROR(__xludf.DUMMYFUNCTION("GoogleTranslate(C166, ""en"", ""de"")"),"Einstellungen")</f>
        <v>Einstellungen</v>
      </c>
      <c r="Z166" s="7" t="str">
        <f>IFERROR(__xludf.DUMMYFUNCTION("GoogleTranslate(C166, ""en"", ""el"")"),"Ρυθμίσεις")</f>
        <v>Ρυθμίσεις</v>
      </c>
      <c r="AA166" s="7" t="str">
        <f>IFERROR(__xludf.DUMMYFUNCTION("GoogleTranslate(C166, ""en"", ""iw"")"),"הגדרות")</f>
        <v>הגדרות</v>
      </c>
      <c r="AB166" s="7" t="str">
        <f>IFERROR(__xludf.DUMMYFUNCTION("GoogleTranslate(C166, ""en"", ""hi"")"),"सेटिंग्स")</f>
        <v>सेटिंग्स</v>
      </c>
      <c r="AC166" s="7" t="str">
        <f>IFERROR(__xludf.DUMMYFUNCTION("GoogleTranslate(C166, ""en"", ""hu"")"),"Beállítások elemre")</f>
        <v>Beállítások elemre</v>
      </c>
      <c r="AD166" s="7" t="str">
        <f>IFERROR(__xludf.DUMMYFUNCTION("GoogleTranslate(C166, ""en"", ""is"")"),"Stillingar")</f>
        <v>Stillingar</v>
      </c>
      <c r="AE166" s="7" t="str">
        <f>IFERROR(__xludf.DUMMYFUNCTION("GoogleTranslate(C166, ""en"", ""id"")"),"Pengaturan")</f>
        <v>Pengaturan</v>
      </c>
      <c r="AF166" s="7" t="str">
        <f>IFERROR(__xludf.DUMMYFUNCTION("GoogleTranslate(C166, ""en"", ""in"")"),"Pengaturan")</f>
        <v>Pengaturan</v>
      </c>
      <c r="AG166" s="7" t="str">
        <f>IFERROR(__xludf.DUMMYFUNCTION("GoogleTranslate(C166, ""en"", ""it"")"),"Impostazioni")</f>
        <v>Impostazioni</v>
      </c>
      <c r="AH166" s="7" t="str">
        <f>IFERROR(__xludf.DUMMYFUNCTION("GoogleTranslate(C166, ""en"", ""ja"")"),"設定")</f>
        <v>設定</v>
      </c>
      <c r="AI166" s="7" t="str">
        <f>IFERROR(__xludf.DUMMYFUNCTION("GoogleTranslate(C166, ""en"", ""kn"")"),"ಸೆಟ್ಟಿಂಗ್‌ಗಳು")</f>
        <v>ಸೆಟ್ಟಿಂಗ್‌ಗಳು</v>
      </c>
      <c r="AJ166" s="7" t="str">
        <f>IFERROR(__xludf.DUMMYFUNCTION("GoogleTranslate(C166, ""en"", ""km"")"),"ការកំណត់")</f>
        <v>ការកំណត់</v>
      </c>
      <c r="AK166" s="7" t="str">
        <f>IFERROR(__xludf.DUMMYFUNCTION("GoogleTranslate(C166, ""en"", ""ko"")"),"설정")</f>
        <v>설정</v>
      </c>
      <c r="AL166" s="7" t="str">
        <f>IFERROR(__xludf.DUMMYFUNCTION("GoogleTranslate(C166, ""en"", ""lo"")"),"ການຕັ້ງຄ່າ")</f>
        <v>ການຕັ້ງຄ່າ</v>
      </c>
      <c r="AM166" s="7" t="str">
        <f>IFERROR(__xludf.DUMMYFUNCTION("GoogleTranslate(C166, ""en"", ""lv"")"),"Iestatījumi")</f>
        <v>Iestatījumi</v>
      </c>
      <c r="AN166" s="7" t="str">
        <f>IFERROR(__xludf.DUMMYFUNCTION("GoogleTranslate(C166, ""en"", ""lt"")"),"Nustatymai")</f>
        <v>Nustatymai</v>
      </c>
      <c r="AO166" s="7" t="str">
        <f>IFERROR(__xludf.DUMMYFUNCTION("GoogleTranslate(C166, ""en"", ""mk"")"),"Поставки")</f>
        <v>Поставки</v>
      </c>
      <c r="AP166" s="7" t="str">
        <f>IFERROR(__xludf.DUMMYFUNCTION("GoogleTranslate(C166, ""en"", ""ms"")"),"tetapan")</f>
        <v>tetapan</v>
      </c>
      <c r="AQ166" s="7" t="str">
        <f>IFERROR(__xludf.DUMMYFUNCTION("GoogleTranslate(C166, ""en"", ""ml"")"),"ക്രമീകരണങ്ങൾ")</f>
        <v>ക്രമീകരണങ്ങൾ</v>
      </c>
      <c r="AR166" s="7" t="str">
        <f>IFERROR(__xludf.DUMMYFUNCTION("GoogleTranslate(C166, ""en"", ""mr"")"),"सेटिंग्ज")</f>
        <v>सेटिंग्ज</v>
      </c>
      <c r="AS166" s="7" t="str">
        <f>IFERROR(__xludf.DUMMYFUNCTION("GoogleTranslate(C166, ""en"", ""mn"")"),"Тохиргоо")</f>
        <v>Тохиргоо</v>
      </c>
      <c r="AT166" s="7" t="str">
        <f>IFERROR(__xludf.DUMMYFUNCTION("GoogleTranslate(C166, ""en"", ""ne"")"),"सेटिङहरू")</f>
        <v>सेटिङहरू</v>
      </c>
      <c r="AU166" s="7" t="str">
        <f>IFERROR(__xludf.DUMMYFUNCTION("GoogleTranslate(C166, ""en"", ""nb"")"),"Innstillinger")</f>
        <v>Innstillinger</v>
      </c>
      <c r="AV166" s="7" t="str">
        <f>IFERROR(__xludf.DUMMYFUNCTION("GoogleTranslate(C166, ""en"", ""fa"")"),"تنظیمات")</f>
        <v>تنظیمات</v>
      </c>
      <c r="AW166" s="7" t="str">
        <f>IFERROR(__xludf.DUMMYFUNCTION("GoogleTranslate(C166, ""en"", ""pl"")"),"Ustawienia")</f>
        <v>Ustawienia</v>
      </c>
      <c r="AX166" s="7" t="str">
        <f>IFERROR(__xludf.DUMMYFUNCTION("GoogleTranslate(C166, ""en"", ""pt"")"),"Configurações")</f>
        <v>Configurações</v>
      </c>
      <c r="AY166" s="7" t="str">
        <f>IFERROR(__xludf.DUMMYFUNCTION("GoogleTranslate(C166, ""en"", ""ro"")"),"Setări")</f>
        <v>Setări</v>
      </c>
      <c r="AZ166" s="7" t="str">
        <f>IFERROR(__xludf.DUMMYFUNCTION("GoogleTranslate(C166, ""en"", ""ru"")"),"Настройки")</f>
        <v>Настройки</v>
      </c>
      <c r="BA166" s="7" t="str">
        <f>IFERROR(__xludf.DUMMYFUNCTION("GoogleTranslate(C166, ""en"", ""sr"")"),"Подешавања")</f>
        <v>Подешавања</v>
      </c>
      <c r="BB166" s="7" t="str">
        <f>IFERROR(__xludf.DUMMYFUNCTION("GoogleTranslate(C166, ""en"", ""si"")"),"සැකසීම්")</f>
        <v>සැකසීම්</v>
      </c>
      <c r="BC166" s="7" t="str">
        <f>IFERROR(__xludf.DUMMYFUNCTION("GoogleTranslate(C166, ""en"", ""sk"")"),"Nastavenia")</f>
        <v>Nastavenia</v>
      </c>
      <c r="BD166" s="7" t="str">
        <f>IFERROR(__xludf.DUMMYFUNCTION("GoogleTranslate(C166, ""en"", ""sl"")"),"nastavitve")</f>
        <v>nastavitve</v>
      </c>
      <c r="BE166" s="7" t="str">
        <f>IFERROR(__xludf.DUMMYFUNCTION("GoogleTranslate(C166, ""en"", ""es"")"),"Ajustes")</f>
        <v>Ajustes</v>
      </c>
      <c r="BF166" s="7" t="str">
        <f>IFERROR(__xludf.DUMMYFUNCTION("GoogleTranslate(C166, ""en"", ""sw"")"),"Mipangilio")</f>
        <v>Mipangilio</v>
      </c>
      <c r="BG166" s="7" t="str">
        <f>IFERROR(__xludf.DUMMYFUNCTION("GoogleTranslate(C166, ""en"", ""sv"")"),"Inställningar")</f>
        <v>Inställningar</v>
      </c>
      <c r="BH166" s="7" t="str">
        <f>IFERROR(__xludf.DUMMYFUNCTION("GoogleTranslate(C166, ""en"", ""te"")"),"సెట్టింగ్‌లు")</f>
        <v>సెట్టింగ్‌లు</v>
      </c>
      <c r="BI166" s="7" t="str">
        <f>IFERROR(__xludf.DUMMYFUNCTION("GoogleTranslate(C166, ""en"", ""th"")"),"การตั้งค่า")</f>
        <v>การตั้งค่า</v>
      </c>
      <c r="BJ166" s="7" t="str">
        <f>IFERROR(__xludf.DUMMYFUNCTION("GoogleTranslate(C166, ""en"", ""tr"")"),"Ayarlar")</f>
        <v>Ayarlar</v>
      </c>
      <c r="BK166" s="7" t="str">
        <f>IFERROR(__xludf.DUMMYFUNCTION("GoogleTranslate(C166, ""en"", ""uk"")"),"Налаштування")</f>
        <v>Налаштування</v>
      </c>
      <c r="BL166" s="7" t="str">
        <f>IFERROR(__xludf.DUMMYFUNCTION("GoogleTranslate(C166, ""en"", ""zu"")"),"Izilungiselelo")</f>
        <v>Izilungiselelo</v>
      </c>
    </row>
    <row r="167">
      <c r="A167" s="5" t="str">
        <f t="shared" si="1"/>
        <v>Unit_preferences_settings</v>
      </c>
      <c r="B167" s="6" t="s">
        <v>222</v>
      </c>
      <c r="C167" s="5" t="str">
        <f t="shared" si="2"/>
        <v>Unit preferences settings</v>
      </c>
      <c r="D167" s="7" t="str">
        <f>IFERROR(__xludf.DUMMYFUNCTION("GoogleTranslate(C167, ""en"", ""es"")"),"Configuración de preferencias de unidad")</f>
        <v>Configuración de preferencias de unidad</v>
      </c>
      <c r="E167" s="7" t="str">
        <f>IFERROR(__xludf.DUMMYFUNCTION("GoogleTranslate(C167, ""en"", ""ar"")"),"إعدادات تفضيلات الوحدة")</f>
        <v>إعدادات تفضيلات الوحدة</v>
      </c>
      <c r="F167" s="7" t="str">
        <f>IFERROR(__xludf.DUMMYFUNCTION("GoogleTranslate(C167, ""en"", ""hy"")"),"Միավորի նախապատվությունների կարգավորումներ")</f>
        <v>Միավորի նախապատվությունների կարգավորումներ</v>
      </c>
      <c r="G167" s="7" t="str">
        <f>IFERROR(__xludf.DUMMYFUNCTION("GoogleTranslate(C167, ""en"", ""vi"")"),"Cài đặt tùy chọn đơn vị")</f>
        <v>Cài đặt tùy chọn đơn vị</v>
      </c>
      <c r="H167" s="7" t="str">
        <f>IFERROR(__xludf.DUMMYFUNCTION("GoogleTranslate(C167, ""en"", ""az"")"),"Vahid üstünlükləri parametrləri")</f>
        <v>Vahid üstünlükləri parametrləri</v>
      </c>
      <c r="I167" s="7" t="str">
        <f>IFERROR(__xludf.DUMMYFUNCTION("GoogleTranslate(C167, ""en"", ""eu"")"),"Unitate-hobespenen ezarpenak")</f>
        <v>Unitate-hobespenen ezarpenak</v>
      </c>
      <c r="J167" s="7" t="str">
        <f>IFERROR(__xludf.DUMMYFUNCTION("GoogleTranslate(C167, ""en"", ""be"")"),"Налады параметраў адзінкі")</f>
        <v>Налады параметраў адзінкі</v>
      </c>
      <c r="K167" s="7" t="str">
        <f>IFERROR(__xludf.DUMMYFUNCTION("GoogleTranslate(C167, ""en"", ""bn"")"),"ইউনিট পছন্দ সেটিংস")</f>
        <v>ইউনিট পছন্দ সেটিংস</v>
      </c>
      <c r="L167" s="7" t="str">
        <f>IFERROR(__xludf.DUMMYFUNCTION("GoogleTranslate(C167, ""en"", ""bg"")"),"Настройки на предпочитанията на единиците")</f>
        <v>Настройки на предпочитанията на единиците</v>
      </c>
      <c r="M167" s="7" t="str">
        <f>IFERROR(__xludf.DUMMYFUNCTION("GoogleTranslate(C167, ""en"", ""my"")"),"ယူနစ် စိတ်ကြိုက် ဆက်တင်များ")</f>
        <v>ယူနစ် စိတ်ကြိုက် ဆက်တင်များ</v>
      </c>
      <c r="N167" s="7" t="str">
        <f>IFERROR(__xludf.DUMMYFUNCTION("GoogleTranslate(C167, ""en"", ""ca"")"),"Configuració de les preferències de la unitat")</f>
        <v>Configuració de les preferències de la unitat</v>
      </c>
      <c r="O167" s="7" t="str">
        <f>IFERROR(__xludf.DUMMYFUNCTION("GoogleTranslate(C167, ""en"", ""zh-cn"")"),"单位首选项设置")</f>
        <v>单位首选项设置</v>
      </c>
      <c r="P167" s="7" t="str">
        <f>IFERROR(__xludf.DUMMYFUNCTION("GoogleTranslate(C167, ""en"", ""zh-TW"")"),"單位首選項設定")</f>
        <v>單位首選項設定</v>
      </c>
      <c r="Q167" s="7" t="str">
        <f>IFERROR(__xludf.DUMMYFUNCTION("GoogleTranslate(C167, ""en"", ""hr"")"),"Postavke preferencije jedinice")</f>
        <v>Postavke preferencije jedinice</v>
      </c>
      <c r="R167" s="7" t="str">
        <f>IFERROR(__xludf.DUMMYFUNCTION("GoogleTranslate(C167, ""en"", ""cs"")"),"Nastavení předvoleb jednotky")</f>
        <v>Nastavení předvoleb jednotky</v>
      </c>
      <c r="S167" s="7" t="str">
        <f>IFERROR(__xludf.DUMMYFUNCTION("GoogleTranslate(C167, ""en"", ""da"")"),"Indstillinger for enhedspræferencer")</f>
        <v>Indstillinger for enhedspræferencer</v>
      </c>
      <c r="T167" s="7" t="str">
        <f>IFERROR(__xludf.DUMMYFUNCTION("GoogleTranslate(C167, ""en"", ""nl"")"),"Instellingen voor eenheidsvoorkeuren")</f>
        <v>Instellingen voor eenheidsvoorkeuren</v>
      </c>
      <c r="U167" s="7" t="str">
        <f>IFERROR(__xludf.DUMMYFUNCTION("GoogleTranslate(C167, ""en"", ""et"")"),"Ühiku eelistuste seaded")</f>
        <v>Ühiku eelistuste seaded</v>
      </c>
      <c r="V167" s="5" t="str">
        <f t="shared" si="3"/>
        <v>Unit preferences settings</v>
      </c>
      <c r="W167" s="7" t="str">
        <f>IFERROR(__xludf.DUMMYFUNCTION("GoogleTranslate(C167, ""en"", ""fi"")"),"Yksikköasetusten asetukset")</f>
        <v>Yksikköasetusten asetukset</v>
      </c>
      <c r="X167" s="7" t="str">
        <f>IFERROR(__xludf.DUMMYFUNCTION("GoogleTranslate(C167, ""en"", ""fr"")"),"Paramètres des préférences d'unité")</f>
        <v>Paramètres des préférences d'unité</v>
      </c>
      <c r="Y167" s="7" t="str">
        <f>IFERROR(__xludf.DUMMYFUNCTION("GoogleTranslate(C167, ""en"", ""de"")"),"Einstellungen der Einheitenpräferenzen")</f>
        <v>Einstellungen der Einheitenpräferenzen</v>
      </c>
      <c r="Z167" s="7" t="str">
        <f>IFERROR(__xludf.DUMMYFUNCTION("GoogleTranslate(C167, ""en"", ""el"")"),"Ρυθμίσεις προτιμήσεων μονάδας")</f>
        <v>Ρυθμίσεις προτιμήσεων μονάδας</v>
      </c>
      <c r="AA167" s="7" t="str">
        <f>IFERROR(__xludf.DUMMYFUNCTION("GoogleTranslate(C167, ""en"", ""iw"")"),"הגדרות העדפות יחידה")</f>
        <v>הגדרות העדפות יחידה</v>
      </c>
      <c r="AB167" s="7" t="str">
        <f>IFERROR(__xludf.DUMMYFUNCTION("GoogleTranslate(C167, ""en"", ""hi"")"),"इकाई प्राथमिकताएँ सेटिंग्स")</f>
        <v>इकाई प्राथमिकताएँ सेटिंग्स</v>
      </c>
      <c r="AC167" s="7" t="str">
        <f>IFERROR(__xludf.DUMMYFUNCTION("GoogleTranslate(C167, ""en"", ""hu"")"),"Egységbeállítások beállításai")</f>
        <v>Egységbeállítások beállításai</v>
      </c>
      <c r="AD167" s="7" t="str">
        <f>IFERROR(__xludf.DUMMYFUNCTION("GoogleTranslate(C167, ""en"", ""is"")"),"Stillingar einingastillinga")</f>
        <v>Stillingar einingastillinga</v>
      </c>
      <c r="AE167" s="7" t="str">
        <f>IFERROR(__xludf.DUMMYFUNCTION("GoogleTranslate(C167, ""en"", ""id"")"),"Pengaturan preferensi unit")</f>
        <v>Pengaturan preferensi unit</v>
      </c>
      <c r="AF167" s="7" t="str">
        <f>IFERROR(__xludf.DUMMYFUNCTION("GoogleTranslate(C167, ""en"", ""in"")"),"Pengaturan preferensi unit")</f>
        <v>Pengaturan preferensi unit</v>
      </c>
      <c r="AG167" s="7" t="str">
        <f>IFERROR(__xludf.DUMMYFUNCTION("GoogleTranslate(C167, ""en"", ""it"")"),"Impostazioni delle preferenze dell'unità")</f>
        <v>Impostazioni delle preferenze dell'unità</v>
      </c>
      <c r="AH167" s="7" t="str">
        <f>IFERROR(__xludf.DUMMYFUNCTION("GoogleTranslate(C167, ""en"", ""ja"")"),"ユニットの基本設定")</f>
        <v>ユニットの基本設定</v>
      </c>
      <c r="AI167" s="7" t="str">
        <f>IFERROR(__xludf.DUMMYFUNCTION("GoogleTranslate(C167, ""en"", ""kn"")"),"ಘಟಕದ ಆದ್ಯತೆಗಳ ಸೆಟ್ಟಿಂಗ್‌ಗಳು")</f>
        <v>ಘಟಕದ ಆದ್ಯತೆಗಳ ಸೆಟ್ಟಿಂಗ್‌ಗಳು</v>
      </c>
      <c r="AJ167" s="7" t="str">
        <f>IFERROR(__xludf.DUMMYFUNCTION("GoogleTranslate(C167, ""en"", ""km"")"),"ការកំណត់ចំណូលចិត្តឯកតា")</f>
        <v>ការកំណត់ចំណូលចិត្តឯកតា</v>
      </c>
      <c r="AK167" s="7" t="str">
        <f>IFERROR(__xludf.DUMMYFUNCTION("GoogleTranslate(C167, ""en"", ""ko"")"),"단위 기본 설정")</f>
        <v>단위 기본 설정</v>
      </c>
      <c r="AL167" s="7" t="str">
        <f>IFERROR(__xludf.DUMMYFUNCTION("GoogleTranslate(C167, ""en"", ""lo"")"),"ການຕັ້ງຄ່າຫົວໜ່ວຍ")</f>
        <v>ການຕັ້ງຄ່າຫົວໜ່ວຍ</v>
      </c>
      <c r="AM167" s="7" t="str">
        <f>IFERROR(__xludf.DUMMYFUNCTION("GoogleTranslate(C167, ""en"", ""lv"")"),"Vienības preferenču iestatījumi")</f>
        <v>Vienības preferenču iestatījumi</v>
      </c>
      <c r="AN167" s="7" t="str">
        <f>IFERROR(__xludf.DUMMYFUNCTION("GoogleTranslate(C167, ""en"", ""lt"")"),"Vieneto nuostatų nustatymai")</f>
        <v>Vieneto nuostatų nustatymai</v>
      </c>
      <c r="AO167" s="7" t="str">
        <f>IFERROR(__xludf.DUMMYFUNCTION("GoogleTranslate(C167, ""en"", ""mk"")"),"Поставки за параметри на единицата")</f>
        <v>Поставки за параметри на единицата</v>
      </c>
      <c r="AP167" s="7" t="str">
        <f>IFERROR(__xludf.DUMMYFUNCTION("GoogleTranslate(C167, ""en"", ""ms"")"),"Tetapan keutamaan unit")</f>
        <v>Tetapan keutamaan unit</v>
      </c>
      <c r="AQ167" s="7" t="str">
        <f>IFERROR(__xludf.DUMMYFUNCTION("GoogleTranslate(C167, ""en"", ""ml"")"),"യൂണിറ്റ് മുൻഗണനകൾ ക്രമീകരണം")</f>
        <v>യൂണിറ്റ് മുൻഗണനകൾ ക്രമീകരണം</v>
      </c>
      <c r="AR167" s="7" t="str">
        <f>IFERROR(__xludf.DUMMYFUNCTION("GoogleTranslate(C167, ""en"", ""mr"")"),"युनिट प्राधान्ये सेटिंग्ज")</f>
        <v>युनिट प्राधान्ये सेटिंग्ज</v>
      </c>
      <c r="AS167" s="7" t="str">
        <f>IFERROR(__xludf.DUMMYFUNCTION("GoogleTranslate(C167, ""en"", ""mn"")"),"Нэгжийн тохиргооны тохиргоо")</f>
        <v>Нэгжийн тохиргооны тохиргоо</v>
      </c>
      <c r="AT167" s="7" t="str">
        <f>IFERROR(__xludf.DUMMYFUNCTION("GoogleTranslate(C167, ""en"", ""ne"")"),"एकाइ प्राथमिकता सेटिङहरू")</f>
        <v>एकाइ प्राथमिकता सेटिङहरू</v>
      </c>
      <c r="AU167" s="7" t="str">
        <f>IFERROR(__xludf.DUMMYFUNCTION("GoogleTranslate(C167, ""en"", ""nb"")"),"Innstillinger for enhetspreferanser")</f>
        <v>Innstillinger for enhetspreferanser</v>
      </c>
      <c r="AV167" s="7" t="str">
        <f>IFERROR(__xludf.DUMMYFUNCTION("GoogleTranslate(C167, ""en"", ""fa"")"),"تنظیمات برگزیده واحد")</f>
        <v>تنظیمات برگزیده واحد</v>
      </c>
      <c r="AW167" s="7" t="str">
        <f>IFERROR(__xludf.DUMMYFUNCTION("GoogleTranslate(C167, ""en"", ""pl"")"),"Ustawienia preferencji jednostek")</f>
        <v>Ustawienia preferencji jednostek</v>
      </c>
      <c r="AX167" s="7" t="str">
        <f>IFERROR(__xludf.DUMMYFUNCTION("GoogleTranslate(C167, ""en"", ""pt"")"),"Configurações de preferências de unidade")</f>
        <v>Configurações de preferências de unidade</v>
      </c>
      <c r="AY167" s="7" t="str">
        <f>IFERROR(__xludf.DUMMYFUNCTION("GoogleTranslate(C167, ""en"", ""ro"")"),"Setările preferințelor unității")</f>
        <v>Setările preferințelor unității</v>
      </c>
      <c r="AZ167" s="7" t="str">
        <f>IFERROR(__xludf.DUMMYFUNCTION("GoogleTranslate(C167, ""en"", ""ru"")"),"Настройки предпочтений юнитов")</f>
        <v>Настройки предпочтений юнитов</v>
      </c>
      <c r="BA167" s="7" t="str">
        <f>IFERROR(__xludf.DUMMYFUNCTION("GoogleTranslate(C167, ""en"", ""sr"")"),"Подешавања подешавања јединице")</f>
        <v>Подешавања подешавања јединице</v>
      </c>
      <c r="BB167" s="7" t="str">
        <f>IFERROR(__xludf.DUMMYFUNCTION("GoogleTranslate(C167, ""en"", ""si"")"),"ඒකක මනාප සැකසුම්")</f>
        <v>ඒකක මනාප සැකසුම්</v>
      </c>
      <c r="BC167" s="7" t="str">
        <f>IFERROR(__xludf.DUMMYFUNCTION("GoogleTranslate(C167, ""en"", ""sk"")"),"Nastavenia preferencií jednotky")</f>
        <v>Nastavenia preferencií jednotky</v>
      </c>
      <c r="BD167" s="7" t="str">
        <f>IFERROR(__xludf.DUMMYFUNCTION("GoogleTranslate(C167, ""en"", ""sl"")"),"Nastavitve preferenc enote")</f>
        <v>Nastavitve preferenc enote</v>
      </c>
      <c r="BE167" s="7" t="str">
        <f>IFERROR(__xludf.DUMMYFUNCTION("GoogleTranslate(C167, ""en"", ""es"")"),"Configuración de preferencias de unidad")</f>
        <v>Configuración de preferencias de unidad</v>
      </c>
      <c r="BF167" s="7" t="str">
        <f>IFERROR(__xludf.DUMMYFUNCTION("GoogleTranslate(C167, ""en"", ""sw"")"),"Mipangilio ya mapendeleo ya kitengo")</f>
        <v>Mipangilio ya mapendeleo ya kitengo</v>
      </c>
      <c r="BG167" s="7" t="str">
        <f>IFERROR(__xludf.DUMMYFUNCTION("GoogleTranslate(C167, ""en"", ""sv"")"),"Inställningar för enhetspreferenser")</f>
        <v>Inställningar för enhetspreferenser</v>
      </c>
      <c r="BH167" s="7" t="str">
        <f>IFERROR(__xludf.DUMMYFUNCTION("GoogleTranslate(C167, ""en"", ""te"")"),"యూనిట్ ప్రాధాన్యతల సెట్టింగ్‌లు")</f>
        <v>యూనిట్ ప్రాధాన్యతల సెట్టింగ్‌లు</v>
      </c>
      <c r="BI167" s="7" t="str">
        <f>IFERROR(__xludf.DUMMYFUNCTION("GoogleTranslate(C167, ""en"", ""th"")"),"การตั้งค่าการตั้งค่าหน่วย")</f>
        <v>การตั้งค่าการตั้งค่าหน่วย</v>
      </c>
      <c r="BJ167" s="7" t="str">
        <f>IFERROR(__xludf.DUMMYFUNCTION("GoogleTranslate(C167, ""en"", ""tr"")"),"Birim tercihleri ​​ayarları")</f>
        <v>Birim tercihleri ​​ayarları</v>
      </c>
      <c r="BK167" s="7" t="str">
        <f>IFERROR(__xludf.DUMMYFUNCTION("GoogleTranslate(C167, ""en"", ""uk"")"),"Налаштування параметрів одиниць")</f>
        <v>Налаштування параметрів одиниць</v>
      </c>
      <c r="BL167" s="7" t="str">
        <f>IFERROR(__xludf.DUMMYFUNCTION("GoogleTranslate(C167, ""en"", ""zu"")"),"Izilungiselelo zokuncamela amayunithi")</f>
        <v>Izilungiselelo zokuncamela amayunithi</v>
      </c>
    </row>
    <row r="168">
      <c r="A168" s="5" t="str">
        <f t="shared" si="1"/>
        <v>We_want_to_make_sure_you_have_the_best_experiences_while_using_out_app</v>
      </c>
      <c r="B168" s="6" t="s">
        <v>223</v>
      </c>
      <c r="C168" s="5" t="str">
        <f t="shared" si="2"/>
        <v>We want to make sure you have the best experiences while using out app</v>
      </c>
      <c r="D168" s="7" t="str">
        <f>IFERROR(__xludf.DUMMYFUNCTION("GoogleTranslate(C168, ""en"", ""es"")"),"Queremos asegurarnos de que tengas las mejores experiencias mientras usas nuestra aplicación.")</f>
        <v>Queremos asegurarnos de que tengas las mejores experiencias mientras usas nuestra aplicación.</v>
      </c>
      <c r="E168" s="7" t="str">
        <f>IFERROR(__xludf.DUMMYFUNCTION("GoogleTranslate(C168, ""en"", ""ar"")"),"نريد أن نتأكد من حصولك على أفضل التجارب أثناء استخدام التطبيق")</f>
        <v>نريد أن نتأكد من حصولك على أفضل التجارب أثناء استخدام التطبيق</v>
      </c>
      <c r="F168" s="7" t="str">
        <f>IFERROR(__xludf.DUMMYFUNCTION("GoogleTranslate(C168, ""en"", ""hy"")"),"Մենք ցանկանում ենք համոզվել, որ դուք ունեք լավագույն փորձը հավելվածից օգտվելիս")</f>
        <v>Մենք ցանկանում ենք համոզվել, որ դուք ունեք լավագույն փորձը հավելվածից օգտվելիս</v>
      </c>
      <c r="G168" s="7" t="str">
        <f>IFERROR(__xludf.DUMMYFUNCTION("GoogleTranslate(C168, ""en"", ""vi"")"),"Chúng tôi muốn đảm bảo bạn có những trải nghiệm tốt nhất khi sử dụng ứng dụng")</f>
        <v>Chúng tôi muốn đảm bảo bạn có những trải nghiệm tốt nhất khi sử dụng ứng dụng</v>
      </c>
      <c r="H168" s="7" t="str">
        <f>IFERROR(__xludf.DUMMYFUNCTION("GoogleTranslate(C168, ""en"", ""az"")"),"Tətbiqdən istifadə edərkən ən yaxşı təcrübələrə sahib olduğunuzdan əmin olmaq istəyirik")</f>
        <v>Tətbiqdən istifadə edərkən ən yaxşı təcrübələrə sahib olduğunuzdan əmin olmaq istəyirik</v>
      </c>
      <c r="I168" s="7" t="str">
        <f>IFERROR(__xludf.DUMMYFUNCTION("GoogleTranslate(C168, ""en"", ""eu"")"),"Aplikazioa erabiltzen duzun bitartean esperientzia onenak dituzula ziurtatu nahi dugu")</f>
        <v>Aplikazioa erabiltzen duzun bitartean esperientzia onenak dituzula ziurtatu nahi dugu</v>
      </c>
      <c r="J168" s="7" t="str">
        <f>IFERROR(__xludf.DUMMYFUNCTION("GoogleTranslate(C168, ""en"", ""be"")"),"Мы хочам пераканацца, што вы карыстаецеся нашым дадаткам як мага лепш")</f>
        <v>Мы хочам пераканацца, што вы карыстаецеся нашым дадаткам як мага лепш</v>
      </c>
      <c r="K168" s="7" t="str">
        <f>IFERROR(__xludf.DUMMYFUNCTION("GoogleTranslate(C168, ""en"", ""bn"")"),"আমরা নিশ্চিত করতে চাই যে অ্যাপটি ব্যবহার করার সময় আপনার কাছে সেরা অভিজ্ঞতা রয়েছে")</f>
        <v>আমরা নিশ্চিত করতে চাই যে অ্যাপটি ব্যবহার করার সময় আপনার কাছে সেরা অভিজ্ঞতা রয়েছে</v>
      </c>
      <c r="L168" s="7" t="str">
        <f>IFERROR(__xludf.DUMMYFUNCTION("GoogleTranslate(C168, ""en"", ""bg"")"),"Искаме да сме сигурни, че имате най-добрите изживявания, докато използвате нашето приложение")</f>
        <v>Искаме да сме сигурни, че имате най-добрите изживявания, докато използвате нашето приложение</v>
      </c>
      <c r="M168" s="7" t="str">
        <f>IFERROR(__xludf.DUMMYFUNCTION("GoogleTranslate(C168, ""en"", ""my"")"),"အက်ပ်ကို အသုံးပြုနေစဉ်တွင် သင့်တွင် အကောင်းဆုံး အတွေ့အကြုံများ ရရှိကြောင်း သေချာစေလိုပါသည်။")</f>
        <v>အက်ပ်ကို အသုံးပြုနေစဉ်တွင် သင့်တွင် အကောင်းဆုံး အတွေ့အကြုံများ ရရှိကြောင်း သေချာစေလိုပါသည်။</v>
      </c>
      <c r="N168" s="7" t="str">
        <f>IFERROR(__xludf.DUMMYFUNCTION("GoogleTranslate(C168, ""en"", ""ca"")"),"Volem assegurar-nos que tingueu les millors experiències mentre feu servir l'aplicació")</f>
        <v>Volem assegurar-nos que tingueu les millors experiències mentre feu servir l'aplicació</v>
      </c>
      <c r="O168" s="7" t="str">
        <f>IFERROR(__xludf.DUMMYFUNCTION("GoogleTranslate(C168, ""en"", ""zh-cn"")"),"我们希望确保您在使用我们的应用程序时获得最佳体验")</f>
        <v>我们希望确保您在使用我们的应用程序时获得最佳体验</v>
      </c>
      <c r="P168" s="7" t="str">
        <f>IFERROR(__xludf.DUMMYFUNCTION("GoogleTranslate(C168, ""en"", ""zh-TW"")"),"我們希望確保您在使用我們的應用程式時獲得最佳體驗")</f>
        <v>我們希望確保您在使用我們的應用程式時獲得最佳體驗</v>
      </c>
      <c r="Q168" s="7" t="str">
        <f>IFERROR(__xludf.DUMMYFUNCTION("GoogleTranslate(C168, ""en"", ""hr"")"),"Želimo biti sigurni da imate najbolja iskustva dok koristite našu aplikaciju")</f>
        <v>Želimo biti sigurni da imate najbolja iskustva dok koristite našu aplikaciju</v>
      </c>
      <c r="R168" s="7" t="str">
        <f>IFERROR(__xludf.DUMMYFUNCTION("GoogleTranslate(C168, ""en"", ""cs"")"),"Chceme se ujistit, že při používání aplikace budete mít ty nejlepší zážitky")</f>
        <v>Chceme se ujistit, že při používání aplikace budete mít ty nejlepší zážitky</v>
      </c>
      <c r="S168" s="7" t="str">
        <f>IFERROR(__xludf.DUMMYFUNCTION("GoogleTranslate(C168, ""en"", ""da"")"),"Vi vil gerne sikre dig, at du får de bedste oplevelser, mens du bruger appen")</f>
        <v>Vi vil gerne sikre dig, at du får de bedste oplevelser, mens du bruger appen</v>
      </c>
      <c r="T168" s="7" t="str">
        <f>IFERROR(__xludf.DUMMYFUNCTION("GoogleTranslate(C168, ""en"", ""nl"")"),"We willen ervoor zorgen dat u de beste ervaringen heeft tijdens het gebruik van onze app")</f>
        <v>We willen ervoor zorgen dat u de beste ervaringen heeft tijdens het gebruik van onze app</v>
      </c>
      <c r="U168" s="7" t="str">
        <f>IFERROR(__xludf.DUMMYFUNCTION("GoogleTranslate(C168, ""en"", ""et"")"),"Soovime tagada, et teil oleks rakenduse kasutamisel parim kogemus")</f>
        <v>Soovime tagada, et teil oleks rakenduse kasutamisel parim kogemus</v>
      </c>
      <c r="V168" s="5" t="str">
        <f t="shared" si="3"/>
        <v>We want to make sure you have the best experiences while using out app</v>
      </c>
      <c r="W168" s="7" t="str">
        <f>IFERROR(__xludf.DUMMYFUNCTION("GoogleTranslate(C168, ""en"", ""fi"")"),"Haluamme varmistaa, että sinulla on parhaat kokemukset käyttäessäsi sovellusta")</f>
        <v>Haluamme varmistaa, että sinulla on parhaat kokemukset käyttäessäsi sovellusta</v>
      </c>
      <c r="X168" s="7" t="str">
        <f>IFERROR(__xludf.DUMMYFUNCTION("GoogleTranslate(C168, ""en"", ""fr"")"),"Nous voulons nous assurer que vous vivez la meilleure expérience possible lorsque vous utilisez notre application.")</f>
        <v>Nous voulons nous assurer que vous vivez la meilleure expérience possible lorsque vous utilisez notre application.</v>
      </c>
      <c r="Y168" s="7" t="str">
        <f>IFERROR(__xludf.DUMMYFUNCTION("GoogleTranslate(C168, ""en"", ""de"")"),"Wir möchten sicherstellen, dass Sie bei der Nutzung unserer App das beste Erlebnis haben")</f>
        <v>Wir möchten sicherstellen, dass Sie bei der Nutzung unserer App das beste Erlebnis haben</v>
      </c>
      <c r="Z168" s="7" t="str">
        <f>IFERROR(__xludf.DUMMYFUNCTION("GoogleTranslate(C168, ""en"", ""el"")"),"Θέλουμε να βεβαιωθούμε ότι έχετε τις καλύτερες εμπειρίες κατά τη χρήση της εφαρμογής")</f>
        <v>Θέλουμε να βεβαιωθούμε ότι έχετε τις καλύτερες εμπειρίες κατά τη χρήση της εφαρμογής</v>
      </c>
      <c r="AA168" s="7" t="str">
        <f>IFERROR(__xludf.DUMMYFUNCTION("GoogleTranslate(C168, ""en"", ""iw"")"),"אנחנו רוצים לוודא שיש לך את החוויות הטובות ביותר בזמן השימוש באפליקציית Out")</f>
        <v>אנחנו רוצים לוודא שיש לך את החוויות הטובות ביותר בזמן השימוש באפליקציית Out</v>
      </c>
      <c r="AB168" s="7" t="str">
        <f>IFERROR(__xludf.DUMMYFUNCTION("GoogleTranslate(C168, ""en"", ""hi"")"),"हम यह सुनिश्चित करना चाहते हैं कि ऐप का उपयोग करते समय आपको सर्वोत्तम अनुभव मिले")</f>
        <v>हम यह सुनिश्चित करना चाहते हैं कि ऐप का उपयोग करते समय आपको सर्वोत्तम अनुभव मिले</v>
      </c>
      <c r="AC168" s="7" t="str">
        <f>IFERROR(__xludf.DUMMYFUNCTION("GoogleTranslate(C168, ""en"", ""hu"")"),"Biztosak akarunk lenni abban, hogy a legjobb élményben legyen része az alkalmazás használata közben")</f>
        <v>Biztosak akarunk lenni abban, hogy a legjobb élményben legyen része az alkalmazás használata közben</v>
      </c>
      <c r="AD168" s="7" t="str">
        <f>IFERROR(__xludf.DUMMYFUNCTION("GoogleTranslate(C168, ""en"", ""is"")"),"Við viljum tryggja að þú hafir bestu upplifunina meðan þú notar appið")</f>
        <v>Við viljum tryggja að þú hafir bestu upplifunina meðan þú notar appið</v>
      </c>
      <c r="AE168" s="7" t="str">
        <f>IFERROR(__xludf.DUMMYFUNCTION("GoogleTranslate(C168, ""en"", ""id"")"),"Kami ingin memastikan Anda mendapatkan pengalaman terbaik saat menggunakan aplikasi")</f>
        <v>Kami ingin memastikan Anda mendapatkan pengalaman terbaik saat menggunakan aplikasi</v>
      </c>
      <c r="AF168" s="7" t="str">
        <f>IFERROR(__xludf.DUMMYFUNCTION("GoogleTranslate(C168, ""en"", ""in"")"),"Kami ingin memastikan Anda mendapatkan pengalaman terbaik saat menggunakan aplikasi")</f>
        <v>Kami ingin memastikan Anda mendapatkan pengalaman terbaik saat menggunakan aplikasi</v>
      </c>
      <c r="AG168" s="7" t="str">
        <f>IFERROR(__xludf.DUMMYFUNCTION("GoogleTranslate(C168, ""en"", ""it"")"),"Vogliamo assicurarci che tu abbia le migliori esperienze durante l'utilizzo della nostra app")</f>
        <v>Vogliamo assicurarci che tu abbia le migliori esperienze durante l'utilizzo della nostra app</v>
      </c>
      <c r="AH168" s="7" t="str">
        <f>IFERROR(__xludf.DUMMYFUNCTION("GoogleTranslate(C168, ""en"", ""ja"")"),"アプリを使用する際に最高のエクスペリエンスをお届けしたいと考えています")</f>
        <v>アプリを使用する際に最高のエクスペリエンスをお届けしたいと考えています</v>
      </c>
      <c r="AI168" s="7" t="str">
        <f>IFERROR(__xludf.DUMMYFUNCTION("GoogleTranslate(C168, ""en"", ""kn"")"),"ಅಪ್ಲಿಕೇಶನ್ ಅನ್ನು ಬಳಸುವಾಗ ನೀವು ಉತ್ತಮ ಅನುಭವಗಳನ್ನು ಹೊಂದಿರುವಿರಿ ಎಂದು ಖಚಿತಪಡಿಸಿಕೊಳ್ಳಲು ನಾವು ಬಯಸುತ್ತೇವೆ")</f>
        <v>ಅಪ್ಲಿಕೇಶನ್ ಅನ್ನು ಬಳಸುವಾಗ ನೀವು ಉತ್ತಮ ಅನುಭವಗಳನ್ನು ಹೊಂದಿರುವಿರಿ ಎಂದು ಖಚಿತಪಡಿಸಿಕೊಳ್ಳಲು ನಾವು ಬಯಸುತ್ತೇವೆ</v>
      </c>
      <c r="AJ168" s="7" t="str">
        <f>IFERROR(__xludf.DUMMYFUNCTION("GoogleTranslate(C168, ""en"", ""km"")"),"យើងចង់ធ្វើឱ្យប្រាកដថាអ្នកមានបទពិសោធន៍ល្អបំផុតនៅពេលប្រើកម្មវិធី")</f>
        <v>យើងចង់ធ្វើឱ្យប្រាកដថាអ្នកមានបទពិសោធន៍ល្អបំផុតនៅពេលប្រើកម្មវិធី</v>
      </c>
      <c r="AK168" s="7" t="str">
        <f>IFERROR(__xludf.DUMMYFUNCTION("GoogleTranslate(C168, ""en"", ""ko"")"),"우리는 귀하가 앱을 사용하는 동안 최고의 경험을 할 수 있도록 하고자 합니다.")</f>
        <v>우리는 귀하가 앱을 사용하는 동안 최고의 경험을 할 수 있도록 하고자 합니다.</v>
      </c>
      <c r="AL168" s="7" t="str">
        <f>IFERROR(__xludf.DUMMYFUNCTION("GoogleTranslate(C168, ""en"", ""lo"")"),"ພວກ​ເຮົາ​ຕ້ອງ​ການ​ເພື່ອ​ໃຫ້​ແນ່​ໃຈວ່​າ​ທ່ານ​ມີ​ປະ​ສົບ​ການ​ທີ່​ດີ​ທີ່​ສຸດ​ໃນ​ຂະ​ນະ​ທີ່​ການ​ນໍາ​ໃຊ້​ອອກ app​")</f>
        <v>ພວກ​ເຮົາ​ຕ້ອງ​ການ​ເພື່ອ​ໃຫ້​ແນ່​ໃຈວ່​າ​ທ່ານ​ມີ​ປະ​ສົບ​ການ​ທີ່​ດີ​ທີ່​ສຸດ​ໃນ​ຂະ​ນະ​ທີ່​ການ​ນໍາ​ໃຊ້​ອອກ app​</v>
      </c>
      <c r="AM168" s="7" t="str">
        <f>IFERROR(__xludf.DUMMYFUNCTION("GoogleTranslate(C168, ""en"", ""lv"")"),"Mēs vēlamies nodrošināt vislabāko pieredzi, izmantojot lietotni")</f>
        <v>Mēs vēlamies nodrošināt vislabāko pieredzi, izmantojot lietotni</v>
      </c>
      <c r="AN168" s="7" t="str">
        <f>IFERROR(__xludf.DUMMYFUNCTION("GoogleTranslate(C168, ""en"", ""lt"")"),"Norime užtikrinti, kad naudodami programą turėsite geriausią patirtį")</f>
        <v>Norime užtikrinti, kad naudodami programą turėsite geriausią patirtį</v>
      </c>
      <c r="AO168" s="7" t="str">
        <f>IFERROR(__xludf.DUMMYFUNCTION("GoogleTranslate(C168, ""en"", ""mk"")"),"Сакаме да се погрижиме да ги имате најдобрите искуства додека ја користите апликацијата")</f>
        <v>Сакаме да се погрижиме да ги имате најдобрите искуства додека ја користите апликацијата</v>
      </c>
      <c r="AP168" s="7" t="str">
        <f>IFERROR(__xludf.DUMMYFUNCTION("GoogleTranslate(C168, ""en"", ""ms"")"),"Kami ingin memastikan anda mendapat pengalaman terbaik semasa menggunakan aplikasi")</f>
        <v>Kami ingin memastikan anda mendapat pengalaman terbaik semasa menggunakan aplikasi</v>
      </c>
      <c r="AQ168" s="7" t="str">
        <f>IFERROR(__xludf.DUMMYFUNCTION("GoogleTranslate(C168, ""en"", ""ml"")"),"ആപ്പ് ഉപയോഗിക്കുമ്പോൾ നിങ്ങൾക്ക് മികച്ച അനുഭവങ്ങൾ ഉണ്ടെന്ന് ഉറപ്പാക്കാൻ ഞങ്ങൾ ആഗ്രഹിക്കുന്നു")</f>
        <v>ആപ്പ് ഉപയോഗിക്കുമ്പോൾ നിങ്ങൾക്ക് മികച്ച അനുഭവങ്ങൾ ഉണ്ടെന്ന് ഉറപ്പാക്കാൻ ഞങ്ങൾ ആഗ്രഹിക്കുന്നു</v>
      </c>
      <c r="AR168" s="7" t="str">
        <f>IFERROR(__xludf.DUMMYFUNCTION("GoogleTranslate(C168, ""en"", ""mr"")"),"ॲप वापरताना तुम्हाला सर्वोत्तम अनुभव मिळतील याची आम्ही खात्री करू इच्छितो")</f>
        <v>ॲप वापरताना तुम्हाला सर्वोत्तम अनुभव मिळतील याची आम्ही खात्री करू इच्छितो</v>
      </c>
      <c r="AS168" s="7" t="str">
        <f>IFERROR(__xludf.DUMMYFUNCTION("GoogleTranslate(C168, ""en"", ""mn"")"),"Аппликешныг ашиглах явцад танд хамгийн сайн туршлага байгаа эсэхийг шалгахыг бид хүсч байна")</f>
        <v>Аппликешныг ашиглах явцад танд хамгийн сайн туршлага байгаа эсэхийг шалгахыг бид хүсч байна</v>
      </c>
      <c r="AT168" s="7" t="str">
        <f>IFERROR(__xludf.DUMMYFUNCTION("GoogleTranslate(C168, ""en"", ""ne"")"),"हामी यो सुनिश्चित गर्न चाहन्छौं कि तपाईंसँग एप प्रयोग गर्दा उत्कृष्ट अनुभवहरू छन्")</f>
        <v>हामी यो सुनिश्चित गर्न चाहन्छौं कि तपाईंसँग एप प्रयोग गर्दा उत्कृष्ट अनुभवहरू छन्</v>
      </c>
      <c r="AU168" s="7" t="str">
        <f>IFERROR(__xludf.DUMMYFUNCTION("GoogleTranslate(C168, ""en"", ""nb"")"),"Vi vil sørge for at du får de beste opplevelsene mens du bruker appen")</f>
        <v>Vi vil sørge for at du får de beste opplevelsene mens du bruker appen</v>
      </c>
      <c r="AV168" s="7" t="str">
        <f>IFERROR(__xludf.DUMMYFUNCTION("GoogleTranslate(C168, ""en"", ""fa"")"),"ما می خواهیم مطمئن شویم که بهترین تجربیات را در حین استفاده از برنامه دارید")</f>
        <v>ما می خواهیم مطمئن شویم که بهترین تجربیات را در حین استفاده از برنامه دارید</v>
      </c>
      <c r="AW168" s="7" t="str">
        <f>IFERROR(__xludf.DUMMYFUNCTION("GoogleTranslate(C168, ""en"", ""pl"")"),"Chcemy mieć pewność, że korzystanie z aplikacji będzie jak najlepsze")</f>
        <v>Chcemy mieć pewność, że korzystanie z aplikacji będzie jak najlepsze</v>
      </c>
      <c r="AX168" s="7" t="str">
        <f>IFERROR(__xludf.DUMMYFUNCTION("GoogleTranslate(C168, ""en"", ""pt"")"),"Queremos garantir que você tenha as melhores experiências ao usar nosso aplicativo")</f>
        <v>Queremos garantir que você tenha as melhores experiências ao usar nosso aplicativo</v>
      </c>
      <c r="AY168" s="7" t="str">
        <f>IFERROR(__xludf.DUMMYFUNCTION("GoogleTranslate(C168, ""en"", ""ro"")"),"Vrem să ne asigurăm că aveți cele mai bune experiențe în timp ce utilizați aplicația")</f>
        <v>Vrem să ne asigurăm că aveți cele mai bune experiențe în timp ce utilizați aplicația</v>
      </c>
      <c r="AZ168" s="7" t="str">
        <f>IFERROR(__xludf.DUMMYFUNCTION("GoogleTranslate(C168, ""en"", ""ru"")"),"Мы хотим, чтобы вы получили наилучшие впечатления от использования нашего приложения.")</f>
        <v>Мы хотим, чтобы вы получили наилучшие впечатления от использования нашего приложения.</v>
      </c>
      <c r="BA168" s="7" t="str">
        <f>IFERROR(__xludf.DUMMYFUNCTION("GoogleTranslate(C168, ""en"", ""sr"")"),"Желимо да будемо сигурни да имате најбоље искуство док користите апликацију")</f>
        <v>Желимо да будемо сигурни да имате најбоље искуство док користите апликацију</v>
      </c>
      <c r="BB168" s="7" t="str">
        <f>IFERROR(__xludf.DUMMYFUNCTION("GoogleTranslate(C168, ""en"", ""si"")"),"යෙදුම භාවිතා කරන අතරතුර ඔබට හොඳම අත්දැකීම් ඇති බව සහතික කර ගැනීමට අපට අවශ්‍යයි")</f>
        <v>යෙදුම භාවිතා කරන අතරතුර ඔබට හොඳම අත්දැකීම් ඇති බව සහතික කර ගැනීමට අපට අවශ්‍යයි</v>
      </c>
      <c r="BC168" s="7" t="str">
        <f>IFERROR(__xludf.DUMMYFUNCTION("GoogleTranslate(C168, ""en"", ""sk"")"),"Chceme sa uistiť, že pri používaní aplikácie budete mať tie najlepšie skúsenosti")</f>
        <v>Chceme sa uistiť, že pri používaní aplikácie budete mať tie najlepšie skúsenosti</v>
      </c>
      <c r="BD168" s="7" t="str">
        <f>IFERROR(__xludf.DUMMYFUNCTION("GoogleTranslate(C168, ""en"", ""sl"")"),"Želimo zagotoviti najboljše izkušnje med uporabo naše aplikacije")</f>
        <v>Želimo zagotoviti najboljše izkušnje med uporabo naše aplikacije</v>
      </c>
      <c r="BE168" s="7" t="str">
        <f>IFERROR(__xludf.DUMMYFUNCTION("GoogleTranslate(C168, ""en"", ""es"")"),"Queremos asegurarnos de que tengas las mejores experiencias mientras usas nuestra aplicación.")</f>
        <v>Queremos asegurarnos de que tengas las mejores experiencias mientras usas nuestra aplicación.</v>
      </c>
      <c r="BF168" s="7" t="str">
        <f>IFERROR(__xludf.DUMMYFUNCTION("GoogleTranslate(C168, ""en"", ""sw"")"),"Tunataka kuhakikisha kuwa una matumizi bora zaidi unapotumia programu ya nje")</f>
        <v>Tunataka kuhakikisha kuwa una matumizi bora zaidi unapotumia programu ya nje</v>
      </c>
      <c r="BG168" s="7" t="str">
        <f>IFERROR(__xludf.DUMMYFUNCTION("GoogleTranslate(C168, ""en"", ""sv"")"),"Vi vill se till att du får de bästa upplevelserna när du använder appen")</f>
        <v>Vi vill se till att du får de bästa upplevelserna när du använder appen</v>
      </c>
      <c r="BH168" s="7" t="str">
        <f>IFERROR(__xludf.DUMMYFUNCTION("GoogleTranslate(C168, ""en"", ""te"")"),"యాప్‌ని ఉపయోగిస్తున్నప్పుడు మీరు ఉత్తమ అనుభవాలను కలిగి ఉన్నారని మేము నిర్ధారించుకోవాలనుకుంటున్నాము")</f>
        <v>యాప్‌ని ఉపయోగిస్తున్నప్పుడు మీరు ఉత్తమ అనుభవాలను కలిగి ఉన్నారని మేము నిర్ధారించుకోవాలనుకుంటున్నాము</v>
      </c>
      <c r="BI168" s="7" t="str">
        <f>IFERROR(__xludf.DUMMYFUNCTION("GoogleTranslate(C168, ""en"", ""th"")"),"เราต้องการให้แน่ใจว่าคุณได้รับประสบการณ์ที่ดีที่สุดขณะใช้งานแอพ")</f>
        <v>เราต้องการให้แน่ใจว่าคุณได้รับประสบการณ์ที่ดีที่สุดขณะใช้งานแอพ</v>
      </c>
      <c r="BJ168" s="7" t="str">
        <f>IFERROR(__xludf.DUMMYFUNCTION("GoogleTranslate(C168, ""en"", ""tr"")"),"Uygulamamızı kullanırken en iyi deneyimlere sahip olduğunuzdan emin olmak istiyoruz")</f>
        <v>Uygulamamızı kullanırken en iyi deneyimlere sahip olduğunuzdan emin olmak istiyoruz</v>
      </c>
      <c r="BK168" s="7" t="str">
        <f>IFERROR(__xludf.DUMMYFUNCTION("GoogleTranslate(C168, ""en"", ""uk"")"),"Ми хочемо переконатися, що ви отримуєте найкращі враження під час використання нашої програми")</f>
        <v>Ми хочемо переконатися, що ви отримуєте найкращі враження під час використання нашої програми</v>
      </c>
      <c r="BL168" s="7" t="str">
        <f>IFERROR(__xludf.DUMMYFUNCTION("GoogleTranslate(C168, ""en"", ""zu"")"),"Sifuna ukwenza isiqiniseko sokuthi unolwazi olungcono kakhulu ngenkathi usebenzisa uhlelo lokusebenza")</f>
        <v>Sifuna ukwenza isiqiniseko sokuthi unolwazi olungcono kakhulu ngenkathi usebenzisa uhlelo lokusebenza</v>
      </c>
    </row>
    <row r="169">
      <c r="A169" s="5" t="str">
        <f t="shared" si="1"/>
        <v>Please_choose_your_preference</v>
      </c>
      <c r="B169" s="6" t="s">
        <v>224</v>
      </c>
      <c r="C169" s="5" t="str">
        <f t="shared" si="2"/>
        <v>Please choose your preference</v>
      </c>
      <c r="D169" s="7" t="str">
        <f>IFERROR(__xludf.DUMMYFUNCTION("GoogleTranslate(C169, ""en"", ""es"")"),"Por favor elige tu preferencia")</f>
        <v>Por favor elige tu preferencia</v>
      </c>
      <c r="E169" s="7" t="str">
        <f>IFERROR(__xludf.DUMMYFUNCTION("GoogleTranslate(C169, ""en"", ""ar"")"),"الرجاء اختيار تفضيلاتك")</f>
        <v>الرجاء اختيار تفضيلاتك</v>
      </c>
      <c r="F169" s="7" t="str">
        <f>IFERROR(__xludf.DUMMYFUNCTION("GoogleTranslate(C169, ""en"", ""hy"")"),"Խնդրում ենք ընտրել ձեր նախապատվությունը")</f>
        <v>Խնդրում ենք ընտրել ձեր նախապատվությունը</v>
      </c>
      <c r="G169" s="7" t="str">
        <f>IFERROR(__xludf.DUMMYFUNCTION("GoogleTranslate(C169, ""en"", ""vi"")"),"Vui lòng chọn sở thích của bạn")</f>
        <v>Vui lòng chọn sở thích của bạn</v>
      </c>
      <c r="H169" s="7" t="str">
        <f>IFERROR(__xludf.DUMMYFUNCTION("GoogleTranslate(C169, ""en"", ""az"")"),"Zəhmət olmasa seçiminizi seçin")</f>
        <v>Zəhmət olmasa seçiminizi seçin</v>
      </c>
      <c r="I169" s="7" t="str">
        <f>IFERROR(__xludf.DUMMYFUNCTION("GoogleTranslate(C169, ""en"", ""eu"")"),"Mesedez, aukeratu zure lehentasuna")</f>
        <v>Mesedez, aukeratu zure lehentasuna</v>
      </c>
      <c r="J169" s="7" t="str">
        <f>IFERROR(__xludf.DUMMYFUNCTION("GoogleTranslate(C169, ""en"", ""be"")"),"Калі ласка, абярыце свае перавагі")</f>
        <v>Калі ласка, абярыце свае перавагі</v>
      </c>
      <c r="K169" s="7" t="str">
        <f>IFERROR(__xludf.DUMMYFUNCTION("GoogleTranslate(C169, ""en"", ""bn"")"),"আপনার পছন্দ চয়ন করুন")</f>
        <v>আপনার পছন্দ চয়ন করুন</v>
      </c>
      <c r="L169" s="7" t="str">
        <f>IFERROR(__xludf.DUMMYFUNCTION("GoogleTranslate(C169, ""en"", ""bg"")"),"Моля, изберете вашите предпочитания")</f>
        <v>Моля, изберете вашите предпочитания</v>
      </c>
      <c r="M169" s="7" t="str">
        <f>IFERROR(__xludf.DUMMYFUNCTION("GoogleTranslate(C169, ""en"", ""my"")"),"သင့်စိတ်ကြိုက်ရွေးချယ်ပါ။")</f>
        <v>သင့်စိတ်ကြိုက်ရွေးချယ်ပါ။</v>
      </c>
      <c r="N169" s="7" t="str">
        <f>IFERROR(__xludf.DUMMYFUNCTION("GoogleTranslate(C169, ""en"", ""ca"")"),"Si us plau, trieu la vostra preferència")</f>
        <v>Si us plau, trieu la vostra preferència</v>
      </c>
      <c r="O169" s="7" t="str">
        <f>IFERROR(__xludf.DUMMYFUNCTION("GoogleTranslate(C169, ""en"", ""zh-cn"")"),"请选择您的偏好")</f>
        <v>请选择您的偏好</v>
      </c>
      <c r="P169" s="7" t="str">
        <f>IFERROR(__xludf.DUMMYFUNCTION("GoogleTranslate(C169, ""en"", ""zh-TW"")"),"請選擇您的偏好")</f>
        <v>請選擇您的偏好</v>
      </c>
      <c r="Q169" s="7" t="str">
        <f>IFERROR(__xludf.DUMMYFUNCTION("GoogleTranslate(C169, ""en"", ""hr"")"),"Odaberite željenu opciju")</f>
        <v>Odaberite željenu opciju</v>
      </c>
      <c r="R169" s="7" t="str">
        <f>IFERROR(__xludf.DUMMYFUNCTION("GoogleTranslate(C169, ""en"", ""cs"")"),"Vyberte prosím svou preferenci")</f>
        <v>Vyberte prosím svou preferenci</v>
      </c>
      <c r="S169" s="7" t="str">
        <f>IFERROR(__xludf.DUMMYFUNCTION("GoogleTranslate(C169, ""en"", ""da"")"),"Vælg venligst din præference")</f>
        <v>Vælg venligst din præference</v>
      </c>
      <c r="T169" s="7" t="str">
        <f>IFERROR(__xludf.DUMMYFUNCTION("GoogleTranslate(C169, ""en"", ""nl"")"),"Kies uw voorkeur")</f>
        <v>Kies uw voorkeur</v>
      </c>
      <c r="U169" s="7" t="str">
        <f>IFERROR(__xludf.DUMMYFUNCTION("GoogleTranslate(C169, ""en"", ""et"")"),"Palun valige oma eelistus")</f>
        <v>Palun valige oma eelistus</v>
      </c>
      <c r="V169" s="5" t="str">
        <f t="shared" si="3"/>
        <v>Please choose your preference</v>
      </c>
      <c r="W169" s="7" t="str">
        <f>IFERROR(__xludf.DUMMYFUNCTION("GoogleTranslate(C169, ""en"", ""fi"")"),"Valitse mieltymyksesi")</f>
        <v>Valitse mieltymyksesi</v>
      </c>
      <c r="X169" s="7" t="str">
        <f>IFERROR(__xludf.DUMMYFUNCTION("GoogleTranslate(C169, ""en"", ""fr"")"),"Veuillez choisir votre préférence")</f>
        <v>Veuillez choisir votre préférence</v>
      </c>
      <c r="Y169" s="7" t="str">
        <f>IFERROR(__xludf.DUMMYFUNCTION("GoogleTranslate(C169, ""en"", ""de"")"),"Bitte wählen Sie Ihre Präferenz")</f>
        <v>Bitte wählen Sie Ihre Präferenz</v>
      </c>
      <c r="Z169" s="7" t="str">
        <f>IFERROR(__xludf.DUMMYFUNCTION("GoogleTranslate(C169, ""en"", ""el"")"),"Επιλέξτε την προτίμησή σας")</f>
        <v>Επιλέξτε την προτίμησή σας</v>
      </c>
      <c r="AA169" s="7" t="str">
        <f>IFERROR(__xludf.DUMMYFUNCTION("GoogleTranslate(C169, ""en"", ""iw"")"),"אנא בחר את ההעדפה שלך")</f>
        <v>אנא בחר את ההעדפה שלך</v>
      </c>
      <c r="AB169" s="7" t="str">
        <f>IFERROR(__xludf.DUMMYFUNCTION("GoogleTranslate(C169, ""en"", ""hi"")"),"कृपया अपनी प्राथमिकता चुनें")</f>
        <v>कृपया अपनी प्राथमिकता चुनें</v>
      </c>
      <c r="AC169" s="7" t="str">
        <f>IFERROR(__xludf.DUMMYFUNCTION("GoogleTranslate(C169, ""en"", ""hu"")"),"Kérjük, válassza ki a kívánt preferenciát")</f>
        <v>Kérjük, válassza ki a kívánt preferenciát</v>
      </c>
      <c r="AD169" s="7" t="str">
        <f>IFERROR(__xludf.DUMMYFUNCTION("GoogleTranslate(C169, ""en"", ""is"")"),"Vinsamlegast veldu val þitt")</f>
        <v>Vinsamlegast veldu val þitt</v>
      </c>
      <c r="AE169" s="7" t="str">
        <f>IFERROR(__xludf.DUMMYFUNCTION("GoogleTranslate(C169, ""en"", ""id"")"),"Silakan pilih preferensi Anda")</f>
        <v>Silakan pilih preferensi Anda</v>
      </c>
      <c r="AF169" s="7" t="str">
        <f>IFERROR(__xludf.DUMMYFUNCTION("GoogleTranslate(C169, ""en"", ""in"")"),"Silakan pilih preferensi Anda")</f>
        <v>Silakan pilih preferensi Anda</v>
      </c>
      <c r="AG169" s="7" t="str">
        <f>IFERROR(__xludf.DUMMYFUNCTION("GoogleTranslate(C169, ""en"", ""it"")"),"Scegli la tua preferenza")</f>
        <v>Scegli la tua preferenza</v>
      </c>
      <c r="AH169" s="7" t="str">
        <f>IFERROR(__xludf.DUMMYFUNCTION("GoogleTranslate(C169, ""en"", ""ja"")"),"お好みをお選びください")</f>
        <v>お好みをお選びください</v>
      </c>
      <c r="AI169" s="7" t="str">
        <f>IFERROR(__xludf.DUMMYFUNCTION("GoogleTranslate(C169, ""en"", ""kn"")"),"ದಯವಿಟ್ಟು ನಿಮ್ಮ ಆದ್ಯತೆಯನ್ನು ಆರಿಸಿ")</f>
        <v>ದಯವಿಟ್ಟು ನಿಮ್ಮ ಆದ್ಯತೆಯನ್ನು ಆರಿಸಿ</v>
      </c>
      <c r="AJ169" s="7" t="str">
        <f>IFERROR(__xludf.DUMMYFUNCTION("GoogleTranslate(C169, ""en"", ""km"")"),"សូមជ្រើសរើសចំណូលចិត្តរបស់អ្នក។")</f>
        <v>សូមជ្រើសរើសចំណូលចិត្តរបស់អ្នក។</v>
      </c>
      <c r="AK169" s="7" t="str">
        <f>IFERROR(__xludf.DUMMYFUNCTION("GoogleTranslate(C169, ""en"", ""ko"")"),"선호하는 것을 선택해주세요")</f>
        <v>선호하는 것을 선택해주세요</v>
      </c>
      <c r="AL169" s="7" t="str">
        <f>IFERROR(__xludf.DUMMYFUNCTION("GoogleTranslate(C169, ""en"", ""lo"")"),"ກະລຸນາເລືອກຄວາມຕ້ອງການຂອງທ່ານ")</f>
        <v>ກະລຸນາເລືອກຄວາມຕ້ອງການຂອງທ່ານ</v>
      </c>
      <c r="AM169" s="7" t="str">
        <f>IFERROR(__xludf.DUMMYFUNCTION("GoogleTranslate(C169, ""en"", ""lv"")"),"Lūdzu, izvēlieties savu izvēli")</f>
        <v>Lūdzu, izvēlieties savu izvēli</v>
      </c>
      <c r="AN169" s="7" t="str">
        <f>IFERROR(__xludf.DUMMYFUNCTION("GoogleTranslate(C169, ""en"", ""lt"")"),"Pasirinkite savo pirmenybę")</f>
        <v>Pasirinkite savo pirmenybę</v>
      </c>
      <c r="AO169" s="7" t="str">
        <f>IFERROR(__xludf.DUMMYFUNCTION("GoogleTranslate(C169, ""en"", ""mk"")"),"Ве молиме изберете ја вашата желба")</f>
        <v>Ве молиме изберете ја вашата желба</v>
      </c>
      <c r="AP169" s="7" t="str">
        <f>IFERROR(__xludf.DUMMYFUNCTION("GoogleTranslate(C169, ""en"", ""ms"")"),"Sila pilih pilihan anda")</f>
        <v>Sila pilih pilihan anda</v>
      </c>
      <c r="AQ169" s="7" t="str">
        <f>IFERROR(__xludf.DUMMYFUNCTION("GoogleTranslate(C169, ""en"", ""ml"")"),"നിങ്ങളുടെ മുൻഗണന തിരഞ്ഞെടുക്കുക")</f>
        <v>നിങ്ങളുടെ മുൻഗണന തിരഞ്ഞെടുക്കുക</v>
      </c>
      <c r="AR169" s="7" t="str">
        <f>IFERROR(__xludf.DUMMYFUNCTION("GoogleTranslate(C169, ""en"", ""mr"")"),"कृपया तुमचे प्राधान्य निवडा")</f>
        <v>कृपया तुमचे प्राधान्य निवडा</v>
      </c>
      <c r="AS169" s="7" t="str">
        <f>IFERROR(__xludf.DUMMYFUNCTION("GoogleTranslate(C169, ""en"", ""mn"")"),"Та сонголтоо сонгоно уу")</f>
        <v>Та сонголтоо сонгоно уу</v>
      </c>
      <c r="AT169" s="7" t="str">
        <f>IFERROR(__xludf.DUMMYFUNCTION("GoogleTranslate(C169, ""en"", ""ne"")"),"कृपया आफ्नो प्राथमिकता छान्नुहोस्")</f>
        <v>कृपया आफ्नो प्राथमिकता छान्नुहोस्</v>
      </c>
      <c r="AU169" s="7" t="str">
        <f>IFERROR(__xludf.DUMMYFUNCTION("GoogleTranslate(C169, ""en"", ""nb"")"),"Vennligst velg din preferanse")</f>
        <v>Vennligst velg din preferanse</v>
      </c>
      <c r="AV169" s="7" t="str">
        <f>IFERROR(__xludf.DUMMYFUNCTION("GoogleTranslate(C169, ""en"", ""fa"")"),"لطفا ترجیح خود را انتخاب کنید")</f>
        <v>لطفا ترجیح خود را انتخاب کنید</v>
      </c>
      <c r="AW169" s="7" t="str">
        <f>IFERROR(__xludf.DUMMYFUNCTION("GoogleTranslate(C169, ""en"", ""pl"")"),"Wybierz swoje preferencje")</f>
        <v>Wybierz swoje preferencje</v>
      </c>
      <c r="AX169" s="7" t="str">
        <f>IFERROR(__xludf.DUMMYFUNCTION("GoogleTranslate(C169, ""en"", ""pt"")"),"Por favor escolha sua preferência")</f>
        <v>Por favor escolha sua preferência</v>
      </c>
      <c r="AY169" s="7" t="str">
        <f>IFERROR(__xludf.DUMMYFUNCTION("GoogleTranslate(C169, ""en"", ""ro"")"),"Vă rugăm să alegeți preferința dvs")</f>
        <v>Vă rugăm să alegeți preferința dvs</v>
      </c>
      <c r="AZ169" s="7" t="str">
        <f>IFERROR(__xludf.DUMMYFUNCTION("GoogleTranslate(C169, ""en"", ""ru"")"),"Пожалуйста, выберите ваши предпочтения")</f>
        <v>Пожалуйста, выберите ваши предпочтения</v>
      </c>
      <c r="BA169" s="7" t="str">
        <f>IFERROR(__xludf.DUMMYFUNCTION("GoogleTranslate(C169, ""en"", ""sr"")"),"Молимо изаберите жељену опцију")</f>
        <v>Молимо изаберите жељену опцију</v>
      </c>
      <c r="BB169" s="7" t="str">
        <f>IFERROR(__xludf.DUMMYFUNCTION("GoogleTranslate(C169, ""en"", ""si"")"),"කරුණාකර ඔබේ මනාපය තෝරන්න")</f>
        <v>කරුණාකර ඔබේ මනාපය තෝරන්න</v>
      </c>
      <c r="BC169" s="7" t="str">
        <f>IFERROR(__xludf.DUMMYFUNCTION("GoogleTranslate(C169, ""en"", ""sk"")"),"Vyberte si prosím svoju preferenciu")</f>
        <v>Vyberte si prosím svoju preferenciu</v>
      </c>
      <c r="BD169" s="7" t="str">
        <f>IFERROR(__xludf.DUMMYFUNCTION("GoogleTranslate(C169, ""en"", ""sl"")"),"Prosimo izberite svojo željo")</f>
        <v>Prosimo izberite svojo željo</v>
      </c>
      <c r="BE169" s="7" t="str">
        <f>IFERROR(__xludf.DUMMYFUNCTION("GoogleTranslate(C169, ""en"", ""es"")"),"Por favor elige tu preferencia")</f>
        <v>Por favor elige tu preferencia</v>
      </c>
      <c r="BF169" s="7" t="str">
        <f>IFERROR(__xludf.DUMMYFUNCTION("GoogleTranslate(C169, ""en"", ""sw"")"),"Tafadhali chagua mapendeleo yako")</f>
        <v>Tafadhali chagua mapendeleo yako</v>
      </c>
      <c r="BG169" s="7" t="str">
        <f>IFERROR(__xludf.DUMMYFUNCTION("GoogleTranslate(C169, ""en"", ""sv"")"),"Vänligen välj din preferens")</f>
        <v>Vänligen välj din preferens</v>
      </c>
      <c r="BH169" s="7" t="str">
        <f>IFERROR(__xludf.DUMMYFUNCTION("GoogleTranslate(C169, ""en"", ""te"")"),"దయచేసి మీ ప్రాధాన్యతను ఎంచుకోండి")</f>
        <v>దయచేసి మీ ప్రాధాన్యతను ఎంచుకోండి</v>
      </c>
      <c r="BI169" s="7" t="str">
        <f>IFERROR(__xludf.DUMMYFUNCTION("GoogleTranslate(C169, ""en"", ""th"")"),"กรุณาเลือกการตั้งค่าของคุณ")</f>
        <v>กรุณาเลือกการตั้งค่าของคุณ</v>
      </c>
      <c r="BJ169" s="7" t="str">
        <f>IFERROR(__xludf.DUMMYFUNCTION("GoogleTranslate(C169, ""en"", ""tr"")"),"Lütfen tercihinizi seçin")</f>
        <v>Lütfen tercihinizi seçin</v>
      </c>
      <c r="BK169" s="7" t="str">
        <f>IFERROR(__xludf.DUMMYFUNCTION("GoogleTranslate(C169, ""en"", ""uk"")"),"Будь ласка, виберіть ваші переваги")</f>
        <v>Будь ласка, виберіть ваші переваги</v>
      </c>
      <c r="BL169" s="7" t="str">
        <f>IFERROR(__xludf.DUMMYFUNCTION("GoogleTranslate(C169, ""en"", ""zu"")"),"Sicela ukhethe okuncamelayo")</f>
        <v>Sicela ukhethe okuncamelayo</v>
      </c>
    </row>
    <row r="170">
      <c r="A170" s="5" t="str">
        <f t="shared" si="1"/>
        <v>Time_Format</v>
      </c>
      <c r="B170" s="6" t="s">
        <v>225</v>
      </c>
      <c r="C170" s="5" t="str">
        <f t="shared" si="2"/>
        <v>Time Format</v>
      </c>
      <c r="D170" s="7" t="str">
        <f>IFERROR(__xludf.DUMMYFUNCTION("GoogleTranslate(C170, ""en"", ""es"")"),"Formato de hora")</f>
        <v>Formato de hora</v>
      </c>
      <c r="E170" s="7" t="str">
        <f>IFERROR(__xludf.DUMMYFUNCTION("GoogleTranslate(C170, ""en"", ""ar"")"),"تنسيق الوقت")</f>
        <v>تنسيق الوقت</v>
      </c>
      <c r="F170" s="7" t="str">
        <f>IFERROR(__xludf.DUMMYFUNCTION("GoogleTranslate(C170, ""en"", ""hy"")"),"Ժամանակի ձևաչափ")</f>
        <v>Ժամանակի ձևաչափ</v>
      </c>
      <c r="G170" s="7" t="str">
        <f>IFERROR(__xludf.DUMMYFUNCTION("GoogleTranslate(C170, ""en"", ""vi"")"),"Định dạng thời gian")</f>
        <v>Định dạng thời gian</v>
      </c>
      <c r="H170" s="7" t="str">
        <f>IFERROR(__xludf.DUMMYFUNCTION("GoogleTranslate(C170, ""en"", ""az"")"),"Vaxt formatı")</f>
        <v>Vaxt formatı</v>
      </c>
      <c r="I170" s="7" t="str">
        <f>IFERROR(__xludf.DUMMYFUNCTION("GoogleTranslate(C170, ""en"", ""eu"")"),"Denbora-formatua")</f>
        <v>Denbora-formatua</v>
      </c>
      <c r="J170" s="7" t="str">
        <f>IFERROR(__xludf.DUMMYFUNCTION("GoogleTranslate(C170, ""en"", ""be"")"),"Фармат часу")</f>
        <v>Фармат часу</v>
      </c>
      <c r="K170" s="7" t="str">
        <f>IFERROR(__xludf.DUMMYFUNCTION("GoogleTranslate(C170, ""en"", ""bn"")"),"সময় বিন্যাস")</f>
        <v>সময় বিন্যাস</v>
      </c>
      <c r="L170" s="7" t="str">
        <f>IFERROR(__xludf.DUMMYFUNCTION("GoogleTranslate(C170, ""en"", ""bg"")"),"Формат на времето")</f>
        <v>Формат на времето</v>
      </c>
      <c r="M170" s="7" t="str">
        <f>IFERROR(__xludf.DUMMYFUNCTION("GoogleTranslate(C170, ""en"", ""my"")"),"အချိန်ပုံစံ")</f>
        <v>အချိန်ပုံစံ</v>
      </c>
      <c r="N170" s="7" t="str">
        <f>IFERROR(__xludf.DUMMYFUNCTION("GoogleTranslate(C170, ""en"", ""ca"")"),"Format horari")</f>
        <v>Format horari</v>
      </c>
      <c r="O170" s="7" t="str">
        <f>IFERROR(__xludf.DUMMYFUNCTION("GoogleTranslate(C170, ""en"", ""zh-cn"")"),"时间格式")</f>
        <v>时间格式</v>
      </c>
      <c r="P170" s="7" t="str">
        <f>IFERROR(__xludf.DUMMYFUNCTION("GoogleTranslate(C170, ""en"", ""zh-TW"")"),"時間格式")</f>
        <v>時間格式</v>
      </c>
      <c r="Q170" s="7" t="str">
        <f>IFERROR(__xludf.DUMMYFUNCTION("GoogleTranslate(C170, ""en"", ""hr"")"),"Format vremena")</f>
        <v>Format vremena</v>
      </c>
      <c r="R170" s="7" t="str">
        <f>IFERROR(__xludf.DUMMYFUNCTION("GoogleTranslate(C170, ""en"", ""cs"")"),"Formát času")</f>
        <v>Formát času</v>
      </c>
      <c r="S170" s="7" t="str">
        <f>IFERROR(__xludf.DUMMYFUNCTION("GoogleTranslate(C170, ""en"", ""da"")"),"Tidsformat")</f>
        <v>Tidsformat</v>
      </c>
      <c r="T170" s="7" t="str">
        <f>IFERROR(__xludf.DUMMYFUNCTION("GoogleTranslate(C170, ""en"", ""nl"")"),"Tijdformaat")</f>
        <v>Tijdformaat</v>
      </c>
      <c r="U170" s="7" t="str">
        <f>IFERROR(__xludf.DUMMYFUNCTION("GoogleTranslate(C170, ""en"", ""et"")"),"Aja vorming")</f>
        <v>Aja vorming</v>
      </c>
      <c r="V170" s="5" t="str">
        <f t="shared" si="3"/>
        <v>Time Format</v>
      </c>
      <c r="W170" s="7" t="str">
        <f>IFERROR(__xludf.DUMMYFUNCTION("GoogleTranslate(C170, ""en"", ""fi"")"),"Aikamuoto")</f>
        <v>Aikamuoto</v>
      </c>
      <c r="X170" s="7" t="str">
        <f>IFERROR(__xludf.DUMMYFUNCTION("GoogleTranslate(C170, ""en"", ""fr"")"),"Format de l'heure")</f>
        <v>Format de l'heure</v>
      </c>
      <c r="Y170" s="7" t="str">
        <f>IFERROR(__xludf.DUMMYFUNCTION("GoogleTranslate(C170, ""en"", ""de"")"),"Zeitformat")</f>
        <v>Zeitformat</v>
      </c>
      <c r="Z170" s="7" t="str">
        <f>IFERROR(__xludf.DUMMYFUNCTION("GoogleTranslate(C170, ""en"", ""el"")"),"Μορφή χρόνου")</f>
        <v>Μορφή χρόνου</v>
      </c>
      <c r="AA170" s="7" t="str">
        <f>IFERROR(__xludf.DUMMYFUNCTION("GoogleTranslate(C170, ""en"", ""iw"")"),"פורמט זמן")</f>
        <v>פורמט זמן</v>
      </c>
      <c r="AB170" s="7" t="str">
        <f>IFERROR(__xludf.DUMMYFUNCTION("GoogleTranslate(C170, ""en"", ""hi"")"),"समय स्वरूप")</f>
        <v>समय स्वरूप</v>
      </c>
      <c r="AC170" s="7" t="str">
        <f>IFERROR(__xludf.DUMMYFUNCTION("GoogleTranslate(C170, ""en"", ""hu"")"),"Időformátum")</f>
        <v>Időformátum</v>
      </c>
      <c r="AD170" s="7" t="str">
        <f>IFERROR(__xludf.DUMMYFUNCTION("GoogleTranslate(C170, ""en"", ""is"")"),"Tímasnið")</f>
        <v>Tímasnið</v>
      </c>
      <c r="AE170" s="7" t="str">
        <f>IFERROR(__xludf.DUMMYFUNCTION("GoogleTranslate(C170, ""en"", ""id"")"),"Format Waktu")</f>
        <v>Format Waktu</v>
      </c>
      <c r="AF170" s="7" t="str">
        <f>IFERROR(__xludf.DUMMYFUNCTION("GoogleTranslate(C170, ""en"", ""in"")"),"Format Waktu")</f>
        <v>Format Waktu</v>
      </c>
      <c r="AG170" s="7" t="str">
        <f>IFERROR(__xludf.DUMMYFUNCTION("GoogleTranslate(C170, ""en"", ""it"")"),"Formato ora")</f>
        <v>Formato ora</v>
      </c>
      <c r="AH170" s="7" t="str">
        <f>IFERROR(__xludf.DUMMYFUNCTION("GoogleTranslate(C170, ""en"", ""ja"")"),"時間の形式")</f>
        <v>時間の形式</v>
      </c>
      <c r="AI170" s="7" t="str">
        <f>IFERROR(__xludf.DUMMYFUNCTION("GoogleTranslate(C170, ""en"", ""kn"")"),"ಸಮಯ ಸ್ವರೂಪ")</f>
        <v>ಸಮಯ ಸ್ವರೂಪ</v>
      </c>
      <c r="AJ170" s="7" t="str">
        <f>IFERROR(__xludf.DUMMYFUNCTION("GoogleTranslate(C170, ""en"", ""km"")"),"ទម្រង់ពេលវេលា")</f>
        <v>ទម្រង់ពេលវេលា</v>
      </c>
      <c r="AK170" s="7" t="str">
        <f>IFERROR(__xludf.DUMMYFUNCTION("GoogleTranslate(C170, ""en"", ""ko"")"),"시간 형식")</f>
        <v>시간 형식</v>
      </c>
      <c r="AL170" s="7" t="str">
        <f>IFERROR(__xludf.DUMMYFUNCTION("GoogleTranslate(C170, ""en"", ""lo"")"),"ຮູບແບບເວລາ")</f>
        <v>ຮູບແບບເວລາ</v>
      </c>
      <c r="AM170" s="7" t="str">
        <f>IFERROR(__xludf.DUMMYFUNCTION("GoogleTranslate(C170, ""en"", ""lv"")"),"Laika formāts")</f>
        <v>Laika formāts</v>
      </c>
      <c r="AN170" s="7" t="str">
        <f>IFERROR(__xludf.DUMMYFUNCTION("GoogleTranslate(C170, ""en"", ""lt"")"),"Laiko formatas")</f>
        <v>Laiko formatas</v>
      </c>
      <c r="AO170" s="7" t="str">
        <f>IFERROR(__xludf.DUMMYFUNCTION("GoogleTranslate(C170, ""en"", ""mk"")"),"Формат на време")</f>
        <v>Формат на време</v>
      </c>
      <c r="AP170" s="7" t="str">
        <f>IFERROR(__xludf.DUMMYFUNCTION("GoogleTranslate(C170, ""en"", ""ms"")"),"Format Masa")</f>
        <v>Format Masa</v>
      </c>
      <c r="AQ170" s="7" t="str">
        <f>IFERROR(__xludf.DUMMYFUNCTION("GoogleTranslate(C170, ""en"", ""ml"")"),"സമയ ഫോർമാറ്റ്")</f>
        <v>സമയ ഫോർമാറ്റ്</v>
      </c>
      <c r="AR170" s="7" t="str">
        <f>IFERROR(__xludf.DUMMYFUNCTION("GoogleTranslate(C170, ""en"", ""mr"")"),"वेळ स्वरूप")</f>
        <v>वेळ स्वरूप</v>
      </c>
      <c r="AS170" s="7" t="str">
        <f>IFERROR(__xludf.DUMMYFUNCTION("GoogleTranslate(C170, ""en"", ""mn"")"),"Цагийн формат")</f>
        <v>Цагийн формат</v>
      </c>
      <c r="AT170" s="7" t="str">
        <f>IFERROR(__xludf.DUMMYFUNCTION("GoogleTranslate(C170, ""en"", ""ne"")"),"समय ढाँचा")</f>
        <v>समय ढाँचा</v>
      </c>
      <c r="AU170" s="7" t="str">
        <f>IFERROR(__xludf.DUMMYFUNCTION("GoogleTranslate(C170, ""en"", ""nb"")"),"Tidsformat")</f>
        <v>Tidsformat</v>
      </c>
      <c r="AV170" s="7" t="str">
        <f>IFERROR(__xludf.DUMMYFUNCTION("GoogleTranslate(C170, ""en"", ""fa"")"),"فرمت زمان")</f>
        <v>فرمت زمان</v>
      </c>
      <c r="AW170" s="7" t="str">
        <f>IFERROR(__xludf.DUMMYFUNCTION("GoogleTranslate(C170, ""en"", ""pl"")"),"Format czasu")</f>
        <v>Format czasu</v>
      </c>
      <c r="AX170" s="7" t="str">
        <f>IFERROR(__xludf.DUMMYFUNCTION("GoogleTranslate(C170, ""en"", ""pt"")"),"Formato de hora")</f>
        <v>Formato de hora</v>
      </c>
      <c r="AY170" s="7" t="str">
        <f>IFERROR(__xludf.DUMMYFUNCTION("GoogleTranslate(C170, ""en"", ""ro"")"),"Format de timp")</f>
        <v>Format de timp</v>
      </c>
      <c r="AZ170" s="7" t="str">
        <f>IFERROR(__xludf.DUMMYFUNCTION("GoogleTranslate(C170, ""en"", ""ru"")"),"Формат времени")</f>
        <v>Формат времени</v>
      </c>
      <c r="BA170" s="7" t="str">
        <f>IFERROR(__xludf.DUMMYFUNCTION("GoogleTranslate(C170, ""en"", ""sr"")"),"Формат времена")</f>
        <v>Формат времена</v>
      </c>
      <c r="BB170" s="7" t="str">
        <f>IFERROR(__xludf.DUMMYFUNCTION("GoogleTranslate(C170, ""en"", ""si"")"),"කාල ආකෘතිය")</f>
        <v>කාල ආකෘතිය</v>
      </c>
      <c r="BC170" s="7" t="str">
        <f>IFERROR(__xludf.DUMMYFUNCTION("GoogleTranslate(C170, ""en"", ""sk"")"),"Formát času")</f>
        <v>Formát času</v>
      </c>
      <c r="BD170" s="7" t="str">
        <f>IFERROR(__xludf.DUMMYFUNCTION("GoogleTranslate(C170, ""en"", ""sl"")"),"Format časa")</f>
        <v>Format časa</v>
      </c>
      <c r="BE170" s="7" t="str">
        <f>IFERROR(__xludf.DUMMYFUNCTION("GoogleTranslate(C170, ""en"", ""es"")"),"Formato de hora")</f>
        <v>Formato de hora</v>
      </c>
      <c r="BF170" s="7" t="str">
        <f>IFERROR(__xludf.DUMMYFUNCTION("GoogleTranslate(C170, ""en"", ""sw"")"),"Umbizo la Wakati")</f>
        <v>Umbizo la Wakati</v>
      </c>
      <c r="BG170" s="7" t="str">
        <f>IFERROR(__xludf.DUMMYFUNCTION("GoogleTranslate(C170, ""en"", ""sv"")"),"Tidsformat")</f>
        <v>Tidsformat</v>
      </c>
      <c r="BH170" s="7" t="str">
        <f>IFERROR(__xludf.DUMMYFUNCTION("GoogleTranslate(C170, ""en"", ""te"")"),"సమయ ఆకృతి")</f>
        <v>సమయ ఆకృతి</v>
      </c>
      <c r="BI170" s="7" t="str">
        <f>IFERROR(__xludf.DUMMYFUNCTION("GoogleTranslate(C170, ""en"", ""th"")"),"รูปแบบเวลา")</f>
        <v>รูปแบบเวลา</v>
      </c>
      <c r="BJ170" s="7" t="str">
        <f>IFERROR(__xludf.DUMMYFUNCTION("GoogleTranslate(C170, ""en"", ""tr"")"),"Saat Formatı")</f>
        <v>Saat Formatı</v>
      </c>
      <c r="BK170" s="7" t="str">
        <f>IFERROR(__xludf.DUMMYFUNCTION("GoogleTranslate(C170, ""en"", ""uk"")"),"Формат часу")</f>
        <v>Формат часу</v>
      </c>
      <c r="BL170" s="7" t="str">
        <f>IFERROR(__xludf.DUMMYFUNCTION("GoogleTranslate(C170, ""en"", ""zu"")"),"Ifomethi Yesikhathi")</f>
        <v>Ifomethi Yesikhathi</v>
      </c>
    </row>
    <row r="171">
      <c r="A171" s="5" t="str">
        <f t="shared" si="1"/>
        <v>Precipitation</v>
      </c>
      <c r="B171" s="6" t="s">
        <v>119</v>
      </c>
      <c r="C171" s="5" t="str">
        <f t="shared" si="2"/>
        <v>Precipitation</v>
      </c>
      <c r="D171" s="7" t="str">
        <f>IFERROR(__xludf.DUMMYFUNCTION("GoogleTranslate(C171, ""en"", ""es"")"),"Precipitación")</f>
        <v>Precipitación</v>
      </c>
      <c r="E171" s="7" t="str">
        <f>IFERROR(__xludf.DUMMYFUNCTION("GoogleTranslate(C171, ""en"", ""ar"")"),"تساقط")</f>
        <v>تساقط</v>
      </c>
      <c r="F171" s="7" t="str">
        <f>IFERROR(__xludf.DUMMYFUNCTION("GoogleTranslate(C171, ""en"", ""hy"")"),"Տեղումներ")</f>
        <v>Տեղումներ</v>
      </c>
      <c r="G171" s="7" t="str">
        <f>IFERROR(__xludf.DUMMYFUNCTION("GoogleTranslate(C171, ""en"", ""vi"")"),"Sự kết tủa")</f>
        <v>Sự kết tủa</v>
      </c>
      <c r="H171" s="7" t="str">
        <f>IFERROR(__xludf.DUMMYFUNCTION("GoogleTranslate(C171, ""en"", ""az"")"),"Yağıntı")</f>
        <v>Yağıntı</v>
      </c>
      <c r="I171" s="7" t="str">
        <f>IFERROR(__xludf.DUMMYFUNCTION("GoogleTranslate(C171, ""en"", ""eu"")"),"Prezipitazioa")</f>
        <v>Prezipitazioa</v>
      </c>
      <c r="J171" s="7" t="str">
        <f>IFERROR(__xludf.DUMMYFUNCTION("GoogleTranslate(C171, ""en"", ""be"")"),"Ападкі")</f>
        <v>Ападкі</v>
      </c>
      <c r="K171" s="7" t="str">
        <f>IFERROR(__xludf.DUMMYFUNCTION("GoogleTranslate(C171, ""en"", ""bn"")"),"বর্ষণ")</f>
        <v>বর্ষণ</v>
      </c>
      <c r="L171" s="7" t="str">
        <f>IFERROR(__xludf.DUMMYFUNCTION("GoogleTranslate(C171, ""en"", ""bg"")"),"Валежи")</f>
        <v>Валежи</v>
      </c>
      <c r="M171" s="7" t="str">
        <f>IFERROR(__xludf.DUMMYFUNCTION("GoogleTranslate(C171, ""en"", ""my"")"),"မိုးရွာတယ်။")</f>
        <v>မိုးရွာတယ်။</v>
      </c>
      <c r="N171" s="7" t="str">
        <f>IFERROR(__xludf.DUMMYFUNCTION("GoogleTranslate(C171, ""en"", ""ca"")"),"Precipitació")</f>
        <v>Precipitació</v>
      </c>
      <c r="O171" s="7" t="str">
        <f>IFERROR(__xludf.DUMMYFUNCTION("GoogleTranslate(C171, ""en"", ""zh-cn"")"),"沉淀")</f>
        <v>沉淀</v>
      </c>
      <c r="P171" s="7" t="str">
        <f>IFERROR(__xludf.DUMMYFUNCTION("GoogleTranslate(C171, ""en"", ""zh-TW"")"),"沉澱")</f>
        <v>沉澱</v>
      </c>
      <c r="Q171" s="7" t="str">
        <f>IFERROR(__xludf.DUMMYFUNCTION("GoogleTranslate(C171, ""en"", ""hr"")"),"Taloženje")</f>
        <v>Taloženje</v>
      </c>
      <c r="R171" s="7" t="str">
        <f>IFERROR(__xludf.DUMMYFUNCTION("GoogleTranslate(C171, ""en"", ""cs"")"),"Srážky")</f>
        <v>Srážky</v>
      </c>
      <c r="S171" s="7" t="str">
        <f>IFERROR(__xludf.DUMMYFUNCTION("GoogleTranslate(C171, ""en"", ""da"")"),"Nedbør")</f>
        <v>Nedbør</v>
      </c>
      <c r="T171" s="7" t="str">
        <f>IFERROR(__xludf.DUMMYFUNCTION("GoogleTranslate(C171, ""en"", ""nl"")"),"Neerslag")</f>
        <v>Neerslag</v>
      </c>
      <c r="U171" s="7" t="str">
        <f>IFERROR(__xludf.DUMMYFUNCTION("GoogleTranslate(C171, ""en"", ""et"")"),"Sademed")</f>
        <v>Sademed</v>
      </c>
      <c r="V171" s="5" t="str">
        <f t="shared" si="3"/>
        <v>Precipitation</v>
      </c>
      <c r="W171" s="7" t="str">
        <f>IFERROR(__xludf.DUMMYFUNCTION("GoogleTranslate(C171, ""en"", ""fi"")"),"Sademäärä")</f>
        <v>Sademäärä</v>
      </c>
      <c r="X171" s="7" t="str">
        <f>IFERROR(__xludf.DUMMYFUNCTION("GoogleTranslate(C171, ""en"", ""fr"")"),"Précipitation")</f>
        <v>Précipitation</v>
      </c>
      <c r="Y171" s="7" t="str">
        <f>IFERROR(__xludf.DUMMYFUNCTION("GoogleTranslate(C171, ""en"", ""de"")"),"Fällung")</f>
        <v>Fällung</v>
      </c>
      <c r="Z171" s="7" t="str">
        <f>IFERROR(__xludf.DUMMYFUNCTION("GoogleTranslate(C171, ""en"", ""el"")"),"Κατακρήμνιση")</f>
        <v>Κατακρήμνιση</v>
      </c>
      <c r="AA171" s="7" t="str">
        <f>IFERROR(__xludf.DUMMYFUNCTION("GoogleTranslate(C171, ""en"", ""iw"")"),"מִשׁקָע")</f>
        <v>מִשׁקָע</v>
      </c>
      <c r="AB171" s="7" t="str">
        <f>IFERROR(__xludf.DUMMYFUNCTION("GoogleTranslate(C171, ""en"", ""hi"")"),"वर्षण")</f>
        <v>वर्षण</v>
      </c>
      <c r="AC171" s="7" t="str">
        <f>IFERROR(__xludf.DUMMYFUNCTION("GoogleTranslate(C171, ""en"", ""hu"")"),"Csapadék")</f>
        <v>Csapadék</v>
      </c>
      <c r="AD171" s="7" t="str">
        <f>IFERROR(__xludf.DUMMYFUNCTION("GoogleTranslate(C171, ""en"", ""is"")"),"Úrkoma")</f>
        <v>Úrkoma</v>
      </c>
      <c r="AE171" s="7" t="str">
        <f>IFERROR(__xludf.DUMMYFUNCTION("GoogleTranslate(C171, ""en"", ""id"")"),"Pengendapan")</f>
        <v>Pengendapan</v>
      </c>
      <c r="AF171" s="7" t="str">
        <f>IFERROR(__xludf.DUMMYFUNCTION("GoogleTranslate(C171, ""en"", ""in"")"),"Pengendapan")</f>
        <v>Pengendapan</v>
      </c>
      <c r="AG171" s="7" t="str">
        <f>IFERROR(__xludf.DUMMYFUNCTION("GoogleTranslate(C171, ""en"", ""it"")"),"Precipitazione")</f>
        <v>Precipitazione</v>
      </c>
      <c r="AH171" s="7" t="str">
        <f>IFERROR(__xludf.DUMMYFUNCTION("GoogleTranslate(C171, ""en"", ""ja"")"),"降水量")</f>
        <v>降水量</v>
      </c>
      <c r="AI171" s="7" t="str">
        <f>IFERROR(__xludf.DUMMYFUNCTION("GoogleTranslate(C171, ""en"", ""kn"")"),"ಮಳೆ")</f>
        <v>ಮಳೆ</v>
      </c>
      <c r="AJ171" s="7" t="str">
        <f>IFERROR(__xludf.DUMMYFUNCTION("GoogleTranslate(C171, ""en"", ""km"")"),"ទឹកភ្លៀង")</f>
        <v>ទឹកភ្លៀង</v>
      </c>
      <c r="AK171" s="7" t="str">
        <f>IFERROR(__xludf.DUMMYFUNCTION("GoogleTranslate(C171, ""en"", ""ko"")"),"강수량")</f>
        <v>강수량</v>
      </c>
      <c r="AL171" s="7" t="str">
        <f>IFERROR(__xludf.DUMMYFUNCTION("GoogleTranslate(C171, ""en"", ""lo"")"),"ຝົນ")</f>
        <v>ຝົນ</v>
      </c>
      <c r="AM171" s="7" t="str">
        <f>IFERROR(__xludf.DUMMYFUNCTION("GoogleTranslate(C171, ""en"", ""lv"")"),"Nokrišņi")</f>
        <v>Nokrišņi</v>
      </c>
      <c r="AN171" s="7" t="str">
        <f>IFERROR(__xludf.DUMMYFUNCTION("GoogleTranslate(C171, ""en"", ""lt"")"),"Krituliai")</f>
        <v>Krituliai</v>
      </c>
      <c r="AO171" s="7" t="str">
        <f>IFERROR(__xludf.DUMMYFUNCTION("GoogleTranslate(C171, ""en"", ""mk"")"),"Врнежите")</f>
        <v>Врнежите</v>
      </c>
      <c r="AP171" s="7" t="str">
        <f>IFERROR(__xludf.DUMMYFUNCTION("GoogleTranslate(C171, ""en"", ""ms"")"),"kerpasan")</f>
        <v>kerpasan</v>
      </c>
      <c r="AQ171" s="7" t="str">
        <f>IFERROR(__xludf.DUMMYFUNCTION("GoogleTranslate(C171, ""en"", ""ml"")"),"മഴ")</f>
        <v>മഴ</v>
      </c>
      <c r="AR171" s="7" t="str">
        <f>IFERROR(__xludf.DUMMYFUNCTION("GoogleTranslate(C171, ""en"", ""mr"")"),"वर्षाव")</f>
        <v>वर्षाव</v>
      </c>
      <c r="AS171" s="7" t="str">
        <f>IFERROR(__xludf.DUMMYFUNCTION("GoogleTranslate(C171, ""en"", ""mn"")"),"Хур тунадас")</f>
        <v>Хур тунадас</v>
      </c>
      <c r="AT171" s="7" t="str">
        <f>IFERROR(__xludf.DUMMYFUNCTION("GoogleTranslate(C171, ""en"", ""ne"")"),"वर्षा")</f>
        <v>वर्षा</v>
      </c>
      <c r="AU171" s="7" t="str">
        <f>IFERROR(__xludf.DUMMYFUNCTION("GoogleTranslate(C171, ""en"", ""nb"")"),"Nedbør")</f>
        <v>Nedbør</v>
      </c>
      <c r="AV171" s="7" t="str">
        <f>IFERROR(__xludf.DUMMYFUNCTION("GoogleTranslate(C171, ""en"", ""fa"")"),"بارش")</f>
        <v>بارش</v>
      </c>
      <c r="AW171" s="7" t="str">
        <f>IFERROR(__xludf.DUMMYFUNCTION("GoogleTranslate(C171, ""en"", ""pl"")"),"Osad")</f>
        <v>Osad</v>
      </c>
      <c r="AX171" s="7" t="str">
        <f>IFERROR(__xludf.DUMMYFUNCTION("GoogleTranslate(C171, ""en"", ""pt"")"),"Precipitação")</f>
        <v>Precipitação</v>
      </c>
      <c r="AY171" s="7" t="str">
        <f>IFERROR(__xludf.DUMMYFUNCTION("GoogleTranslate(C171, ""en"", ""ro"")"),"Precipitare")</f>
        <v>Precipitare</v>
      </c>
      <c r="AZ171" s="7" t="str">
        <f>IFERROR(__xludf.DUMMYFUNCTION("GoogleTranslate(C171, ""en"", ""ru"")"),"Осадки")</f>
        <v>Осадки</v>
      </c>
      <c r="BA171" s="7" t="str">
        <f>IFERROR(__xludf.DUMMYFUNCTION("GoogleTranslate(C171, ""en"", ""sr"")"),"Падавине")</f>
        <v>Падавине</v>
      </c>
      <c r="BB171" s="7" t="str">
        <f>IFERROR(__xludf.DUMMYFUNCTION("GoogleTranslate(C171, ""en"", ""si"")"),"වර්ෂාපතනය")</f>
        <v>වර්ෂාපතනය</v>
      </c>
      <c r="BC171" s="7" t="str">
        <f>IFERROR(__xludf.DUMMYFUNCTION("GoogleTranslate(C171, ""en"", ""sk"")"),"Zrážky")</f>
        <v>Zrážky</v>
      </c>
      <c r="BD171" s="7" t="str">
        <f>IFERROR(__xludf.DUMMYFUNCTION("GoogleTranslate(C171, ""en"", ""sl"")"),"Padavine")</f>
        <v>Padavine</v>
      </c>
      <c r="BE171" s="7" t="str">
        <f>IFERROR(__xludf.DUMMYFUNCTION("GoogleTranslate(C171, ""en"", ""es"")"),"Precipitación")</f>
        <v>Precipitación</v>
      </c>
      <c r="BF171" s="7" t="str">
        <f>IFERROR(__xludf.DUMMYFUNCTION("GoogleTranslate(C171, ""en"", ""sw"")"),"Mvua")</f>
        <v>Mvua</v>
      </c>
      <c r="BG171" s="7" t="str">
        <f>IFERROR(__xludf.DUMMYFUNCTION("GoogleTranslate(C171, ""en"", ""sv"")"),"Nederbörd")</f>
        <v>Nederbörd</v>
      </c>
      <c r="BH171" s="7" t="str">
        <f>IFERROR(__xludf.DUMMYFUNCTION("GoogleTranslate(C171, ""en"", ""te"")"),"అవపాతం")</f>
        <v>అవపాతం</v>
      </c>
      <c r="BI171" s="7" t="str">
        <f>IFERROR(__xludf.DUMMYFUNCTION("GoogleTranslate(C171, ""en"", ""th"")"),"ปริมาณน้ำฝน")</f>
        <v>ปริมาณน้ำฝน</v>
      </c>
      <c r="BJ171" s="7" t="str">
        <f>IFERROR(__xludf.DUMMYFUNCTION("GoogleTranslate(C171, ""en"", ""tr"")"),"Yağış")</f>
        <v>Yağış</v>
      </c>
      <c r="BK171" s="7" t="str">
        <f>IFERROR(__xludf.DUMMYFUNCTION("GoogleTranslate(C171, ""en"", ""uk"")"),"Опади")</f>
        <v>Опади</v>
      </c>
      <c r="BL171" s="7" t="str">
        <f>IFERROR(__xludf.DUMMYFUNCTION("GoogleTranslate(C171, ""en"", ""zu"")"),"Imvula")</f>
        <v>Imvula</v>
      </c>
    </row>
    <row r="172">
      <c r="A172" s="5" t="str">
        <f t="shared" si="1"/>
        <v>Distance</v>
      </c>
      <c r="B172" s="6" t="s">
        <v>209</v>
      </c>
      <c r="C172" s="5" t="str">
        <f t="shared" si="2"/>
        <v>Distance</v>
      </c>
      <c r="D172" s="7" t="str">
        <f>IFERROR(__xludf.DUMMYFUNCTION("GoogleTranslate(C172, ""en"", ""es"")"),"Distancia")</f>
        <v>Distancia</v>
      </c>
      <c r="E172" s="7" t="str">
        <f>IFERROR(__xludf.DUMMYFUNCTION("GoogleTranslate(C172, ""en"", ""ar"")"),"مسافة")</f>
        <v>مسافة</v>
      </c>
      <c r="F172" s="7" t="str">
        <f>IFERROR(__xludf.DUMMYFUNCTION("GoogleTranslate(C172, ""en"", ""hy"")"),"Հեռավորությունը")</f>
        <v>Հեռավորությունը</v>
      </c>
      <c r="G172" s="7" t="str">
        <f>IFERROR(__xludf.DUMMYFUNCTION("GoogleTranslate(C172, ""en"", ""vi"")"),"Khoảng cách")</f>
        <v>Khoảng cách</v>
      </c>
      <c r="H172" s="7" t="str">
        <f>IFERROR(__xludf.DUMMYFUNCTION("GoogleTranslate(C172, ""en"", ""az"")"),"Məsafə")</f>
        <v>Məsafə</v>
      </c>
      <c r="I172" s="7" t="str">
        <f>IFERROR(__xludf.DUMMYFUNCTION("GoogleTranslate(C172, ""en"", ""eu"")"),"Distantzia")</f>
        <v>Distantzia</v>
      </c>
      <c r="J172" s="7" t="str">
        <f>IFERROR(__xludf.DUMMYFUNCTION("GoogleTranslate(C172, ""en"", ""be"")"),"Дыстанцыя")</f>
        <v>Дыстанцыя</v>
      </c>
      <c r="K172" s="7" t="str">
        <f>IFERROR(__xludf.DUMMYFUNCTION("GoogleTranslate(C172, ""en"", ""bn"")"),"দূরত্ব")</f>
        <v>দূরত্ব</v>
      </c>
      <c r="L172" s="7" t="str">
        <f>IFERROR(__xludf.DUMMYFUNCTION("GoogleTranslate(C172, ""en"", ""bg"")"),"Разстояние")</f>
        <v>Разстояние</v>
      </c>
      <c r="M172" s="7" t="str">
        <f>IFERROR(__xludf.DUMMYFUNCTION("GoogleTranslate(C172, ""en"", ""my"")"),"အကွာအဝေး")</f>
        <v>အကွာအဝေး</v>
      </c>
      <c r="N172" s="7" t="str">
        <f>IFERROR(__xludf.DUMMYFUNCTION("GoogleTranslate(C172, ""en"", ""ca"")"),"Distància")</f>
        <v>Distància</v>
      </c>
      <c r="O172" s="7" t="str">
        <f>IFERROR(__xludf.DUMMYFUNCTION("GoogleTranslate(C172, ""en"", ""zh-cn"")"),"距离")</f>
        <v>距离</v>
      </c>
      <c r="P172" s="7" t="str">
        <f>IFERROR(__xludf.DUMMYFUNCTION("GoogleTranslate(C172, ""en"", ""zh-TW"")"),"距離")</f>
        <v>距離</v>
      </c>
      <c r="Q172" s="7" t="str">
        <f>IFERROR(__xludf.DUMMYFUNCTION("GoogleTranslate(C172, ""en"", ""hr"")"),"Udaljenost")</f>
        <v>Udaljenost</v>
      </c>
      <c r="R172" s="7" t="str">
        <f>IFERROR(__xludf.DUMMYFUNCTION("GoogleTranslate(C172, ""en"", ""cs"")"),"Vzdálenost")</f>
        <v>Vzdálenost</v>
      </c>
      <c r="S172" s="7" t="str">
        <f>IFERROR(__xludf.DUMMYFUNCTION("GoogleTranslate(C172, ""en"", ""da"")"),"Afstand")</f>
        <v>Afstand</v>
      </c>
      <c r="T172" s="7" t="str">
        <f>IFERROR(__xludf.DUMMYFUNCTION("GoogleTranslate(C172, ""en"", ""nl"")"),"Afstand")</f>
        <v>Afstand</v>
      </c>
      <c r="U172" s="7" t="str">
        <f>IFERROR(__xludf.DUMMYFUNCTION("GoogleTranslate(C172, ""en"", ""et"")"),"Kaugus")</f>
        <v>Kaugus</v>
      </c>
      <c r="V172" s="5" t="str">
        <f t="shared" si="3"/>
        <v>Distance</v>
      </c>
      <c r="W172" s="7" t="str">
        <f>IFERROR(__xludf.DUMMYFUNCTION("GoogleTranslate(C172, ""en"", ""fi"")"),"Etäisyys")</f>
        <v>Etäisyys</v>
      </c>
      <c r="X172" s="7" t="str">
        <f>IFERROR(__xludf.DUMMYFUNCTION("GoogleTranslate(C172, ""en"", ""fr"")"),"Distance")</f>
        <v>Distance</v>
      </c>
      <c r="Y172" s="7" t="str">
        <f>IFERROR(__xludf.DUMMYFUNCTION("GoogleTranslate(C172, ""en"", ""de"")"),"Distanz")</f>
        <v>Distanz</v>
      </c>
      <c r="Z172" s="7" t="str">
        <f>IFERROR(__xludf.DUMMYFUNCTION("GoogleTranslate(C172, ""en"", ""el"")"),"Απόσταση")</f>
        <v>Απόσταση</v>
      </c>
      <c r="AA172" s="7" t="str">
        <f>IFERROR(__xludf.DUMMYFUNCTION("GoogleTranslate(C172, ""en"", ""iw"")"),"מֶרְחָק")</f>
        <v>מֶרְחָק</v>
      </c>
      <c r="AB172" s="7" t="str">
        <f>IFERROR(__xludf.DUMMYFUNCTION("GoogleTranslate(C172, ""en"", ""hi"")"),"दूरी")</f>
        <v>दूरी</v>
      </c>
      <c r="AC172" s="7" t="str">
        <f>IFERROR(__xludf.DUMMYFUNCTION("GoogleTranslate(C172, ""en"", ""hu"")"),"Távolság")</f>
        <v>Távolság</v>
      </c>
      <c r="AD172" s="7" t="str">
        <f>IFERROR(__xludf.DUMMYFUNCTION("GoogleTranslate(C172, ""en"", ""is"")"),"Fjarlægð")</f>
        <v>Fjarlægð</v>
      </c>
      <c r="AE172" s="7" t="str">
        <f>IFERROR(__xludf.DUMMYFUNCTION("GoogleTranslate(C172, ""en"", ""id"")"),"Jarak")</f>
        <v>Jarak</v>
      </c>
      <c r="AF172" s="7" t="str">
        <f>IFERROR(__xludf.DUMMYFUNCTION("GoogleTranslate(C172, ""en"", ""in"")"),"Jarak")</f>
        <v>Jarak</v>
      </c>
      <c r="AG172" s="7" t="str">
        <f>IFERROR(__xludf.DUMMYFUNCTION("GoogleTranslate(C172, ""en"", ""it"")"),"Distanza")</f>
        <v>Distanza</v>
      </c>
      <c r="AH172" s="7" t="str">
        <f>IFERROR(__xludf.DUMMYFUNCTION("GoogleTranslate(C172, ""en"", ""ja"")"),"距離")</f>
        <v>距離</v>
      </c>
      <c r="AI172" s="7" t="str">
        <f>IFERROR(__xludf.DUMMYFUNCTION("GoogleTranslate(C172, ""en"", ""kn"")"),"ದೂರ")</f>
        <v>ದೂರ</v>
      </c>
      <c r="AJ172" s="7" t="str">
        <f>IFERROR(__xludf.DUMMYFUNCTION("GoogleTranslate(C172, ""en"", ""km"")"),"ចម្ងាយ")</f>
        <v>ចម្ងាយ</v>
      </c>
      <c r="AK172" s="7" t="str">
        <f>IFERROR(__xludf.DUMMYFUNCTION("GoogleTranslate(C172, ""en"", ""ko"")"),"거리")</f>
        <v>거리</v>
      </c>
      <c r="AL172" s="7" t="str">
        <f>IFERROR(__xludf.DUMMYFUNCTION("GoogleTranslate(C172, ""en"", ""lo"")"),"ໄລຍະທາງ")</f>
        <v>ໄລຍະທາງ</v>
      </c>
      <c r="AM172" s="7" t="str">
        <f>IFERROR(__xludf.DUMMYFUNCTION("GoogleTranslate(C172, ""en"", ""lv"")"),"Attālums")</f>
        <v>Attālums</v>
      </c>
      <c r="AN172" s="7" t="str">
        <f>IFERROR(__xludf.DUMMYFUNCTION("GoogleTranslate(C172, ""en"", ""lt"")"),"Atstumas")</f>
        <v>Atstumas</v>
      </c>
      <c r="AO172" s="7" t="str">
        <f>IFERROR(__xludf.DUMMYFUNCTION("GoogleTranslate(C172, ""en"", ""mk"")"),"Растојание")</f>
        <v>Растојание</v>
      </c>
      <c r="AP172" s="7" t="str">
        <f>IFERROR(__xludf.DUMMYFUNCTION("GoogleTranslate(C172, ""en"", ""ms"")"),"Jarak")</f>
        <v>Jarak</v>
      </c>
      <c r="AQ172" s="7" t="str">
        <f>IFERROR(__xludf.DUMMYFUNCTION("GoogleTranslate(C172, ""en"", ""ml"")"),"ദൂരം")</f>
        <v>ദൂരം</v>
      </c>
      <c r="AR172" s="7" t="str">
        <f>IFERROR(__xludf.DUMMYFUNCTION("GoogleTranslate(C172, ""en"", ""mr"")"),"अंतर")</f>
        <v>अंतर</v>
      </c>
      <c r="AS172" s="7" t="str">
        <f>IFERROR(__xludf.DUMMYFUNCTION("GoogleTranslate(C172, ""en"", ""mn"")"),"Зай")</f>
        <v>Зай</v>
      </c>
      <c r="AT172" s="7" t="str">
        <f>IFERROR(__xludf.DUMMYFUNCTION("GoogleTranslate(C172, ""en"", ""ne"")"),"दूरी")</f>
        <v>दूरी</v>
      </c>
      <c r="AU172" s="7" t="str">
        <f>IFERROR(__xludf.DUMMYFUNCTION("GoogleTranslate(C172, ""en"", ""nb"")"),"Avstand")</f>
        <v>Avstand</v>
      </c>
      <c r="AV172" s="7" t="str">
        <f>IFERROR(__xludf.DUMMYFUNCTION("GoogleTranslate(C172, ""en"", ""fa"")"),"فاصله")</f>
        <v>فاصله</v>
      </c>
      <c r="AW172" s="7" t="str">
        <f>IFERROR(__xludf.DUMMYFUNCTION("GoogleTranslate(C172, ""en"", ""pl"")"),"Dystans")</f>
        <v>Dystans</v>
      </c>
      <c r="AX172" s="7" t="str">
        <f>IFERROR(__xludf.DUMMYFUNCTION("GoogleTranslate(C172, ""en"", ""pt"")"),"Distância")</f>
        <v>Distância</v>
      </c>
      <c r="AY172" s="7" t="str">
        <f>IFERROR(__xludf.DUMMYFUNCTION("GoogleTranslate(C172, ""en"", ""ro"")"),"Distanţă")</f>
        <v>Distanţă</v>
      </c>
      <c r="AZ172" s="7" t="str">
        <f>IFERROR(__xludf.DUMMYFUNCTION("GoogleTranslate(C172, ""en"", ""ru"")"),"Расстояние")</f>
        <v>Расстояние</v>
      </c>
      <c r="BA172" s="7" t="str">
        <f>IFERROR(__xludf.DUMMYFUNCTION("GoogleTranslate(C172, ""en"", ""sr"")"),"Удаљеност")</f>
        <v>Удаљеност</v>
      </c>
      <c r="BB172" s="7" t="str">
        <f>IFERROR(__xludf.DUMMYFUNCTION("GoogleTranslate(C172, ""en"", ""si"")"),"දුර")</f>
        <v>දුර</v>
      </c>
      <c r="BC172" s="7" t="str">
        <f>IFERROR(__xludf.DUMMYFUNCTION("GoogleTranslate(C172, ""en"", ""sk"")"),"Vzdialenosť")</f>
        <v>Vzdialenosť</v>
      </c>
      <c r="BD172" s="7" t="str">
        <f>IFERROR(__xludf.DUMMYFUNCTION("GoogleTranslate(C172, ""en"", ""sl"")"),"Razdalja")</f>
        <v>Razdalja</v>
      </c>
      <c r="BE172" s="7" t="str">
        <f>IFERROR(__xludf.DUMMYFUNCTION("GoogleTranslate(C172, ""en"", ""es"")"),"Distancia")</f>
        <v>Distancia</v>
      </c>
      <c r="BF172" s="7" t="str">
        <f>IFERROR(__xludf.DUMMYFUNCTION("GoogleTranslate(C172, ""en"", ""sw"")"),"Umbali")</f>
        <v>Umbali</v>
      </c>
      <c r="BG172" s="7" t="str">
        <f>IFERROR(__xludf.DUMMYFUNCTION("GoogleTranslate(C172, ""en"", ""sv"")"),"Avstånd")</f>
        <v>Avstånd</v>
      </c>
      <c r="BH172" s="7" t="str">
        <f>IFERROR(__xludf.DUMMYFUNCTION("GoogleTranslate(C172, ""en"", ""te"")"),"దూరం")</f>
        <v>దూరం</v>
      </c>
      <c r="BI172" s="7" t="str">
        <f>IFERROR(__xludf.DUMMYFUNCTION("GoogleTranslate(C172, ""en"", ""th"")"),"ระยะทาง")</f>
        <v>ระยะทาง</v>
      </c>
      <c r="BJ172" s="7" t="str">
        <f>IFERROR(__xludf.DUMMYFUNCTION("GoogleTranslate(C172, ""en"", ""tr"")"),"Mesafe")</f>
        <v>Mesafe</v>
      </c>
      <c r="BK172" s="7" t="str">
        <f>IFERROR(__xludf.DUMMYFUNCTION("GoogleTranslate(C172, ""en"", ""uk"")"),"Відстань")</f>
        <v>Відстань</v>
      </c>
      <c r="BL172" s="7" t="str">
        <f>IFERROR(__xludf.DUMMYFUNCTION("GoogleTranslate(C172, ""en"", ""zu"")"),"Ibanga")</f>
        <v>Ibanga</v>
      </c>
    </row>
    <row r="173">
      <c r="A173" s="5" t="str">
        <f t="shared" si="1"/>
        <v>Done</v>
      </c>
      <c r="B173" s="6" t="s">
        <v>226</v>
      </c>
      <c r="C173" s="5" t="str">
        <f t="shared" si="2"/>
        <v>Done</v>
      </c>
      <c r="D173" s="7" t="str">
        <f>IFERROR(__xludf.DUMMYFUNCTION("GoogleTranslate(C173, ""en"", ""es"")"),"Hecho")</f>
        <v>Hecho</v>
      </c>
      <c r="E173" s="7" t="str">
        <f>IFERROR(__xludf.DUMMYFUNCTION("GoogleTranslate(C173, ""en"", ""ar"")"),"منتهي")</f>
        <v>منتهي</v>
      </c>
      <c r="F173" s="7" t="str">
        <f>IFERROR(__xludf.DUMMYFUNCTION("GoogleTranslate(C173, ""en"", ""hy"")"),"Կատարված է")</f>
        <v>Կատարված է</v>
      </c>
      <c r="G173" s="7" t="str">
        <f>IFERROR(__xludf.DUMMYFUNCTION("GoogleTranslate(C173, ""en"", ""vi"")"),"Xong")</f>
        <v>Xong</v>
      </c>
      <c r="H173" s="7" t="str">
        <f>IFERROR(__xludf.DUMMYFUNCTION("GoogleTranslate(C173, ""en"", ""az"")"),"Bitdi")</f>
        <v>Bitdi</v>
      </c>
      <c r="I173" s="7" t="str">
        <f>IFERROR(__xludf.DUMMYFUNCTION("GoogleTranslate(C173, ""en"", ""eu"")"),"Eginda")</f>
        <v>Eginda</v>
      </c>
      <c r="J173" s="7" t="str">
        <f>IFERROR(__xludf.DUMMYFUNCTION("GoogleTranslate(C173, ""en"", ""be"")"),"Гатова")</f>
        <v>Гатова</v>
      </c>
      <c r="K173" s="7" t="str">
        <f>IFERROR(__xludf.DUMMYFUNCTION("GoogleTranslate(C173, ""en"", ""bn"")"),"সম্পন্ন")</f>
        <v>সম্পন্ন</v>
      </c>
      <c r="L173" s="7" t="str">
        <f>IFERROR(__xludf.DUMMYFUNCTION("GoogleTranslate(C173, ""en"", ""bg"")"),"Готово")</f>
        <v>Готово</v>
      </c>
      <c r="M173" s="7" t="str">
        <f>IFERROR(__xludf.DUMMYFUNCTION("GoogleTranslate(C173, ""en"", ""my"")"),"ပြီးပြီ။")</f>
        <v>ပြီးပြီ။</v>
      </c>
      <c r="N173" s="7" t="str">
        <f>IFERROR(__xludf.DUMMYFUNCTION("GoogleTranslate(C173, ""en"", ""ca"")"),"Fet")</f>
        <v>Fet</v>
      </c>
      <c r="O173" s="7" t="str">
        <f>IFERROR(__xludf.DUMMYFUNCTION("GoogleTranslate(C173, ""en"", ""zh-cn"")"),"完毕")</f>
        <v>完毕</v>
      </c>
      <c r="P173" s="7" t="str">
        <f>IFERROR(__xludf.DUMMYFUNCTION("GoogleTranslate(C173, ""en"", ""zh-TW"")"),"完畢")</f>
        <v>完畢</v>
      </c>
      <c r="Q173" s="7" t="str">
        <f>IFERROR(__xludf.DUMMYFUNCTION("GoogleTranslate(C173, ""en"", ""hr"")"),"Gotovo")</f>
        <v>Gotovo</v>
      </c>
      <c r="R173" s="7" t="str">
        <f>IFERROR(__xludf.DUMMYFUNCTION("GoogleTranslate(C173, ""en"", ""cs"")"),"Hotovo")</f>
        <v>Hotovo</v>
      </c>
      <c r="S173" s="7" t="str">
        <f>IFERROR(__xludf.DUMMYFUNCTION("GoogleTranslate(C173, ""en"", ""da"")"),"Færdig")</f>
        <v>Færdig</v>
      </c>
      <c r="T173" s="7" t="str">
        <f>IFERROR(__xludf.DUMMYFUNCTION("GoogleTranslate(C173, ""en"", ""nl"")"),"Klaar")</f>
        <v>Klaar</v>
      </c>
      <c r="U173" s="7" t="str">
        <f>IFERROR(__xludf.DUMMYFUNCTION("GoogleTranslate(C173, ""en"", ""et"")"),"Valmis")</f>
        <v>Valmis</v>
      </c>
      <c r="V173" s="5" t="str">
        <f t="shared" si="3"/>
        <v>Done</v>
      </c>
      <c r="W173" s="7" t="str">
        <f>IFERROR(__xludf.DUMMYFUNCTION("GoogleTranslate(C173, ""en"", ""fi"")"),"Tehty")</f>
        <v>Tehty</v>
      </c>
      <c r="X173" s="7" t="str">
        <f>IFERROR(__xludf.DUMMYFUNCTION("GoogleTranslate(C173, ""en"", ""fr"")"),"Fait")</f>
        <v>Fait</v>
      </c>
      <c r="Y173" s="7" t="str">
        <f>IFERROR(__xludf.DUMMYFUNCTION("GoogleTranslate(C173, ""en"", ""de"")"),"Erledigt")</f>
        <v>Erledigt</v>
      </c>
      <c r="Z173" s="7" t="str">
        <f>IFERROR(__xludf.DUMMYFUNCTION("GoogleTranslate(C173, ""en"", ""el"")"),"Γινώμενος")</f>
        <v>Γινώμενος</v>
      </c>
      <c r="AA173" s="7" t="str">
        <f>IFERROR(__xludf.DUMMYFUNCTION("GoogleTranslate(C173, ""en"", ""iw"")"),"נַעֲשָׂה")</f>
        <v>נַעֲשָׂה</v>
      </c>
      <c r="AB173" s="7" t="str">
        <f>IFERROR(__xludf.DUMMYFUNCTION("GoogleTranslate(C173, ""en"", ""hi"")"),"हो गया")</f>
        <v>हो गया</v>
      </c>
      <c r="AC173" s="7" t="str">
        <f>IFERROR(__xludf.DUMMYFUNCTION("GoogleTranslate(C173, ""en"", ""hu"")"),"Kész")</f>
        <v>Kész</v>
      </c>
      <c r="AD173" s="7" t="str">
        <f>IFERROR(__xludf.DUMMYFUNCTION("GoogleTranslate(C173, ""en"", ""is"")"),"Búið")</f>
        <v>Búið</v>
      </c>
      <c r="AE173" s="7" t="str">
        <f>IFERROR(__xludf.DUMMYFUNCTION("GoogleTranslate(C173, ""en"", ""id"")"),"Selesai")</f>
        <v>Selesai</v>
      </c>
      <c r="AF173" s="7" t="str">
        <f>IFERROR(__xludf.DUMMYFUNCTION("GoogleTranslate(C173, ""en"", ""in"")"),"Selesai")</f>
        <v>Selesai</v>
      </c>
      <c r="AG173" s="7" t="str">
        <f>IFERROR(__xludf.DUMMYFUNCTION("GoogleTranslate(C173, ""en"", ""it"")"),"Fatto")</f>
        <v>Fatto</v>
      </c>
      <c r="AH173" s="7" t="str">
        <f>IFERROR(__xludf.DUMMYFUNCTION("GoogleTranslate(C173, ""en"", ""ja"")"),"終わり")</f>
        <v>終わり</v>
      </c>
      <c r="AI173" s="7" t="str">
        <f>IFERROR(__xludf.DUMMYFUNCTION("GoogleTranslate(C173, ""en"", ""kn"")"),"ಮುಗಿದಿದೆ")</f>
        <v>ಮುಗಿದಿದೆ</v>
      </c>
      <c r="AJ173" s="7" t="str">
        <f>IFERROR(__xludf.DUMMYFUNCTION("GoogleTranslate(C173, ""en"", ""km"")"),"រួចរាល់")</f>
        <v>រួចរាល់</v>
      </c>
      <c r="AK173" s="7" t="str">
        <f>IFERROR(__xludf.DUMMYFUNCTION("GoogleTranslate(C173, ""en"", ""ko"")"),"완료")</f>
        <v>완료</v>
      </c>
      <c r="AL173" s="7" t="str">
        <f>IFERROR(__xludf.DUMMYFUNCTION("GoogleTranslate(C173, ""en"", ""lo"")"),"ສຳເລັດແລ້ວ")</f>
        <v>ສຳເລັດແລ້ວ</v>
      </c>
      <c r="AM173" s="7" t="str">
        <f>IFERROR(__xludf.DUMMYFUNCTION("GoogleTranslate(C173, ""en"", ""lv"")"),"Gatavs")</f>
        <v>Gatavs</v>
      </c>
      <c r="AN173" s="7" t="str">
        <f>IFERROR(__xludf.DUMMYFUNCTION("GoogleTranslate(C173, ""en"", ""lt"")"),"Atlikta")</f>
        <v>Atlikta</v>
      </c>
      <c r="AO173" s="7" t="str">
        <f>IFERROR(__xludf.DUMMYFUNCTION("GoogleTranslate(C173, ""en"", ""mk"")"),"Готово")</f>
        <v>Готово</v>
      </c>
      <c r="AP173" s="7" t="str">
        <f>IFERROR(__xludf.DUMMYFUNCTION("GoogleTranslate(C173, ""en"", ""ms"")"),"Selesai")</f>
        <v>Selesai</v>
      </c>
      <c r="AQ173" s="7" t="str">
        <f>IFERROR(__xludf.DUMMYFUNCTION("GoogleTranslate(C173, ""en"", ""ml"")"),"ചെയ്തു")</f>
        <v>ചെയ്തു</v>
      </c>
      <c r="AR173" s="7" t="str">
        <f>IFERROR(__xludf.DUMMYFUNCTION("GoogleTranslate(C173, ""en"", ""mr"")"),"झाले")</f>
        <v>झाले</v>
      </c>
      <c r="AS173" s="7" t="str">
        <f>IFERROR(__xludf.DUMMYFUNCTION("GoogleTranslate(C173, ""en"", ""mn"")"),"Дууслаа")</f>
        <v>Дууслаа</v>
      </c>
      <c r="AT173" s="7" t="str">
        <f>IFERROR(__xludf.DUMMYFUNCTION("GoogleTranslate(C173, ""en"", ""ne"")"),"सकियो")</f>
        <v>सकियो</v>
      </c>
      <c r="AU173" s="7" t="str">
        <f>IFERROR(__xludf.DUMMYFUNCTION("GoogleTranslate(C173, ""en"", ""nb"")"),"Ferdig")</f>
        <v>Ferdig</v>
      </c>
      <c r="AV173" s="7" t="str">
        <f>IFERROR(__xludf.DUMMYFUNCTION("GoogleTranslate(C173, ""en"", ""fa"")"),"انجام شد")</f>
        <v>انجام شد</v>
      </c>
      <c r="AW173" s="7" t="str">
        <f>IFERROR(__xludf.DUMMYFUNCTION("GoogleTranslate(C173, ""en"", ""pl"")"),"Zrobione")</f>
        <v>Zrobione</v>
      </c>
      <c r="AX173" s="7" t="str">
        <f>IFERROR(__xludf.DUMMYFUNCTION("GoogleTranslate(C173, ""en"", ""pt"")"),"Feito")</f>
        <v>Feito</v>
      </c>
      <c r="AY173" s="7" t="str">
        <f>IFERROR(__xludf.DUMMYFUNCTION("GoogleTranslate(C173, ""en"", ""ro"")"),"Făcut")</f>
        <v>Făcut</v>
      </c>
      <c r="AZ173" s="7" t="str">
        <f>IFERROR(__xludf.DUMMYFUNCTION("GoogleTranslate(C173, ""en"", ""ru"")"),"Сделанный")</f>
        <v>Сделанный</v>
      </c>
      <c r="BA173" s="7" t="str">
        <f>IFERROR(__xludf.DUMMYFUNCTION("GoogleTranslate(C173, ""en"", ""sr"")"),"Готово")</f>
        <v>Готово</v>
      </c>
      <c r="BB173" s="7" t="str">
        <f>IFERROR(__xludf.DUMMYFUNCTION("GoogleTranslate(C173, ""en"", ""si"")"),"කළා")</f>
        <v>කළා</v>
      </c>
      <c r="BC173" s="7" t="str">
        <f>IFERROR(__xludf.DUMMYFUNCTION("GoogleTranslate(C173, ""en"", ""sk"")"),"Hotovo")</f>
        <v>Hotovo</v>
      </c>
      <c r="BD173" s="7" t="str">
        <f>IFERROR(__xludf.DUMMYFUNCTION("GoogleTranslate(C173, ""en"", ""sl"")"),"Končano")</f>
        <v>Končano</v>
      </c>
      <c r="BE173" s="7" t="str">
        <f>IFERROR(__xludf.DUMMYFUNCTION("GoogleTranslate(C173, ""en"", ""es"")"),"Hecho")</f>
        <v>Hecho</v>
      </c>
      <c r="BF173" s="7" t="str">
        <f>IFERROR(__xludf.DUMMYFUNCTION("GoogleTranslate(C173, ""en"", ""sw"")"),"Imekamilika")</f>
        <v>Imekamilika</v>
      </c>
      <c r="BG173" s="7" t="str">
        <f>IFERROR(__xludf.DUMMYFUNCTION("GoogleTranslate(C173, ""en"", ""sv"")"),"Gjort")</f>
        <v>Gjort</v>
      </c>
      <c r="BH173" s="7" t="str">
        <f>IFERROR(__xludf.DUMMYFUNCTION("GoogleTranslate(C173, ""en"", ""te"")"),"పూర్తయింది")</f>
        <v>పూర్తయింది</v>
      </c>
      <c r="BI173" s="7" t="str">
        <f>IFERROR(__xludf.DUMMYFUNCTION("GoogleTranslate(C173, ""en"", ""th"")"),"เสร็จแล้ว")</f>
        <v>เสร็จแล้ว</v>
      </c>
      <c r="BJ173" s="7" t="str">
        <f>IFERROR(__xludf.DUMMYFUNCTION("GoogleTranslate(C173, ""en"", ""tr"")"),"Tamamlamak")</f>
        <v>Tamamlamak</v>
      </c>
      <c r="BK173" s="7" t="str">
        <f>IFERROR(__xludf.DUMMYFUNCTION("GoogleTranslate(C173, ""en"", ""uk"")"),"Готово")</f>
        <v>Готово</v>
      </c>
      <c r="BL173" s="7" t="str">
        <f>IFERROR(__xludf.DUMMYFUNCTION("GoogleTranslate(C173, ""en"", ""zu"")"),"Kwenziwe")</f>
        <v>Kwenziwe</v>
      </c>
    </row>
    <row r="174">
      <c r="A174" s="5" t="str">
        <f t="shared" si="1"/>
        <v>Notification_settings</v>
      </c>
      <c r="B174" s="6" t="s">
        <v>227</v>
      </c>
      <c r="C174" s="5" t="str">
        <f t="shared" si="2"/>
        <v>Notification settings</v>
      </c>
      <c r="D174" s="7" t="str">
        <f>IFERROR(__xludf.DUMMYFUNCTION("GoogleTranslate(C174, ""en"", ""es"")"),"Configuración de notificaciones")</f>
        <v>Configuración de notificaciones</v>
      </c>
      <c r="E174" s="7" t="str">
        <f>IFERROR(__xludf.DUMMYFUNCTION("GoogleTranslate(C174, ""en"", ""ar"")"),"إعدادات الإخطار")</f>
        <v>إعدادات الإخطار</v>
      </c>
      <c r="F174" s="7" t="str">
        <f>IFERROR(__xludf.DUMMYFUNCTION("GoogleTranslate(C174, ""en"", ""hy"")"),"Ծանուցման կարգավորումներ")</f>
        <v>Ծանուցման կարգավորումներ</v>
      </c>
      <c r="G174" s="7" t="str">
        <f>IFERROR(__xludf.DUMMYFUNCTION("GoogleTranslate(C174, ""en"", ""vi"")"),"Cài đặt thông báo")</f>
        <v>Cài đặt thông báo</v>
      </c>
      <c r="H174" s="7" t="str">
        <f>IFERROR(__xludf.DUMMYFUNCTION("GoogleTranslate(C174, ""en"", ""az"")"),"Bildiriş parametrləri")</f>
        <v>Bildiriş parametrləri</v>
      </c>
      <c r="I174" s="7" t="str">
        <f>IFERROR(__xludf.DUMMYFUNCTION("GoogleTranslate(C174, ""en"", ""eu"")"),"Jakinarazpen-ezarpenak")</f>
        <v>Jakinarazpen-ezarpenak</v>
      </c>
      <c r="J174" s="7" t="str">
        <f>IFERROR(__xludf.DUMMYFUNCTION("GoogleTranslate(C174, ""en"", ""be"")"),"Налады апавяшчэнняў")</f>
        <v>Налады апавяшчэнняў</v>
      </c>
      <c r="K174" s="7" t="str">
        <f>IFERROR(__xludf.DUMMYFUNCTION("GoogleTranslate(C174, ""en"", ""bn"")"),"বিজ্ঞপ্তি সেটিংস")</f>
        <v>বিজ্ঞপ্তি সেটিংস</v>
      </c>
      <c r="L174" s="7" t="str">
        <f>IFERROR(__xludf.DUMMYFUNCTION("GoogleTranslate(C174, ""en"", ""bg"")"),"Настройки за уведомяване")</f>
        <v>Настройки за уведомяване</v>
      </c>
      <c r="M174" s="7" t="str">
        <f>IFERROR(__xludf.DUMMYFUNCTION("GoogleTranslate(C174, ""en"", ""my"")"),"အကြောင်းကြားချက် ဆက်တင်များ")</f>
        <v>အကြောင်းကြားချက် ဆက်တင်များ</v>
      </c>
      <c r="N174" s="7" t="str">
        <f>IFERROR(__xludf.DUMMYFUNCTION("GoogleTranslate(C174, ""en"", ""ca"")"),"Configuració de notificacions")</f>
        <v>Configuració de notificacions</v>
      </c>
      <c r="O174" s="7" t="str">
        <f>IFERROR(__xludf.DUMMYFUNCTION("GoogleTranslate(C174, ""en"", ""zh-cn"")"),"通知设置")</f>
        <v>通知设置</v>
      </c>
      <c r="P174" s="7" t="str">
        <f>IFERROR(__xludf.DUMMYFUNCTION("GoogleTranslate(C174, ""en"", ""zh-TW"")"),"通知設定")</f>
        <v>通知設定</v>
      </c>
      <c r="Q174" s="7" t="str">
        <f>IFERROR(__xludf.DUMMYFUNCTION("GoogleTranslate(C174, ""en"", ""hr"")"),"Postavke obavijesti")</f>
        <v>Postavke obavijesti</v>
      </c>
      <c r="R174" s="7" t="str">
        <f>IFERROR(__xludf.DUMMYFUNCTION("GoogleTranslate(C174, ""en"", ""cs"")"),"Nastavení oznámení")</f>
        <v>Nastavení oznámení</v>
      </c>
      <c r="S174" s="7" t="str">
        <f>IFERROR(__xludf.DUMMYFUNCTION("GoogleTranslate(C174, ""en"", ""da"")"),"Notifikationsindstillinger")</f>
        <v>Notifikationsindstillinger</v>
      </c>
      <c r="T174" s="7" t="str">
        <f>IFERROR(__xludf.DUMMYFUNCTION("GoogleTranslate(C174, ""en"", ""nl"")"),"Meldingsinstellingen")</f>
        <v>Meldingsinstellingen</v>
      </c>
      <c r="U174" s="7" t="str">
        <f>IFERROR(__xludf.DUMMYFUNCTION("GoogleTranslate(C174, ""en"", ""et"")"),"Teavituste seaded")</f>
        <v>Teavituste seaded</v>
      </c>
      <c r="V174" s="5" t="str">
        <f t="shared" si="3"/>
        <v>Notification settings</v>
      </c>
      <c r="W174" s="7" t="str">
        <f>IFERROR(__xludf.DUMMYFUNCTION("GoogleTranslate(C174, ""en"", ""fi"")"),"Ilmoitusasetukset")</f>
        <v>Ilmoitusasetukset</v>
      </c>
      <c r="X174" s="7" t="str">
        <f>IFERROR(__xludf.DUMMYFUNCTION("GoogleTranslate(C174, ""en"", ""fr"")"),"Paramètres de notification")</f>
        <v>Paramètres de notification</v>
      </c>
      <c r="Y174" s="7" t="str">
        <f>IFERROR(__xludf.DUMMYFUNCTION("GoogleTranslate(C174, ""en"", ""de"")"),"Benachrichtigungseinstellungen")</f>
        <v>Benachrichtigungseinstellungen</v>
      </c>
      <c r="Z174" s="7" t="str">
        <f>IFERROR(__xludf.DUMMYFUNCTION("GoogleTranslate(C174, ""en"", ""el"")"),"Ρυθμίσεις ειδοποιήσεων")</f>
        <v>Ρυθμίσεις ειδοποιήσεων</v>
      </c>
      <c r="AA174" s="7" t="str">
        <f>IFERROR(__xludf.DUMMYFUNCTION("GoogleTranslate(C174, ""en"", ""iw"")"),"הגדרות התראות")</f>
        <v>הגדרות התראות</v>
      </c>
      <c r="AB174" s="7" t="str">
        <f>IFERROR(__xludf.DUMMYFUNCTION("GoogleTranslate(C174, ""en"", ""hi"")"),"अधिसूचना सेटिंग्स")</f>
        <v>अधिसूचना सेटिंग्स</v>
      </c>
      <c r="AC174" s="7" t="str">
        <f>IFERROR(__xludf.DUMMYFUNCTION("GoogleTranslate(C174, ""en"", ""hu"")"),"Értesítési beállítások")</f>
        <v>Értesítési beállítások</v>
      </c>
      <c r="AD174" s="7" t="str">
        <f>IFERROR(__xludf.DUMMYFUNCTION("GoogleTranslate(C174, ""en"", ""is"")"),"Tilkynningastillingar")</f>
        <v>Tilkynningastillingar</v>
      </c>
      <c r="AE174" s="7" t="str">
        <f>IFERROR(__xludf.DUMMYFUNCTION("GoogleTranslate(C174, ""en"", ""id"")"),"Pengaturan notifikasi")</f>
        <v>Pengaturan notifikasi</v>
      </c>
      <c r="AF174" s="7" t="str">
        <f>IFERROR(__xludf.DUMMYFUNCTION("GoogleTranslate(C174, ""en"", ""in"")"),"Pengaturan notifikasi")</f>
        <v>Pengaturan notifikasi</v>
      </c>
      <c r="AG174" s="7" t="str">
        <f>IFERROR(__xludf.DUMMYFUNCTION("GoogleTranslate(C174, ""en"", ""it"")"),"Impostazioni di notifica")</f>
        <v>Impostazioni di notifica</v>
      </c>
      <c r="AH174" s="7" t="str">
        <f>IFERROR(__xludf.DUMMYFUNCTION("GoogleTranslate(C174, ""en"", ""ja"")"),"通知設定")</f>
        <v>通知設定</v>
      </c>
      <c r="AI174" s="7" t="str">
        <f>IFERROR(__xludf.DUMMYFUNCTION("GoogleTranslate(C174, ""en"", ""kn"")"),"ಅಧಿಸೂಚನೆ ಸೆಟ್ಟಿಂಗ್‌ಗಳು")</f>
        <v>ಅಧಿಸೂಚನೆ ಸೆಟ್ಟಿಂಗ್‌ಗಳು</v>
      </c>
      <c r="AJ174" s="7" t="str">
        <f>IFERROR(__xludf.DUMMYFUNCTION("GoogleTranslate(C174, ""en"", ""km"")"),"ការកំណត់ការជូនដំណឹង")</f>
        <v>ការកំណត់ការជូនដំណឹង</v>
      </c>
      <c r="AK174" s="7" t="str">
        <f>IFERROR(__xludf.DUMMYFUNCTION("GoogleTranslate(C174, ""en"", ""ko"")"),"알림 설정")</f>
        <v>알림 설정</v>
      </c>
      <c r="AL174" s="7" t="str">
        <f>IFERROR(__xludf.DUMMYFUNCTION("GoogleTranslate(C174, ""en"", ""lo"")"),"ການຕັ້ງຄ່າການແຈ້ງເຕືອນ")</f>
        <v>ການຕັ້ງຄ່າການແຈ້ງເຕືອນ</v>
      </c>
      <c r="AM174" s="7" t="str">
        <f>IFERROR(__xludf.DUMMYFUNCTION("GoogleTranslate(C174, ""en"", ""lv"")"),"Paziņojumu iestatījumi")</f>
        <v>Paziņojumu iestatījumi</v>
      </c>
      <c r="AN174" s="7" t="str">
        <f>IFERROR(__xludf.DUMMYFUNCTION("GoogleTranslate(C174, ""en"", ""lt"")"),"Pranešimų nustatymai")</f>
        <v>Pranešimų nustatymai</v>
      </c>
      <c r="AO174" s="7" t="str">
        <f>IFERROR(__xludf.DUMMYFUNCTION("GoogleTranslate(C174, ""en"", ""mk"")"),"Поставки за известување")</f>
        <v>Поставки за известување</v>
      </c>
      <c r="AP174" s="7" t="str">
        <f>IFERROR(__xludf.DUMMYFUNCTION("GoogleTranslate(C174, ""en"", ""ms"")"),"Tetapan pemberitahuan")</f>
        <v>Tetapan pemberitahuan</v>
      </c>
      <c r="AQ174" s="7" t="str">
        <f>IFERROR(__xludf.DUMMYFUNCTION("GoogleTranslate(C174, ""en"", ""ml"")"),"അറിയിപ്പ് ക്രമീകരണങ്ങൾ")</f>
        <v>അറിയിപ്പ് ക്രമീകരണങ്ങൾ</v>
      </c>
      <c r="AR174" s="7" t="str">
        <f>IFERROR(__xludf.DUMMYFUNCTION("GoogleTranslate(C174, ""en"", ""mr"")"),"सूचना सेटिंग्ज")</f>
        <v>सूचना सेटिंग्ज</v>
      </c>
      <c r="AS174" s="7" t="str">
        <f>IFERROR(__xludf.DUMMYFUNCTION("GoogleTranslate(C174, ""en"", ""mn"")"),"Мэдэгдлийн тохиргоо")</f>
        <v>Мэдэгдлийн тохиргоо</v>
      </c>
      <c r="AT174" s="7" t="str">
        <f>IFERROR(__xludf.DUMMYFUNCTION("GoogleTranslate(C174, ""en"", ""ne"")"),"सूचना सेटिङहरू")</f>
        <v>सूचना सेटिङहरू</v>
      </c>
      <c r="AU174" s="7" t="str">
        <f>IFERROR(__xludf.DUMMYFUNCTION("GoogleTranslate(C174, ""en"", ""nb"")"),"Varslingsinnstillinger")</f>
        <v>Varslingsinnstillinger</v>
      </c>
      <c r="AV174" s="7" t="str">
        <f>IFERROR(__xludf.DUMMYFUNCTION("GoogleTranslate(C174, ""en"", ""fa"")"),"تنظیمات اعلان")</f>
        <v>تنظیمات اعلان</v>
      </c>
      <c r="AW174" s="7" t="str">
        <f>IFERROR(__xludf.DUMMYFUNCTION("GoogleTranslate(C174, ""en"", ""pl"")"),"Ustawienia powiadomień")</f>
        <v>Ustawienia powiadomień</v>
      </c>
      <c r="AX174" s="7" t="str">
        <f>IFERROR(__xludf.DUMMYFUNCTION("GoogleTranslate(C174, ""en"", ""pt"")"),"Configurações de notificação")</f>
        <v>Configurações de notificação</v>
      </c>
      <c r="AY174" s="7" t="str">
        <f>IFERROR(__xludf.DUMMYFUNCTION("GoogleTranslate(C174, ""en"", ""ro"")"),"Setări de notificare")</f>
        <v>Setări de notificare</v>
      </c>
      <c r="AZ174" s="7" t="str">
        <f>IFERROR(__xludf.DUMMYFUNCTION("GoogleTranslate(C174, ""en"", ""ru"")"),"Настройки уведомлений")</f>
        <v>Настройки уведомлений</v>
      </c>
      <c r="BA174" s="7" t="str">
        <f>IFERROR(__xludf.DUMMYFUNCTION("GoogleTranslate(C174, ""en"", ""sr"")"),"Подешавања обавештења")</f>
        <v>Подешавања обавештења</v>
      </c>
      <c r="BB174" s="7" t="str">
        <f>IFERROR(__xludf.DUMMYFUNCTION("GoogleTranslate(C174, ""en"", ""si"")"),"දැනුම්දීම් සැකසුම්")</f>
        <v>දැනුම්දීම් සැකසුම්</v>
      </c>
      <c r="BC174" s="7" t="str">
        <f>IFERROR(__xludf.DUMMYFUNCTION("GoogleTranslate(C174, ""en"", ""sk"")"),"Nastavenia upozornení")</f>
        <v>Nastavenia upozornení</v>
      </c>
      <c r="BD174" s="7" t="str">
        <f>IFERROR(__xludf.DUMMYFUNCTION("GoogleTranslate(C174, ""en"", ""sl"")"),"Nastavitve obvestil")</f>
        <v>Nastavitve obvestil</v>
      </c>
      <c r="BE174" s="7" t="str">
        <f>IFERROR(__xludf.DUMMYFUNCTION("GoogleTranslate(C174, ""en"", ""es"")"),"Configuración de notificaciones")</f>
        <v>Configuración de notificaciones</v>
      </c>
      <c r="BF174" s="7" t="str">
        <f>IFERROR(__xludf.DUMMYFUNCTION("GoogleTranslate(C174, ""en"", ""sw"")"),"Mipangilio ya arifa")</f>
        <v>Mipangilio ya arifa</v>
      </c>
      <c r="BG174" s="7" t="str">
        <f>IFERROR(__xludf.DUMMYFUNCTION("GoogleTranslate(C174, ""en"", ""sv"")"),"Aviseringsinställningar")</f>
        <v>Aviseringsinställningar</v>
      </c>
      <c r="BH174" s="7" t="str">
        <f>IFERROR(__xludf.DUMMYFUNCTION("GoogleTranslate(C174, ""en"", ""te"")"),"నోటిఫికేషన్ సెట్టింగ్‌లు")</f>
        <v>నోటిఫికేషన్ సెట్టింగ్‌లు</v>
      </c>
      <c r="BI174" s="7" t="str">
        <f>IFERROR(__xludf.DUMMYFUNCTION("GoogleTranslate(C174, ""en"", ""th"")"),"การตั้งค่าการแจ้งเตือน")</f>
        <v>การตั้งค่าการแจ้งเตือน</v>
      </c>
      <c r="BJ174" s="7" t="str">
        <f>IFERROR(__xludf.DUMMYFUNCTION("GoogleTranslate(C174, ""en"", ""tr"")"),"Bildirim ayarları")</f>
        <v>Bildirim ayarları</v>
      </c>
      <c r="BK174" s="7" t="str">
        <f>IFERROR(__xludf.DUMMYFUNCTION("GoogleTranslate(C174, ""en"", ""uk"")"),"Налаштування сповіщень")</f>
        <v>Налаштування сповіщень</v>
      </c>
      <c r="BL174" s="7" t="str">
        <f>IFERROR(__xludf.DUMMYFUNCTION("GoogleTranslate(C174, ""en"", ""zu"")"),"Izilungiselelo zezaziso")</f>
        <v>Izilungiselelo zezaziso</v>
      </c>
    </row>
    <row r="175">
      <c r="A175" s="5" t="str">
        <f t="shared" si="1"/>
        <v>Get_PRO_version</v>
      </c>
      <c r="B175" s="6" t="s">
        <v>228</v>
      </c>
      <c r="C175" s="5" t="str">
        <f t="shared" si="2"/>
        <v>Get PRO version</v>
      </c>
      <c r="D175" s="7" t="str">
        <f>IFERROR(__xludf.DUMMYFUNCTION("GoogleTranslate(C175, ""en"", ""es"")"),"Obtener la versión PRO")</f>
        <v>Obtener la versión PRO</v>
      </c>
      <c r="E175" s="7" t="str">
        <f>IFERROR(__xludf.DUMMYFUNCTION("GoogleTranslate(C175, ""en"", ""ar"")"),"احصل على نسخة PRO")</f>
        <v>احصل على نسخة PRO</v>
      </c>
      <c r="F175" s="7" t="str">
        <f>IFERROR(__xludf.DUMMYFUNCTION("GoogleTranslate(C175, ""en"", ""hy"")"),"Ստացեք PRO տարբերակը")</f>
        <v>Ստացեք PRO տարբերակը</v>
      </c>
      <c r="G175" s="7" t="str">
        <f>IFERROR(__xludf.DUMMYFUNCTION("GoogleTranslate(C175, ""en"", ""vi"")"),"Nhận phiên bản PRO")</f>
        <v>Nhận phiên bản PRO</v>
      </c>
      <c r="H175" s="7" t="str">
        <f>IFERROR(__xludf.DUMMYFUNCTION("GoogleTranslate(C175, ""en"", ""az"")"),"PRO versiyasını əldə edin")</f>
        <v>PRO versiyasını əldə edin</v>
      </c>
      <c r="I175" s="7" t="str">
        <f>IFERROR(__xludf.DUMMYFUNCTION("GoogleTranslate(C175, ""en"", ""eu"")"),"Lortu PRO bertsioa")</f>
        <v>Lortu PRO bertsioa</v>
      </c>
      <c r="J175" s="7" t="str">
        <f>IFERROR(__xludf.DUMMYFUNCTION("GoogleTranslate(C175, ""en"", ""be"")"),"Атрымаць PRO версію")</f>
        <v>Атрымаць PRO версію</v>
      </c>
      <c r="K175" s="7" t="str">
        <f>IFERROR(__xludf.DUMMYFUNCTION("GoogleTranslate(C175, ""en"", ""bn"")"),"PRO সংস্করণ পান")</f>
        <v>PRO সংস্করণ পান</v>
      </c>
      <c r="L175" s="7" t="str">
        <f>IFERROR(__xludf.DUMMYFUNCTION("GoogleTranslate(C175, ""en"", ""bg"")"),"Вземете PRO версия")</f>
        <v>Вземете PRO версия</v>
      </c>
      <c r="M175" s="7" t="str">
        <f>IFERROR(__xludf.DUMMYFUNCTION("GoogleTranslate(C175, ""en"", ""my"")"),"PRO ဗားရှင်းကို ရယူပါ။")</f>
        <v>PRO ဗားရှင်းကို ရယူပါ။</v>
      </c>
      <c r="N175" s="7" t="str">
        <f>IFERROR(__xludf.DUMMYFUNCTION("GoogleTranslate(C175, ""en"", ""ca"")"),"Obteniu la versió PRO")</f>
        <v>Obteniu la versió PRO</v>
      </c>
      <c r="O175" s="7" t="str">
        <f>IFERROR(__xludf.DUMMYFUNCTION("GoogleTranslate(C175, ""en"", ""zh-cn"")"),"获取专业版")</f>
        <v>获取专业版</v>
      </c>
      <c r="P175" s="7" t="str">
        <f>IFERROR(__xludf.DUMMYFUNCTION("GoogleTranslate(C175, ""en"", ""zh-TW"")"),"取得專業版")</f>
        <v>取得專業版</v>
      </c>
      <c r="Q175" s="7" t="str">
        <f>IFERROR(__xludf.DUMMYFUNCTION("GoogleTranslate(C175, ""en"", ""hr"")"),"Nabavite PRO verziju")</f>
        <v>Nabavite PRO verziju</v>
      </c>
      <c r="R175" s="7" t="str">
        <f>IFERROR(__xludf.DUMMYFUNCTION("GoogleTranslate(C175, ""en"", ""cs"")"),"Získejte PRO verzi")</f>
        <v>Získejte PRO verzi</v>
      </c>
      <c r="S175" s="7" t="str">
        <f>IFERROR(__xludf.DUMMYFUNCTION("GoogleTranslate(C175, ""en"", ""da"")"),"Hent PRO version")</f>
        <v>Hent PRO version</v>
      </c>
      <c r="T175" s="7" t="str">
        <f>IFERROR(__xludf.DUMMYFUNCTION("GoogleTranslate(C175, ""en"", ""nl"")"),"PRO-versie downloaden")</f>
        <v>PRO-versie downloaden</v>
      </c>
      <c r="U175" s="7" t="str">
        <f>IFERROR(__xludf.DUMMYFUNCTION("GoogleTranslate(C175, ""en"", ""et"")"),"Hangi PRO versioon")</f>
        <v>Hangi PRO versioon</v>
      </c>
      <c r="V175" s="5" t="str">
        <f t="shared" si="3"/>
        <v>Get PRO version</v>
      </c>
      <c r="W175" s="7" t="str">
        <f>IFERROR(__xludf.DUMMYFUNCTION("GoogleTranslate(C175, ""en"", ""fi"")"),"Hanki PRO-versio")</f>
        <v>Hanki PRO-versio</v>
      </c>
      <c r="X175" s="7" t="str">
        <f>IFERROR(__xludf.DUMMYFUNCTION("GoogleTranslate(C175, ""en"", ""fr"")"),"Obtenir la version PRO")</f>
        <v>Obtenir la version PRO</v>
      </c>
      <c r="Y175" s="7" t="str">
        <f>IFERROR(__xludf.DUMMYFUNCTION("GoogleTranslate(C175, ""en"", ""de"")"),"Holen Sie sich die PRO-Version")</f>
        <v>Holen Sie sich die PRO-Version</v>
      </c>
      <c r="Z175" s="7" t="str">
        <f>IFERROR(__xludf.DUMMYFUNCTION("GoogleTranslate(C175, ""en"", ""el"")"),"Αποκτήστε την έκδοση PRO")</f>
        <v>Αποκτήστε την έκδοση PRO</v>
      </c>
      <c r="AA175" s="7" t="str">
        <f>IFERROR(__xludf.DUMMYFUNCTION("GoogleTranslate(C175, ""en"", ""iw"")"),"קבל גרסת PRO")</f>
        <v>קבל גרסת PRO</v>
      </c>
      <c r="AB175" s="7" t="str">
        <f>IFERROR(__xludf.DUMMYFUNCTION("GoogleTranslate(C175, ""en"", ""hi"")"),"प्रो संस्करण प्राप्त करें")</f>
        <v>प्रो संस्करण प्राप्त करें</v>
      </c>
      <c r="AC175" s="7" t="str">
        <f>IFERROR(__xludf.DUMMYFUNCTION("GoogleTranslate(C175, ""en"", ""hu"")"),"Szerezd meg a PRO verziót")</f>
        <v>Szerezd meg a PRO verziót</v>
      </c>
      <c r="AD175" s="7" t="str">
        <f>IFERROR(__xludf.DUMMYFUNCTION("GoogleTranslate(C175, ""en"", ""is"")"),"Fáðu PRO útgáfu")</f>
        <v>Fáðu PRO útgáfu</v>
      </c>
      <c r="AE175" s="7" t="str">
        <f>IFERROR(__xludf.DUMMYFUNCTION("GoogleTranslate(C175, ""en"", ""id"")"),"Dapatkan versi PRO")</f>
        <v>Dapatkan versi PRO</v>
      </c>
      <c r="AF175" s="7" t="str">
        <f>IFERROR(__xludf.DUMMYFUNCTION("GoogleTranslate(C175, ""en"", ""in"")"),"Dapatkan versi PRO")</f>
        <v>Dapatkan versi PRO</v>
      </c>
      <c r="AG175" s="7" t="str">
        <f>IFERROR(__xludf.DUMMYFUNCTION("GoogleTranslate(C175, ""en"", ""it"")"),"Ottieni la versione PRO")</f>
        <v>Ottieni la versione PRO</v>
      </c>
      <c r="AH175" s="7" t="str">
        <f>IFERROR(__xludf.DUMMYFUNCTION("GoogleTranslate(C175, ""en"", ""ja"")"),"PRO バージョンを入手")</f>
        <v>PRO バージョンを入手</v>
      </c>
      <c r="AI175" s="7" t="str">
        <f>IFERROR(__xludf.DUMMYFUNCTION("GoogleTranslate(C175, ""en"", ""kn"")"),"PRO ಆವೃತ್ತಿಯನ್ನು ಪಡೆಯಿರಿ")</f>
        <v>PRO ಆವೃತ್ತಿಯನ್ನು ಪಡೆಯಿರಿ</v>
      </c>
      <c r="AJ175" s="7" t="str">
        <f>IFERROR(__xludf.DUMMYFUNCTION("GoogleTranslate(C175, ""en"", ""km"")"),"ទទួលបានកំណែ PRO")</f>
        <v>ទទួលបានកំណែ PRO</v>
      </c>
      <c r="AK175" s="7" t="str">
        <f>IFERROR(__xludf.DUMMYFUNCTION("GoogleTranslate(C175, ""en"", ""ko"")"),"PRO 버전 받기")</f>
        <v>PRO 버전 받기</v>
      </c>
      <c r="AL175" s="7" t="str">
        <f>IFERROR(__xludf.DUMMYFUNCTION("GoogleTranslate(C175, ""en"", ""lo"")"),"ເອົາລຸ້ນ PRO")</f>
        <v>ເອົາລຸ້ນ PRO</v>
      </c>
      <c r="AM175" s="7" t="str">
        <f>IFERROR(__xludf.DUMMYFUNCTION("GoogleTranslate(C175, ""en"", ""lv"")"),"Iegūstiet PRO versiju")</f>
        <v>Iegūstiet PRO versiju</v>
      </c>
      <c r="AN175" s="7" t="str">
        <f>IFERROR(__xludf.DUMMYFUNCTION("GoogleTranslate(C175, ""en"", ""lt"")"),"Gaukite PRO versiją")</f>
        <v>Gaukite PRO versiją</v>
      </c>
      <c r="AO175" s="7" t="str">
        <f>IFERROR(__xludf.DUMMYFUNCTION("GoogleTranslate(C175, ""en"", ""mk"")"),"Добијте PRO верзија")</f>
        <v>Добијте PRO верзија</v>
      </c>
      <c r="AP175" s="7" t="str">
        <f>IFERROR(__xludf.DUMMYFUNCTION("GoogleTranslate(C175, ""en"", ""ms"")"),"Dapatkan versi PRO")</f>
        <v>Dapatkan versi PRO</v>
      </c>
      <c r="AQ175" s="7" t="str">
        <f>IFERROR(__xludf.DUMMYFUNCTION("GoogleTranslate(C175, ""en"", ""ml"")"),"PRO പതിപ്പ് നേടുക")</f>
        <v>PRO പതിപ്പ് നേടുക</v>
      </c>
      <c r="AR175" s="7" t="str">
        <f>IFERROR(__xludf.DUMMYFUNCTION("GoogleTranslate(C175, ""en"", ""mr"")"),"PRO आवृत्ती मिळवा")</f>
        <v>PRO आवृत्ती मिळवा</v>
      </c>
      <c r="AS175" s="7" t="str">
        <f>IFERROR(__xludf.DUMMYFUNCTION("GoogleTranslate(C175, ""en"", ""mn"")"),"PRO хувилбарыг аваарай")</f>
        <v>PRO хувилбарыг аваарай</v>
      </c>
      <c r="AT175" s="7" t="str">
        <f>IFERROR(__xludf.DUMMYFUNCTION("GoogleTranslate(C175, ""en"", ""ne"")"),"प्रो संस्करण प्राप्त गर्नुहोस्")</f>
        <v>प्रो संस्करण प्राप्त गर्नुहोस्</v>
      </c>
      <c r="AU175" s="7" t="str">
        <f>IFERROR(__xludf.DUMMYFUNCTION("GoogleTranslate(C175, ""en"", ""nb"")"),"Få PRO-versjonen")</f>
        <v>Få PRO-versjonen</v>
      </c>
      <c r="AV175" s="7" t="str">
        <f>IFERROR(__xludf.DUMMYFUNCTION("GoogleTranslate(C175, ""en"", ""fa"")"),"نسخه PRO را دریافت کنید")</f>
        <v>نسخه PRO را دریافت کنید</v>
      </c>
      <c r="AW175" s="7" t="str">
        <f>IFERROR(__xludf.DUMMYFUNCTION("GoogleTranslate(C175, ""en"", ""pl"")"),"Uzyskaj wersję PRO")</f>
        <v>Uzyskaj wersję PRO</v>
      </c>
      <c r="AX175" s="7" t="str">
        <f>IFERROR(__xludf.DUMMYFUNCTION("GoogleTranslate(C175, ""en"", ""pt"")"),"Obtenha a versão PRO")</f>
        <v>Obtenha a versão PRO</v>
      </c>
      <c r="AY175" s="7" t="str">
        <f>IFERROR(__xludf.DUMMYFUNCTION("GoogleTranslate(C175, ""en"", ""ro"")"),"Obțineți versiunea PRO")</f>
        <v>Obțineți versiunea PRO</v>
      </c>
      <c r="AZ175" s="7" t="str">
        <f>IFERROR(__xludf.DUMMYFUNCTION("GoogleTranslate(C175, ""en"", ""ru"")"),"Получить ПРО версию")</f>
        <v>Получить ПРО версию</v>
      </c>
      <c r="BA175" s="7" t="str">
        <f>IFERROR(__xludf.DUMMYFUNCTION("GoogleTranslate(C175, ""en"", ""sr"")"),"Преузмите ПРО верзију")</f>
        <v>Преузмите ПРО верзију</v>
      </c>
      <c r="BB175" s="7" t="str">
        <f>IFERROR(__xludf.DUMMYFUNCTION("GoogleTranslate(C175, ""en"", ""si"")"),"PRO අනුවාදය ලබා ගන්න")</f>
        <v>PRO අනුවාදය ලබා ගන්න</v>
      </c>
      <c r="BC175" s="7" t="str">
        <f>IFERROR(__xludf.DUMMYFUNCTION("GoogleTranslate(C175, ""en"", ""sk"")"),"Získajte verziu PRO")</f>
        <v>Získajte verziu PRO</v>
      </c>
      <c r="BD175" s="7" t="str">
        <f>IFERROR(__xludf.DUMMYFUNCTION("GoogleTranslate(C175, ""en"", ""sl"")"),"Pridobite različico PRO")</f>
        <v>Pridobite različico PRO</v>
      </c>
      <c r="BE175" s="7" t="str">
        <f>IFERROR(__xludf.DUMMYFUNCTION("GoogleTranslate(C175, ""en"", ""es"")"),"Obtener la versión PRO")</f>
        <v>Obtener la versión PRO</v>
      </c>
      <c r="BF175" s="7" t="str">
        <f>IFERROR(__xludf.DUMMYFUNCTION("GoogleTranslate(C175, ""en"", ""sw"")"),"Pata toleo la PRO")</f>
        <v>Pata toleo la PRO</v>
      </c>
      <c r="BG175" s="7" t="str">
        <f>IFERROR(__xludf.DUMMYFUNCTION("GoogleTranslate(C175, ""en"", ""sv"")"),"Skaffa PRO-versionen")</f>
        <v>Skaffa PRO-versionen</v>
      </c>
      <c r="BH175" s="7" t="str">
        <f>IFERROR(__xludf.DUMMYFUNCTION("GoogleTranslate(C175, ""en"", ""te"")"),"PRO సంస్కరణను పొందండి")</f>
        <v>PRO సంస్కరణను పొందండి</v>
      </c>
      <c r="BI175" s="7" t="str">
        <f>IFERROR(__xludf.DUMMYFUNCTION("GoogleTranslate(C175, ""en"", ""th"")"),"รับรุ่น PRO")</f>
        <v>รับรุ่น PRO</v>
      </c>
      <c r="BJ175" s="7" t="str">
        <f>IFERROR(__xludf.DUMMYFUNCTION("GoogleTranslate(C175, ""en"", ""tr"")"),"PRO sürümünü edinin")</f>
        <v>PRO sürümünü edinin</v>
      </c>
      <c r="BK175" s="7" t="str">
        <f>IFERROR(__xludf.DUMMYFUNCTION("GoogleTranslate(C175, ""en"", ""uk"")"),"Отримати PRO версію")</f>
        <v>Отримати PRO версію</v>
      </c>
      <c r="BL175" s="7" t="str">
        <f>IFERROR(__xludf.DUMMYFUNCTION("GoogleTranslate(C175, ""en"", ""zu"")"),"Thola inguqulo ye-PRO")</f>
        <v>Thola inguqulo ye-PRO</v>
      </c>
    </row>
    <row r="176">
      <c r="A176" s="5" t="str">
        <f t="shared" si="1"/>
        <v>Languages</v>
      </c>
      <c r="B176" s="6" t="s">
        <v>229</v>
      </c>
      <c r="C176" s="5" t="str">
        <f t="shared" si="2"/>
        <v>Languages</v>
      </c>
      <c r="D176" s="7" t="str">
        <f>IFERROR(__xludf.DUMMYFUNCTION("GoogleTranslate(C176, ""en"", ""es"")"),"Idiomas")</f>
        <v>Idiomas</v>
      </c>
      <c r="E176" s="7" t="str">
        <f>IFERROR(__xludf.DUMMYFUNCTION("GoogleTranslate(C176, ""en"", ""ar"")"),"اللغات")</f>
        <v>اللغات</v>
      </c>
      <c r="F176" s="7" t="str">
        <f>IFERROR(__xludf.DUMMYFUNCTION("GoogleTranslate(C176, ""en"", ""hy"")"),"Լեզուներ")</f>
        <v>Լեզուներ</v>
      </c>
      <c r="G176" s="7" t="str">
        <f>IFERROR(__xludf.DUMMYFUNCTION("GoogleTranslate(C176, ""en"", ""vi"")"),"Ngôn ngữ")</f>
        <v>Ngôn ngữ</v>
      </c>
      <c r="H176" s="7" t="str">
        <f>IFERROR(__xludf.DUMMYFUNCTION("GoogleTranslate(C176, ""en"", ""az"")"),"Dillər")</f>
        <v>Dillər</v>
      </c>
      <c r="I176" s="7" t="str">
        <f>IFERROR(__xludf.DUMMYFUNCTION("GoogleTranslate(C176, ""en"", ""eu"")"),"Hizkuntzak")</f>
        <v>Hizkuntzak</v>
      </c>
      <c r="J176" s="7" t="str">
        <f>IFERROR(__xludf.DUMMYFUNCTION("GoogleTranslate(C176, ""en"", ""be"")"),"Мовы")</f>
        <v>Мовы</v>
      </c>
      <c r="K176" s="7" t="str">
        <f>IFERROR(__xludf.DUMMYFUNCTION("GoogleTranslate(C176, ""en"", ""bn"")"),"ভাষা")</f>
        <v>ভাষা</v>
      </c>
      <c r="L176" s="7" t="str">
        <f>IFERROR(__xludf.DUMMYFUNCTION("GoogleTranslate(C176, ""en"", ""bg"")"),"Езици")</f>
        <v>Езици</v>
      </c>
      <c r="M176" s="7" t="str">
        <f>IFERROR(__xludf.DUMMYFUNCTION("GoogleTranslate(C176, ""en"", ""my"")"),"ဘာသာစကားများ")</f>
        <v>ဘာသာစကားများ</v>
      </c>
      <c r="N176" s="7" t="str">
        <f>IFERROR(__xludf.DUMMYFUNCTION("GoogleTranslate(C176, ""en"", ""ca"")"),"Idiomes")</f>
        <v>Idiomes</v>
      </c>
      <c r="O176" s="7" t="str">
        <f>IFERROR(__xludf.DUMMYFUNCTION("GoogleTranslate(C176, ""en"", ""zh-cn"")"),"语言")</f>
        <v>语言</v>
      </c>
      <c r="P176" s="7" t="str">
        <f>IFERROR(__xludf.DUMMYFUNCTION("GoogleTranslate(C176, ""en"", ""zh-TW"")"),"語言")</f>
        <v>語言</v>
      </c>
      <c r="Q176" s="7" t="str">
        <f>IFERROR(__xludf.DUMMYFUNCTION("GoogleTranslate(C176, ""en"", ""hr"")"),"jezici")</f>
        <v>jezici</v>
      </c>
      <c r="R176" s="7" t="str">
        <f>IFERROR(__xludf.DUMMYFUNCTION("GoogleTranslate(C176, ""en"", ""cs"")"),"Jazyky")</f>
        <v>Jazyky</v>
      </c>
      <c r="S176" s="7" t="str">
        <f>IFERROR(__xludf.DUMMYFUNCTION("GoogleTranslate(C176, ""en"", ""da"")"),"Sprog")</f>
        <v>Sprog</v>
      </c>
      <c r="T176" s="7" t="str">
        <f>IFERROR(__xludf.DUMMYFUNCTION("GoogleTranslate(C176, ""en"", ""nl"")"),"Talen")</f>
        <v>Talen</v>
      </c>
      <c r="U176" s="7" t="str">
        <f>IFERROR(__xludf.DUMMYFUNCTION("GoogleTranslate(C176, ""en"", ""et"")"),"Keeled")</f>
        <v>Keeled</v>
      </c>
      <c r="V176" s="5" t="str">
        <f t="shared" si="3"/>
        <v>Languages</v>
      </c>
      <c r="W176" s="7" t="str">
        <f>IFERROR(__xludf.DUMMYFUNCTION("GoogleTranslate(C176, ""en"", ""fi"")"),"Kielet")</f>
        <v>Kielet</v>
      </c>
      <c r="X176" s="7" t="str">
        <f>IFERROR(__xludf.DUMMYFUNCTION("GoogleTranslate(C176, ""en"", ""fr"")"),"Langues")</f>
        <v>Langues</v>
      </c>
      <c r="Y176" s="7" t="str">
        <f>IFERROR(__xludf.DUMMYFUNCTION("GoogleTranslate(C176, ""en"", ""de"")"),"Sprachen")</f>
        <v>Sprachen</v>
      </c>
      <c r="Z176" s="7" t="str">
        <f>IFERROR(__xludf.DUMMYFUNCTION("GoogleTranslate(C176, ""en"", ""el"")"),"Γλώσσες")</f>
        <v>Γλώσσες</v>
      </c>
      <c r="AA176" s="7" t="str">
        <f>IFERROR(__xludf.DUMMYFUNCTION("GoogleTranslate(C176, ""en"", ""iw"")"),"שפות")</f>
        <v>שפות</v>
      </c>
      <c r="AB176" s="7" t="str">
        <f>IFERROR(__xludf.DUMMYFUNCTION("GoogleTranslate(C176, ""en"", ""hi"")"),"बोली")</f>
        <v>बोली</v>
      </c>
      <c r="AC176" s="7" t="str">
        <f>IFERROR(__xludf.DUMMYFUNCTION("GoogleTranslate(C176, ""en"", ""hu"")"),"Nyelvek")</f>
        <v>Nyelvek</v>
      </c>
      <c r="AD176" s="7" t="str">
        <f>IFERROR(__xludf.DUMMYFUNCTION("GoogleTranslate(C176, ""en"", ""is"")"),"Tungumál")</f>
        <v>Tungumál</v>
      </c>
      <c r="AE176" s="7" t="str">
        <f>IFERROR(__xludf.DUMMYFUNCTION("GoogleTranslate(C176, ""en"", ""id"")"),"Bahasa")</f>
        <v>Bahasa</v>
      </c>
      <c r="AF176" s="7" t="str">
        <f>IFERROR(__xludf.DUMMYFUNCTION("GoogleTranslate(C176, ""en"", ""in"")"),"Bahasa")</f>
        <v>Bahasa</v>
      </c>
      <c r="AG176" s="7" t="str">
        <f>IFERROR(__xludf.DUMMYFUNCTION("GoogleTranslate(C176, ""en"", ""it"")"),"Lingue")</f>
        <v>Lingue</v>
      </c>
      <c r="AH176" s="7" t="str">
        <f>IFERROR(__xludf.DUMMYFUNCTION("GoogleTranslate(C176, ""en"", ""ja"")"),"言語")</f>
        <v>言語</v>
      </c>
      <c r="AI176" s="7" t="str">
        <f>IFERROR(__xludf.DUMMYFUNCTION("GoogleTranslate(C176, ""en"", ""kn"")"),"ಭಾಷೆಗಳು")</f>
        <v>ಭಾಷೆಗಳು</v>
      </c>
      <c r="AJ176" s="7" t="str">
        <f>IFERROR(__xludf.DUMMYFUNCTION("GoogleTranslate(C176, ""en"", ""km"")"),"ភាសា")</f>
        <v>ភាសា</v>
      </c>
      <c r="AK176" s="7" t="str">
        <f>IFERROR(__xludf.DUMMYFUNCTION("GoogleTranslate(C176, ""en"", ""ko"")"),"언어")</f>
        <v>언어</v>
      </c>
      <c r="AL176" s="7" t="str">
        <f>IFERROR(__xludf.DUMMYFUNCTION("GoogleTranslate(C176, ""en"", ""lo"")"),"ພາສາ")</f>
        <v>ພາສາ</v>
      </c>
      <c r="AM176" s="7" t="str">
        <f>IFERROR(__xludf.DUMMYFUNCTION("GoogleTranslate(C176, ""en"", ""lv"")"),"Valodas")</f>
        <v>Valodas</v>
      </c>
      <c r="AN176" s="7" t="str">
        <f>IFERROR(__xludf.DUMMYFUNCTION("GoogleTranslate(C176, ""en"", ""lt"")"),"Kalbos")</f>
        <v>Kalbos</v>
      </c>
      <c r="AO176" s="7" t="str">
        <f>IFERROR(__xludf.DUMMYFUNCTION("GoogleTranslate(C176, ""en"", ""mk"")"),"Јазици")</f>
        <v>Јазици</v>
      </c>
      <c r="AP176" s="7" t="str">
        <f>IFERROR(__xludf.DUMMYFUNCTION("GoogleTranslate(C176, ""en"", ""ms"")"),"Bahasa")</f>
        <v>Bahasa</v>
      </c>
      <c r="AQ176" s="7" t="str">
        <f>IFERROR(__xludf.DUMMYFUNCTION("GoogleTranslate(C176, ""en"", ""ml"")"),"ഭാഷകൾ")</f>
        <v>ഭാഷകൾ</v>
      </c>
      <c r="AR176" s="7" t="str">
        <f>IFERROR(__xludf.DUMMYFUNCTION("GoogleTranslate(C176, ""en"", ""mr"")"),"भाषा")</f>
        <v>भाषा</v>
      </c>
      <c r="AS176" s="7" t="str">
        <f>IFERROR(__xludf.DUMMYFUNCTION("GoogleTranslate(C176, ""en"", ""mn"")"),"Хэлнүүд")</f>
        <v>Хэлнүүд</v>
      </c>
      <c r="AT176" s="7" t="str">
        <f>IFERROR(__xludf.DUMMYFUNCTION("GoogleTranslate(C176, ""en"", ""ne"")"),"भाषाहरू")</f>
        <v>भाषाहरू</v>
      </c>
      <c r="AU176" s="7" t="str">
        <f>IFERROR(__xludf.DUMMYFUNCTION("GoogleTranslate(C176, ""en"", ""nb"")"),"Språk")</f>
        <v>Språk</v>
      </c>
      <c r="AV176" s="7" t="str">
        <f>IFERROR(__xludf.DUMMYFUNCTION("GoogleTranslate(C176, ""en"", ""fa"")"),"زبان ها")</f>
        <v>زبان ها</v>
      </c>
      <c r="AW176" s="7" t="str">
        <f>IFERROR(__xludf.DUMMYFUNCTION("GoogleTranslate(C176, ""en"", ""pl"")"),"Języki")</f>
        <v>Języki</v>
      </c>
      <c r="AX176" s="7" t="str">
        <f>IFERROR(__xludf.DUMMYFUNCTION("GoogleTranslate(C176, ""en"", ""pt"")"),"Idiomas")</f>
        <v>Idiomas</v>
      </c>
      <c r="AY176" s="7" t="str">
        <f>IFERROR(__xludf.DUMMYFUNCTION("GoogleTranslate(C176, ""en"", ""ro"")"),"Limbi")</f>
        <v>Limbi</v>
      </c>
      <c r="AZ176" s="7" t="str">
        <f>IFERROR(__xludf.DUMMYFUNCTION("GoogleTranslate(C176, ""en"", ""ru"")"),"Языки")</f>
        <v>Языки</v>
      </c>
      <c r="BA176" s="7" t="str">
        <f>IFERROR(__xludf.DUMMYFUNCTION("GoogleTranslate(C176, ""en"", ""sr"")"),"Језици")</f>
        <v>Језици</v>
      </c>
      <c r="BB176" s="7" t="str">
        <f>IFERROR(__xludf.DUMMYFUNCTION("GoogleTranslate(C176, ""en"", ""si"")"),"භාෂා")</f>
        <v>භාෂා</v>
      </c>
      <c r="BC176" s="7" t="str">
        <f>IFERROR(__xludf.DUMMYFUNCTION("GoogleTranslate(C176, ""en"", ""sk"")"),"Jazyky")</f>
        <v>Jazyky</v>
      </c>
      <c r="BD176" s="7" t="str">
        <f>IFERROR(__xludf.DUMMYFUNCTION("GoogleTranslate(C176, ""en"", ""sl"")"),"Jeziki")</f>
        <v>Jeziki</v>
      </c>
      <c r="BE176" s="7" t="str">
        <f>IFERROR(__xludf.DUMMYFUNCTION("GoogleTranslate(C176, ""en"", ""es"")"),"Idiomas")</f>
        <v>Idiomas</v>
      </c>
      <c r="BF176" s="7" t="str">
        <f>IFERROR(__xludf.DUMMYFUNCTION("GoogleTranslate(C176, ""en"", ""sw"")"),"Lugha")</f>
        <v>Lugha</v>
      </c>
      <c r="BG176" s="7" t="str">
        <f>IFERROR(__xludf.DUMMYFUNCTION("GoogleTranslate(C176, ""en"", ""sv"")"),"Språk")</f>
        <v>Språk</v>
      </c>
      <c r="BH176" s="7" t="str">
        <f>IFERROR(__xludf.DUMMYFUNCTION("GoogleTranslate(C176, ""en"", ""te"")"),"భాషలు")</f>
        <v>భాషలు</v>
      </c>
      <c r="BI176" s="7" t="str">
        <f>IFERROR(__xludf.DUMMYFUNCTION("GoogleTranslate(C176, ""en"", ""th"")"),"ภาษา")</f>
        <v>ภาษา</v>
      </c>
      <c r="BJ176" s="7" t="str">
        <f>IFERROR(__xludf.DUMMYFUNCTION("GoogleTranslate(C176, ""en"", ""tr"")"),"Diller")</f>
        <v>Diller</v>
      </c>
      <c r="BK176" s="7" t="str">
        <f>IFERROR(__xludf.DUMMYFUNCTION("GoogleTranslate(C176, ""en"", ""uk"")"),"Мови")</f>
        <v>Мови</v>
      </c>
      <c r="BL176" s="7" t="str">
        <f>IFERROR(__xludf.DUMMYFUNCTION("GoogleTranslate(C176, ""en"", ""zu"")"),"Izilimi")</f>
        <v>Izilimi</v>
      </c>
    </row>
    <row r="177">
      <c r="A177" s="5" t="str">
        <f t="shared" si="1"/>
        <v>Developers</v>
      </c>
      <c r="B177" s="6" t="s">
        <v>230</v>
      </c>
      <c r="C177" s="5" t="str">
        <f t="shared" si="2"/>
        <v>Developers</v>
      </c>
      <c r="D177" s="7" t="str">
        <f>IFERROR(__xludf.DUMMYFUNCTION("GoogleTranslate(C177, ""en"", ""es"")"),"Desarrolladores")</f>
        <v>Desarrolladores</v>
      </c>
      <c r="E177" s="7" t="str">
        <f>IFERROR(__xludf.DUMMYFUNCTION("GoogleTranslate(C177, ""en"", ""ar"")"),"المطورين")</f>
        <v>المطورين</v>
      </c>
      <c r="F177" s="7" t="str">
        <f>IFERROR(__xludf.DUMMYFUNCTION("GoogleTranslate(C177, ""en"", ""hy"")"),"Կառուցապատողներ")</f>
        <v>Կառուցապատողներ</v>
      </c>
      <c r="G177" s="7" t="str">
        <f>IFERROR(__xludf.DUMMYFUNCTION("GoogleTranslate(C177, ""en"", ""vi"")"),"Nhà phát triển")</f>
        <v>Nhà phát triển</v>
      </c>
      <c r="H177" s="7" t="str">
        <f>IFERROR(__xludf.DUMMYFUNCTION("GoogleTranslate(C177, ""en"", ""az"")"),"Tərtibatçılar")</f>
        <v>Tərtibatçılar</v>
      </c>
      <c r="I177" s="7" t="str">
        <f>IFERROR(__xludf.DUMMYFUNCTION("GoogleTranslate(C177, ""en"", ""eu"")"),"Garatzaileak")</f>
        <v>Garatzaileak</v>
      </c>
      <c r="J177" s="7" t="str">
        <f>IFERROR(__xludf.DUMMYFUNCTION("GoogleTranslate(C177, ""en"", ""be"")"),"Распрацоўшчыкі")</f>
        <v>Распрацоўшчыкі</v>
      </c>
      <c r="K177" s="7" t="str">
        <f>IFERROR(__xludf.DUMMYFUNCTION("GoogleTranslate(C177, ""en"", ""bn"")"),"বিকাশকারীরা")</f>
        <v>বিকাশকারীরা</v>
      </c>
      <c r="L177" s="7" t="str">
        <f>IFERROR(__xludf.DUMMYFUNCTION("GoogleTranslate(C177, ""en"", ""bg"")"),"Разработчици")</f>
        <v>Разработчици</v>
      </c>
      <c r="M177" s="7" t="str">
        <f>IFERROR(__xludf.DUMMYFUNCTION("GoogleTranslate(C177, ""en"", ""my"")"),"Developer များ")</f>
        <v>Developer များ</v>
      </c>
      <c r="N177" s="7" t="str">
        <f>IFERROR(__xludf.DUMMYFUNCTION("GoogleTranslate(C177, ""en"", ""ca"")"),"Desenvolupadors")</f>
        <v>Desenvolupadors</v>
      </c>
      <c r="O177" s="7" t="str">
        <f>IFERROR(__xludf.DUMMYFUNCTION("GoogleTranslate(C177, ""en"", ""zh-cn"")"),"开发商")</f>
        <v>开发商</v>
      </c>
      <c r="P177" s="7" t="str">
        <f>IFERROR(__xludf.DUMMYFUNCTION("GoogleTranslate(C177, ""en"", ""zh-TW"")"),"開發商")</f>
        <v>開發商</v>
      </c>
      <c r="Q177" s="7" t="str">
        <f>IFERROR(__xludf.DUMMYFUNCTION("GoogleTranslate(C177, ""en"", ""hr"")"),"Programeri")</f>
        <v>Programeri</v>
      </c>
      <c r="R177" s="7" t="str">
        <f>IFERROR(__xludf.DUMMYFUNCTION("GoogleTranslate(C177, ""en"", ""cs"")"),"Vývojáři")</f>
        <v>Vývojáři</v>
      </c>
      <c r="S177" s="7" t="str">
        <f>IFERROR(__xludf.DUMMYFUNCTION("GoogleTranslate(C177, ""en"", ""da"")"),"Udviklere")</f>
        <v>Udviklere</v>
      </c>
      <c r="T177" s="7" t="str">
        <f>IFERROR(__xludf.DUMMYFUNCTION("GoogleTranslate(C177, ""en"", ""nl"")"),"Ontwikkelaars")</f>
        <v>Ontwikkelaars</v>
      </c>
      <c r="U177" s="7" t="str">
        <f>IFERROR(__xludf.DUMMYFUNCTION("GoogleTranslate(C177, ""en"", ""et"")"),"Arendajad")</f>
        <v>Arendajad</v>
      </c>
      <c r="V177" s="5" t="str">
        <f t="shared" si="3"/>
        <v>Developers</v>
      </c>
      <c r="W177" s="7" t="str">
        <f>IFERROR(__xludf.DUMMYFUNCTION("GoogleTranslate(C177, ""en"", ""fi"")"),"Kehittäjät")</f>
        <v>Kehittäjät</v>
      </c>
      <c r="X177" s="7" t="str">
        <f>IFERROR(__xludf.DUMMYFUNCTION("GoogleTranslate(C177, ""en"", ""fr"")"),"Développeurs")</f>
        <v>Développeurs</v>
      </c>
      <c r="Y177" s="7" t="str">
        <f>IFERROR(__xludf.DUMMYFUNCTION("GoogleTranslate(C177, ""en"", ""de"")"),"Entwickler")</f>
        <v>Entwickler</v>
      </c>
      <c r="Z177" s="7" t="str">
        <f>IFERROR(__xludf.DUMMYFUNCTION("GoogleTranslate(C177, ""en"", ""el"")"),"προγραμματιστές")</f>
        <v>προγραμματιστές</v>
      </c>
      <c r="AA177" s="7" t="str">
        <f>IFERROR(__xludf.DUMMYFUNCTION("GoogleTranslate(C177, ""en"", ""iw"")"),"מפתחים")</f>
        <v>מפתחים</v>
      </c>
      <c r="AB177" s="7" t="str">
        <f>IFERROR(__xludf.DUMMYFUNCTION("GoogleTranslate(C177, ""en"", ""hi"")"),"डेवलपर्स")</f>
        <v>डेवलपर्स</v>
      </c>
      <c r="AC177" s="7" t="str">
        <f>IFERROR(__xludf.DUMMYFUNCTION("GoogleTranslate(C177, ""en"", ""hu"")"),"Fejlesztők")</f>
        <v>Fejlesztők</v>
      </c>
      <c r="AD177" s="7" t="str">
        <f>IFERROR(__xludf.DUMMYFUNCTION("GoogleTranslate(C177, ""en"", ""is"")"),"Hönnuðir")</f>
        <v>Hönnuðir</v>
      </c>
      <c r="AE177" s="7" t="str">
        <f>IFERROR(__xludf.DUMMYFUNCTION("GoogleTranslate(C177, ""en"", ""id"")"),"Pengembang")</f>
        <v>Pengembang</v>
      </c>
      <c r="AF177" s="7" t="str">
        <f>IFERROR(__xludf.DUMMYFUNCTION("GoogleTranslate(C177, ""en"", ""in"")"),"Pengembang")</f>
        <v>Pengembang</v>
      </c>
      <c r="AG177" s="7" t="str">
        <f>IFERROR(__xludf.DUMMYFUNCTION("GoogleTranslate(C177, ""en"", ""it"")"),"Sviluppatori")</f>
        <v>Sviluppatori</v>
      </c>
      <c r="AH177" s="7" t="str">
        <f>IFERROR(__xludf.DUMMYFUNCTION("GoogleTranslate(C177, ""en"", ""ja"")"),"開発者")</f>
        <v>開発者</v>
      </c>
      <c r="AI177" s="7" t="str">
        <f>IFERROR(__xludf.DUMMYFUNCTION("GoogleTranslate(C177, ""en"", ""kn"")"),"ಡೆವಲಪರ್‌ಗಳು")</f>
        <v>ಡೆವಲಪರ್‌ಗಳು</v>
      </c>
      <c r="AJ177" s="7" t="str">
        <f>IFERROR(__xludf.DUMMYFUNCTION("GoogleTranslate(C177, ""en"", ""km"")"),"អ្នកអភិវឌ្ឍន៍")</f>
        <v>អ្នកអភិវឌ្ឍន៍</v>
      </c>
      <c r="AK177" s="7" t="str">
        <f>IFERROR(__xludf.DUMMYFUNCTION("GoogleTranslate(C177, ""en"", ""ko"")"),"개발자")</f>
        <v>개발자</v>
      </c>
      <c r="AL177" s="7" t="str">
        <f>IFERROR(__xludf.DUMMYFUNCTION("GoogleTranslate(C177, ""en"", ""lo"")"),"ນັກພັດທະນາ")</f>
        <v>ນັກພັດທະນາ</v>
      </c>
      <c r="AM177" s="7" t="str">
        <f>IFERROR(__xludf.DUMMYFUNCTION("GoogleTranslate(C177, ""en"", ""lv"")"),"Izstrādātāji")</f>
        <v>Izstrādātāji</v>
      </c>
      <c r="AN177" s="7" t="str">
        <f>IFERROR(__xludf.DUMMYFUNCTION("GoogleTranslate(C177, ""en"", ""lt"")"),"Kūrėjai")</f>
        <v>Kūrėjai</v>
      </c>
      <c r="AO177" s="7" t="str">
        <f>IFERROR(__xludf.DUMMYFUNCTION("GoogleTranslate(C177, ""en"", ""mk"")"),"Програмери")</f>
        <v>Програмери</v>
      </c>
      <c r="AP177" s="7" t="str">
        <f>IFERROR(__xludf.DUMMYFUNCTION("GoogleTranslate(C177, ""en"", ""ms"")"),"pemaju")</f>
        <v>pemaju</v>
      </c>
      <c r="AQ177" s="7" t="str">
        <f>IFERROR(__xludf.DUMMYFUNCTION("GoogleTranslate(C177, ""en"", ""ml"")"),"ഡെവലപ്പർമാർ")</f>
        <v>ഡെവലപ്പർമാർ</v>
      </c>
      <c r="AR177" s="7" t="str">
        <f>IFERROR(__xludf.DUMMYFUNCTION("GoogleTranslate(C177, ""en"", ""mr"")"),"विकसक")</f>
        <v>विकसक</v>
      </c>
      <c r="AS177" s="7" t="str">
        <f>IFERROR(__xludf.DUMMYFUNCTION("GoogleTranslate(C177, ""en"", ""mn"")"),"Хөгжүүлэгчид")</f>
        <v>Хөгжүүлэгчид</v>
      </c>
      <c r="AT177" s="7" t="str">
        <f>IFERROR(__xludf.DUMMYFUNCTION("GoogleTranslate(C177, ""en"", ""ne"")"),"विकासकर्ताहरू")</f>
        <v>विकासकर्ताहरू</v>
      </c>
      <c r="AU177" s="7" t="str">
        <f>IFERROR(__xludf.DUMMYFUNCTION("GoogleTranslate(C177, ""en"", ""nb"")"),"Utviklere")</f>
        <v>Utviklere</v>
      </c>
      <c r="AV177" s="7" t="str">
        <f>IFERROR(__xludf.DUMMYFUNCTION("GoogleTranslate(C177, ""en"", ""fa"")"),"توسعه دهندگان")</f>
        <v>توسعه دهندگان</v>
      </c>
      <c r="AW177" s="7" t="str">
        <f>IFERROR(__xludf.DUMMYFUNCTION("GoogleTranslate(C177, ""en"", ""pl"")"),"Deweloperzy")</f>
        <v>Deweloperzy</v>
      </c>
      <c r="AX177" s="7" t="str">
        <f>IFERROR(__xludf.DUMMYFUNCTION("GoogleTranslate(C177, ""en"", ""pt"")"),"Desenvolvedores")</f>
        <v>Desenvolvedores</v>
      </c>
      <c r="AY177" s="7" t="str">
        <f>IFERROR(__xludf.DUMMYFUNCTION("GoogleTranslate(C177, ""en"", ""ro"")"),"Dezvoltatori")</f>
        <v>Dezvoltatori</v>
      </c>
      <c r="AZ177" s="7" t="str">
        <f>IFERROR(__xludf.DUMMYFUNCTION("GoogleTranslate(C177, ""en"", ""ru"")"),"Разработчики")</f>
        <v>Разработчики</v>
      </c>
      <c r="BA177" s="7" t="str">
        <f>IFERROR(__xludf.DUMMYFUNCTION("GoogleTranslate(C177, ""en"", ""sr"")"),"Девелоперс")</f>
        <v>Девелоперс</v>
      </c>
      <c r="BB177" s="7" t="str">
        <f>IFERROR(__xludf.DUMMYFUNCTION("GoogleTranslate(C177, ""en"", ""si"")"),"සංවර්ධකයින්")</f>
        <v>සංවර්ධකයින්</v>
      </c>
      <c r="BC177" s="7" t="str">
        <f>IFERROR(__xludf.DUMMYFUNCTION("GoogleTranslate(C177, ""en"", ""sk"")"),"Vývojári")</f>
        <v>Vývojári</v>
      </c>
      <c r="BD177" s="7" t="str">
        <f>IFERROR(__xludf.DUMMYFUNCTION("GoogleTranslate(C177, ""en"", ""sl"")"),"Razvijalci")</f>
        <v>Razvijalci</v>
      </c>
      <c r="BE177" s="7" t="str">
        <f>IFERROR(__xludf.DUMMYFUNCTION("GoogleTranslate(C177, ""en"", ""es"")"),"Desarrolladores")</f>
        <v>Desarrolladores</v>
      </c>
      <c r="BF177" s="7" t="str">
        <f>IFERROR(__xludf.DUMMYFUNCTION("GoogleTranslate(C177, ""en"", ""sw"")"),"Watengenezaji")</f>
        <v>Watengenezaji</v>
      </c>
      <c r="BG177" s="7" t="str">
        <f>IFERROR(__xludf.DUMMYFUNCTION("GoogleTranslate(C177, ""en"", ""sv"")"),"Utvecklare")</f>
        <v>Utvecklare</v>
      </c>
      <c r="BH177" s="7" t="str">
        <f>IFERROR(__xludf.DUMMYFUNCTION("GoogleTranslate(C177, ""en"", ""te"")"),"డెవలపర్లు")</f>
        <v>డెవలపర్లు</v>
      </c>
      <c r="BI177" s="7" t="str">
        <f>IFERROR(__xludf.DUMMYFUNCTION("GoogleTranslate(C177, ""en"", ""th"")"),"นักพัฒนา")</f>
        <v>นักพัฒนา</v>
      </c>
      <c r="BJ177" s="7" t="str">
        <f>IFERROR(__xludf.DUMMYFUNCTION("GoogleTranslate(C177, ""en"", ""tr"")"),"Geliştiriciler")</f>
        <v>Geliştiriciler</v>
      </c>
      <c r="BK177" s="7" t="str">
        <f>IFERROR(__xludf.DUMMYFUNCTION("GoogleTranslate(C177, ""en"", ""uk"")"),"Розробники")</f>
        <v>Розробники</v>
      </c>
      <c r="BL177" s="7" t="str">
        <f>IFERROR(__xludf.DUMMYFUNCTION("GoogleTranslate(C177, ""en"", ""zu"")"),"Onjiniyela")</f>
        <v>Onjiniyela</v>
      </c>
    </row>
    <row r="178">
      <c r="A178" s="5" t="str">
        <f t="shared" si="1"/>
        <v>Rate_me</v>
      </c>
      <c r="B178" s="6" t="s">
        <v>231</v>
      </c>
      <c r="C178" s="5" t="str">
        <f t="shared" si="2"/>
        <v>Rate me</v>
      </c>
      <c r="D178" s="7" t="str">
        <f>IFERROR(__xludf.DUMMYFUNCTION("GoogleTranslate(C178, ""en"", ""es"")"),"Califícame")</f>
        <v>Califícame</v>
      </c>
      <c r="E178" s="7" t="str">
        <f>IFERROR(__xludf.DUMMYFUNCTION("GoogleTranslate(C178, ""en"", ""ar"")"),"قيمني")</f>
        <v>قيمني</v>
      </c>
      <c r="F178" s="7" t="str">
        <f>IFERROR(__xludf.DUMMYFUNCTION("GoogleTranslate(C178, ""en"", ""hy"")"),"Գնահատեք ինձ")</f>
        <v>Գնահատեք ինձ</v>
      </c>
      <c r="G178" s="7" t="str">
        <f>IFERROR(__xludf.DUMMYFUNCTION("GoogleTranslate(C178, ""en"", ""vi"")"),"Đánh giá tôi")</f>
        <v>Đánh giá tôi</v>
      </c>
      <c r="H178" s="7" t="str">
        <f>IFERROR(__xludf.DUMMYFUNCTION("GoogleTranslate(C178, ""en"", ""az"")"),"Mənə qiymət verin")</f>
        <v>Mənə qiymət verin</v>
      </c>
      <c r="I178" s="7" t="str">
        <f>IFERROR(__xludf.DUMMYFUNCTION("GoogleTranslate(C178, ""en"", ""eu"")"),"Baloratu nazazu")</f>
        <v>Baloratu nazazu</v>
      </c>
      <c r="J178" s="7" t="str">
        <f>IFERROR(__xludf.DUMMYFUNCTION("GoogleTranslate(C178, ""en"", ""be"")"),"Ацані мяне")</f>
        <v>Ацані мяне</v>
      </c>
      <c r="K178" s="7" t="str">
        <f>IFERROR(__xludf.DUMMYFUNCTION("GoogleTranslate(C178, ""en"", ""bn"")"),"আমাকে রেট দিন")</f>
        <v>আমাকে রেট দিন</v>
      </c>
      <c r="L178" s="7" t="str">
        <f>IFERROR(__xludf.DUMMYFUNCTION("GoogleTranslate(C178, ""en"", ""bg"")"),"Оцени ме")</f>
        <v>Оцени ме</v>
      </c>
      <c r="M178" s="7" t="str">
        <f>IFERROR(__xludf.DUMMYFUNCTION("GoogleTranslate(C178, ""en"", ""my"")"),"ငါ့ကို အဆင့်သတ်မှတ်ပါ။")</f>
        <v>ငါ့ကို အဆင့်သတ်မှတ်ပါ။</v>
      </c>
      <c r="N178" s="7" t="str">
        <f>IFERROR(__xludf.DUMMYFUNCTION("GoogleTranslate(C178, ""en"", ""ca"")"),"Valora'm")</f>
        <v>Valora'm</v>
      </c>
      <c r="O178" s="7" t="str">
        <f>IFERROR(__xludf.DUMMYFUNCTION("GoogleTranslate(C178, ""en"", ""zh-cn"")"),"评价我")</f>
        <v>评价我</v>
      </c>
      <c r="P178" s="7" t="str">
        <f>IFERROR(__xludf.DUMMYFUNCTION("GoogleTranslate(C178, ""en"", ""zh-TW"")"),"評價我")</f>
        <v>評價我</v>
      </c>
      <c r="Q178" s="7" t="str">
        <f>IFERROR(__xludf.DUMMYFUNCTION("GoogleTranslate(C178, ""en"", ""hr"")"),"Ocijenite me")</f>
        <v>Ocijenite me</v>
      </c>
      <c r="R178" s="7" t="str">
        <f>IFERROR(__xludf.DUMMYFUNCTION("GoogleTranslate(C178, ""en"", ""cs"")"),"Ohodnoťte mě")</f>
        <v>Ohodnoťte mě</v>
      </c>
      <c r="S178" s="7" t="str">
        <f>IFERROR(__xludf.DUMMYFUNCTION("GoogleTranslate(C178, ""en"", ""da"")"),"Bedøm mig")</f>
        <v>Bedøm mig</v>
      </c>
      <c r="T178" s="7" t="str">
        <f>IFERROR(__xludf.DUMMYFUNCTION("GoogleTranslate(C178, ""en"", ""nl"")"),"Beoordeel mij")</f>
        <v>Beoordeel mij</v>
      </c>
      <c r="U178" s="7" t="str">
        <f>IFERROR(__xludf.DUMMYFUNCTION("GoogleTranslate(C178, ""en"", ""et"")"),"Hinda mind")</f>
        <v>Hinda mind</v>
      </c>
      <c r="V178" s="5" t="str">
        <f t="shared" si="3"/>
        <v>Rate me</v>
      </c>
      <c r="W178" s="7" t="str">
        <f>IFERROR(__xludf.DUMMYFUNCTION("GoogleTranslate(C178, ""en"", ""fi"")"),"Arvioi minua")</f>
        <v>Arvioi minua</v>
      </c>
      <c r="X178" s="7" t="str">
        <f>IFERROR(__xludf.DUMMYFUNCTION("GoogleTranslate(C178, ""en"", ""fr"")"),"Évaluez-moi")</f>
        <v>Évaluez-moi</v>
      </c>
      <c r="Y178" s="7" t="str">
        <f>IFERROR(__xludf.DUMMYFUNCTION("GoogleTranslate(C178, ""en"", ""de"")"),"Bewerten Sie mich")</f>
        <v>Bewerten Sie mich</v>
      </c>
      <c r="Z178" s="7" t="str">
        <f>IFERROR(__xludf.DUMMYFUNCTION("GoogleTranslate(C178, ""en"", ""el"")"),"Βαθμολογήστε με")</f>
        <v>Βαθμολογήστε με</v>
      </c>
      <c r="AA178" s="7" t="str">
        <f>IFERROR(__xludf.DUMMYFUNCTION("GoogleTranslate(C178, ""en"", ""iw"")"),"דרג אותי")</f>
        <v>דרג אותי</v>
      </c>
      <c r="AB178" s="7" t="str">
        <f>IFERROR(__xludf.DUMMYFUNCTION("GoogleTranslate(C178, ""en"", ""hi"")"),"मुझे दर्जा दो")</f>
        <v>मुझे दर्जा दो</v>
      </c>
      <c r="AC178" s="7" t="str">
        <f>IFERROR(__xludf.DUMMYFUNCTION("GoogleTranslate(C178, ""en"", ""hu"")"),"Értékeljen engem")</f>
        <v>Értékeljen engem</v>
      </c>
      <c r="AD178" s="7" t="str">
        <f>IFERROR(__xludf.DUMMYFUNCTION("GoogleTranslate(C178, ""en"", ""is"")"),"Gefðu mér einkunn")</f>
        <v>Gefðu mér einkunn</v>
      </c>
      <c r="AE178" s="7" t="str">
        <f>IFERROR(__xludf.DUMMYFUNCTION("GoogleTranslate(C178, ""en"", ""id"")"),"Nilai saya")</f>
        <v>Nilai saya</v>
      </c>
      <c r="AF178" s="7" t="str">
        <f>IFERROR(__xludf.DUMMYFUNCTION("GoogleTranslate(C178, ""en"", ""in"")"),"Nilai saya")</f>
        <v>Nilai saya</v>
      </c>
      <c r="AG178" s="7" t="str">
        <f>IFERROR(__xludf.DUMMYFUNCTION("GoogleTranslate(C178, ""en"", ""it"")"),"Valutami")</f>
        <v>Valutami</v>
      </c>
      <c r="AH178" s="7" t="str">
        <f>IFERROR(__xludf.DUMMYFUNCTION("GoogleTranslate(C178, ""en"", ""ja"")"),"評価してください")</f>
        <v>評価してください</v>
      </c>
      <c r="AI178" s="7" t="str">
        <f>IFERROR(__xludf.DUMMYFUNCTION("GoogleTranslate(C178, ""en"", ""kn"")"),"ನನಗೆ ರೇಟ್ ಮಾಡಿ")</f>
        <v>ನನಗೆ ರೇಟ್ ಮಾಡಿ</v>
      </c>
      <c r="AJ178" s="7" t="str">
        <f>IFERROR(__xludf.DUMMYFUNCTION("GoogleTranslate(C178, ""en"", ""km"")"),"វាយតម្លៃខ្ញុំ")</f>
        <v>វាយតម្លៃខ្ញុំ</v>
      </c>
      <c r="AK178" s="7" t="str">
        <f>IFERROR(__xludf.DUMMYFUNCTION("GoogleTranslate(C178, ""en"", ""ko"")"),"나를 평가해 주세요")</f>
        <v>나를 평가해 주세요</v>
      </c>
      <c r="AL178" s="7" t="str">
        <f>IFERROR(__xludf.DUMMYFUNCTION("GoogleTranslate(C178, ""en"", ""lo"")"),"ໃຫ້ຄະແນນຂ້ອຍ")</f>
        <v>ໃຫ້ຄະແນນຂ້ອຍ</v>
      </c>
      <c r="AM178" s="7" t="str">
        <f>IFERROR(__xludf.DUMMYFUNCTION("GoogleTranslate(C178, ""en"", ""lv"")"),"Novērtē mani")</f>
        <v>Novērtē mani</v>
      </c>
      <c r="AN178" s="7" t="str">
        <f>IFERROR(__xludf.DUMMYFUNCTION("GoogleTranslate(C178, ""en"", ""lt"")"),"Įvertink mane")</f>
        <v>Įvertink mane</v>
      </c>
      <c r="AO178" s="7" t="str">
        <f>IFERROR(__xludf.DUMMYFUNCTION("GoogleTranslate(C178, ""en"", ""mk"")"),"Оцени ме")</f>
        <v>Оцени ме</v>
      </c>
      <c r="AP178" s="7" t="str">
        <f>IFERROR(__xludf.DUMMYFUNCTION("GoogleTranslate(C178, ""en"", ""ms"")"),"Nilaikan saya")</f>
        <v>Nilaikan saya</v>
      </c>
      <c r="AQ178" s="7" t="str">
        <f>IFERROR(__xludf.DUMMYFUNCTION("GoogleTranslate(C178, ""en"", ""ml"")"),"എന്നെ റേറ്റുചെയ്യുക")</f>
        <v>എന്നെ റേറ്റുചെയ്യുക</v>
      </c>
      <c r="AR178" s="7" t="str">
        <f>IFERROR(__xludf.DUMMYFUNCTION("GoogleTranslate(C178, ""en"", ""mr"")"),"मला रेट करा")</f>
        <v>मला रेट करा</v>
      </c>
      <c r="AS178" s="7" t="str">
        <f>IFERROR(__xludf.DUMMYFUNCTION("GoogleTranslate(C178, ""en"", ""mn"")"),"Надад үнэлээрэй")</f>
        <v>Надад үнэлээрэй</v>
      </c>
      <c r="AT178" s="7" t="str">
        <f>IFERROR(__xludf.DUMMYFUNCTION("GoogleTranslate(C178, ""en"", ""ne"")"),"मलाई मूल्याङ्कन गर्नुहोस्")</f>
        <v>मलाई मूल्याङ्कन गर्नुहोस्</v>
      </c>
      <c r="AU178" s="7" t="str">
        <f>IFERROR(__xludf.DUMMYFUNCTION("GoogleTranslate(C178, ""en"", ""nb"")"),"Vurder meg")</f>
        <v>Vurder meg</v>
      </c>
      <c r="AV178" s="7" t="str">
        <f>IFERROR(__xludf.DUMMYFUNCTION("GoogleTranslate(C178, ""en"", ""fa"")"),"به من امتیاز بده")</f>
        <v>به من امتیاز بده</v>
      </c>
      <c r="AW178" s="7" t="str">
        <f>IFERROR(__xludf.DUMMYFUNCTION("GoogleTranslate(C178, ""en"", ""pl"")"),"Oceń mnie")</f>
        <v>Oceń mnie</v>
      </c>
      <c r="AX178" s="7" t="str">
        <f>IFERROR(__xludf.DUMMYFUNCTION("GoogleTranslate(C178, ""en"", ""pt"")"),"Avalie-me")</f>
        <v>Avalie-me</v>
      </c>
      <c r="AY178" s="7" t="str">
        <f>IFERROR(__xludf.DUMMYFUNCTION("GoogleTranslate(C178, ""en"", ""ro"")"),"Evaluează-mă")</f>
        <v>Evaluează-mă</v>
      </c>
      <c r="AZ178" s="7" t="str">
        <f>IFERROR(__xludf.DUMMYFUNCTION("GoogleTranslate(C178, ""en"", ""ru"")"),"Оцени меня")</f>
        <v>Оцени меня</v>
      </c>
      <c r="BA178" s="7" t="str">
        <f>IFERROR(__xludf.DUMMYFUNCTION("GoogleTranslate(C178, ""en"", ""sr"")"),"Оцените ме")</f>
        <v>Оцените ме</v>
      </c>
      <c r="BB178" s="7" t="str">
        <f>IFERROR(__xludf.DUMMYFUNCTION("GoogleTranslate(C178, ""en"", ""si"")"),"මාව අගයන්න")</f>
        <v>මාව අගයන්න</v>
      </c>
      <c r="BC178" s="7" t="str">
        <f>IFERROR(__xludf.DUMMYFUNCTION("GoogleTranslate(C178, ""en"", ""sk"")"),"Ohodnoťte ma")</f>
        <v>Ohodnoťte ma</v>
      </c>
      <c r="BD178" s="7" t="str">
        <f>IFERROR(__xludf.DUMMYFUNCTION("GoogleTranslate(C178, ""en"", ""sl"")"),"Oceni me")</f>
        <v>Oceni me</v>
      </c>
      <c r="BE178" s="7" t="str">
        <f>IFERROR(__xludf.DUMMYFUNCTION("GoogleTranslate(C178, ""en"", ""es"")"),"Califícame")</f>
        <v>Califícame</v>
      </c>
      <c r="BF178" s="7" t="str">
        <f>IFERROR(__xludf.DUMMYFUNCTION("GoogleTranslate(C178, ""en"", ""sw"")"),"Nikadirie")</f>
        <v>Nikadirie</v>
      </c>
      <c r="BG178" s="7" t="str">
        <f>IFERROR(__xludf.DUMMYFUNCTION("GoogleTranslate(C178, ""en"", ""sv"")"),"Betygsätt mig")</f>
        <v>Betygsätt mig</v>
      </c>
      <c r="BH178" s="7" t="str">
        <f>IFERROR(__xludf.DUMMYFUNCTION("GoogleTranslate(C178, ""en"", ""te"")"),"నాకు రేట్ చేయండి")</f>
        <v>నాకు రేట్ చేయండి</v>
      </c>
      <c r="BI178" s="7" t="str">
        <f>IFERROR(__xludf.DUMMYFUNCTION("GoogleTranslate(C178, ""en"", ""th"")"),"ให้คะแนนฉัน")</f>
        <v>ให้คะแนนฉัน</v>
      </c>
      <c r="BJ178" s="7" t="str">
        <f>IFERROR(__xludf.DUMMYFUNCTION("GoogleTranslate(C178, ""en"", ""tr"")"),"Bana puan ver")</f>
        <v>Bana puan ver</v>
      </c>
      <c r="BK178" s="7" t="str">
        <f>IFERROR(__xludf.DUMMYFUNCTION("GoogleTranslate(C178, ""en"", ""uk"")"),"Оцініть мене")</f>
        <v>Оцініть мене</v>
      </c>
      <c r="BL178" s="7" t="str">
        <f>IFERROR(__xludf.DUMMYFUNCTION("GoogleTranslate(C178, ""en"", ""zu"")"),"Ngilinganisele")</f>
        <v>Ngilinganisele</v>
      </c>
    </row>
    <row r="179">
      <c r="A179" s="5" t="str">
        <f t="shared" si="1"/>
        <v>Report_problem</v>
      </c>
      <c r="B179" s="6" t="s">
        <v>232</v>
      </c>
      <c r="C179" s="5" t="str">
        <f t="shared" si="2"/>
        <v>Report problem</v>
      </c>
      <c r="D179" s="7" t="str">
        <f>IFERROR(__xludf.DUMMYFUNCTION("GoogleTranslate(C179, ""en"", ""es"")"),"Informar problema")</f>
        <v>Informar problema</v>
      </c>
      <c r="E179" s="7" t="str">
        <f>IFERROR(__xludf.DUMMYFUNCTION("GoogleTranslate(C179, ""en"", ""ar"")"),"الإبلاغ عن مشكلة")</f>
        <v>الإبلاغ عن مشكلة</v>
      </c>
      <c r="F179" s="7" t="str">
        <f>IFERROR(__xludf.DUMMYFUNCTION("GoogleTranslate(C179, ""en"", ""hy"")"),"Հաղորդել խնդրի մասին")</f>
        <v>Հաղորդել խնդրի մասին</v>
      </c>
      <c r="G179" s="7" t="str">
        <f>IFERROR(__xludf.DUMMYFUNCTION("GoogleTranslate(C179, ""en"", ""vi"")"),"Báo cáo vấn đề")</f>
        <v>Báo cáo vấn đề</v>
      </c>
      <c r="H179" s="7" t="str">
        <f>IFERROR(__xludf.DUMMYFUNCTION("GoogleTranslate(C179, ""en"", ""az"")"),"Problemi bildirin")</f>
        <v>Problemi bildirin</v>
      </c>
      <c r="I179" s="7" t="str">
        <f>IFERROR(__xludf.DUMMYFUNCTION("GoogleTranslate(C179, ""en"", ""eu"")"),"Salatu arazoa")</f>
        <v>Salatu arazoa</v>
      </c>
      <c r="J179" s="7" t="str">
        <f>IFERROR(__xludf.DUMMYFUNCTION("GoogleTranslate(C179, ""en"", ""be"")"),"Паведаміць аб праблеме")</f>
        <v>Паведаміць аб праблеме</v>
      </c>
      <c r="K179" s="7" t="str">
        <f>IFERROR(__xludf.DUMMYFUNCTION("GoogleTranslate(C179, ""en"", ""bn"")"),"সমস্যা রিপোর্ট করুন")</f>
        <v>সমস্যা রিপোর্ট করুন</v>
      </c>
      <c r="L179" s="7" t="str">
        <f>IFERROR(__xludf.DUMMYFUNCTION("GoogleTranslate(C179, ""en"", ""bg"")"),"Докладвайте за проблем")</f>
        <v>Докладвайте за проблем</v>
      </c>
      <c r="M179" s="7" t="str">
        <f>IFERROR(__xludf.DUMMYFUNCTION("GoogleTranslate(C179, ""en"", ""my"")"),"ပြဿနာကို သတင်းပို့ပါ။")</f>
        <v>ပြဿနာကို သတင်းပို့ပါ။</v>
      </c>
      <c r="N179" s="7" t="str">
        <f>IFERROR(__xludf.DUMMYFUNCTION("GoogleTranslate(C179, ""en"", ""ca"")"),"Informar del problema")</f>
        <v>Informar del problema</v>
      </c>
      <c r="O179" s="7" t="str">
        <f>IFERROR(__xludf.DUMMYFUNCTION("GoogleTranslate(C179, ""en"", ""zh-cn"")"),"报告问题")</f>
        <v>报告问题</v>
      </c>
      <c r="P179" s="7" t="str">
        <f>IFERROR(__xludf.DUMMYFUNCTION("GoogleTranslate(C179, ""en"", ""zh-TW"")"),"報告問題")</f>
        <v>報告問題</v>
      </c>
      <c r="Q179" s="7" t="str">
        <f>IFERROR(__xludf.DUMMYFUNCTION("GoogleTranslate(C179, ""en"", ""hr"")"),"Prijavi problem")</f>
        <v>Prijavi problem</v>
      </c>
      <c r="R179" s="7" t="str">
        <f>IFERROR(__xludf.DUMMYFUNCTION("GoogleTranslate(C179, ""en"", ""cs"")"),"Nahlásit problém")</f>
        <v>Nahlásit problém</v>
      </c>
      <c r="S179" s="7" t="str">
        <f>IFERROR(__xludf.DUMMYFUNCTION("GoogleTranslate(C179, ""en"", ""da"")"),"Rapporter problem")</f>
        <v>Rapporter problem</v>
      </c>
      <c r="T179" s="7" t="str">
        <f>IFERROR(__xludf.DUMMYFUNCTION("GoogleTranslate(C179, ""en"", ""nl"")"),"Rapporteer probleem")</f>
        <v>Rapporteer probleem</v>
      </c>
      <c r="U179" s="7" t="str">
        <f>IFERROR(__xludf.DUMMYFUNCTION("GoogleTranslate(C179, ""en"", ""et"")"),"Teata probleemist")</f>
        <v>Teata probleemist</v>
      </c>
      <c r="V179" s="5" t="str">
        <f t="shared" si="3"/>
        <v>Report problem</v>
      </c>
      <c r="W179" s="7" t="str">
        <f>IFERROR(__xludf.DUMMYFUNCTION("GoogleTranslate(C179, ""en"", ""fi"")"),"Ilmoita ongelmasta")</f>
        <v>Ilmoita ongelmasta</v>
      </c>
      <c r="X179" s="7" t="str">
        <f>IFERROR(__xludf.DUMMYFUNCTION("GoogleTranslate(C179, ""en"", ""fr"")"),"Signaler un problème")</f>
        <v>Signaler un problème</v>
      </c>
      <c r="Y179" s="7" t="str">
        <f>IFERROR(__xludf.DUMMYFUNCTION("GoogleTranslate(C179, ""en"", ""de"")"),"Problem melden")</f>
        <v>Problem melden</v>
      </c>
      <c r="Z179" s="7" t="str">
        <f>IFERROR(__xludf.DUMMYFUNCTION("GoogleTranslate(C179, ""en"", ""el"")"),"Αναφορά προβλήματος")</f>
        <v>Αναφορά προβλήματος</v>
      </c>
      <c r="AA179" s="7" t="str">
        <f>IFERROR(__xludf.DUMMYFUNCTION("GoogleTranslate(C179, ""en"", ""iw"")"),"דווח על בעיה")</f>
        <v>דווח על בעיה</v>
      </c>
      <c r="AB179" s="7" t="str">
        <f>IFERROR(__xludf.DUMMYFUNCTION("GoogleTranslate(C179, ""en"", ""hi"")"),"समस्या की रिपोर्ट करें")</f>
        <v>समस्या की रिपोर्ट करें</v>
      </c>
      <c r="AC179" s="7" t="str">
        <f>IFERROR(__xludf.DUMMYFUNCTION("GoogleTranslate(C179, ""en"", ""hu"")"),"Probléma bejelentése")</f>
        <v>Probléma bejelentése</v>
      </c>
      <c r="AD179" s="7" t="str">
        <f>IFERROR(__xludf.DUMMYFUNCTION("GoogleTranslate(C179, ""en"", ""is"")"),"Tilkynna vandamál")</f>
        <v>Tilkynna vandamál</v>
      </c>
      <c r="AE179" s="7" t="str">
        <f>IFERROR(__xludf.DUMMYFUNCTION("GoogleTranslate(C179, ""en"", ""id"")"),"Laporkan masalah")</f>
        <v>Laporkan masalah</v>
      </c>
      <c r="AF179" s="7" t="str">
        <f>IFERROR(__xludf.DUMMYFUNCTION("GoogleTranslate(C179, ""en"", ""in"")"),"Laporkan masalah")</f>
        <v>Laporkan masalah</v>
      </c>
      <c r="AG179" s="7" t="str">
        <f>IFERROR(__xludf.DUMMYFUNCTION("GoogleTranslate(C179, ""en"", ""it"")"),"Segnala problema")</f>
        <v>Segnala problema</v>
      </c>
      <c r="AH179" s="7" t="str">
        <f>IFERROR(__xludf.DUMMYFUNCTION("GoogleTranslate(C179, ""en"", ""ja"")"),"問題を報告する")</f>
        <v>問題を報告する</v>
      </c>
      <c r="AI179" s="7" t="str">
        <f>IFERROR(__xludf.DUMMYFUNCTION("GoogleTranslate(C179, ""en"", ""kn"")"),"ಸಮಸ್ಯೆಯನ್ನು ವರದಿ ಮಾಡಿ")</f>
        <v>ಸಮಸ್ಯೆಯನ್ನು ವರದಿ ಮಾಡಿ</v>
      </c>
      <c r="AJ179" s="7" t="str">
        <f>IFERROR(__xludf.DUMMYFUNCTION("GoogleTranslate(C179, ""en"", ""km"")"),"រាយការណ៍បញ្ហា")</f>
        <v>រាយការណ៍បញ្ហា</v>
      </c>
      <c r="AK179" s="7" t="str">
        <f>IFERROR(__xludf.DUMMYFUNCTION("GoogleTranslate(C179, ""en"", ""ko"")"),"문제 신고")</f>
        <v>문제 신고</v>
      </c>
      <c r="AL179" s="7" t="str">
        <f>IFERROR(__xludf.DUMMYFUNCTION("GoogleTranslate(C179, ""en"", ""lo"")"),"ລາຍງານບັນຫາ")</f>
        <v>ລາຍງານບັນຫາ</v>
      </c>
      <c r="AM179" s="7" t="str">
        <f>IFERROR(__xludf.DUMMYFUNCTION("GoogleTranslate(C179, ""en"", ""lv"")"),"Ziņot par problēmu")</f>
        <v>Ziņot par problēmu</v>
      </c>
      <c r="AN179" s="7" t="str">
        <f>IFERROR(__xludf.DUMMYFUNCTION("GoogleTranslate(C179, ""en"", ""lt"")"),"Pranešti apie problemą")</f>
        <v>Pranešti apie problemą</v>
      </c>
      <c r="AO179" s="7" t="str">
        <f>IFERROR(__xludf.DUMMYFUNCTION("GoogleTranslate(C179, ""en"", ""mk"")"),"Пријавете проблем")</f>
        <v>Пријавете проблем</v>
      </c>
      <c r="AP179" s="7" t="str">
        <f>IFERROR(__xludf.DUMMYFUNCTION("GoogleTranslate(C179, ""en"", ""ms"")"),"Laporkan masalah")</f>
        <v>Laporkan masalah</v>
      </c>
      <c r="AQ179" s="7" t="str">
        <f>IFERROR(__xludf.DUMMYFUNCTION("GoogleTranslate(C179, ""en"", ""ml"")"),"പ്രശ്നം റിപ്പോർട്ട് ചെയ്യുക")</f>
        <v>പ്രശ്നം റിപ്പോർട്ട് ചെയ്യുക</v>
      </c>
      <c r="AR179" s="7" t="str">
        <f>IFERROR(__xludf.DUMMYFUNCTION("GoogleTranslate(C179, ""en"", ""mr"")"),"समस्या कळवा")</f>
        <v>समस्या कळवा</v>
      </c>
      <c r="AS179" s="7" t="str">
        <f>IFERROR(__xludf.DUMMYFUNCTION("GoogleTranslate(C179, ""en"", ""mn"")"),"Асуудлыг мэдээлэх")</f>
        <v>Асуудлыг мэдээлэх</v>
      </c>
      <c r="AT179" s="7" t="str">
        <f>IFERROR(__xludf.DUMMYFUNCTION("GoogleTranslate(C179, ""en"", ""ne"")"),"समस्या रिपोर्ट गर्नुहोस्")</f>
        <v>समस्या रिपोर्ट गर्नुहोस्</v>
      </c>
      <c r="AU179" s="7" t="str">
        <f>IFERROR(__xludf.DUMMYFUNCTION("GoogleTranslate(C179, ""en"", ""nb"")"),"Rapporter problem")</f>
        <v>Rapporter problem</v>
      </c>
      <c r="AV179" s="7" t="str">
        <f>IFERROR(__xludf.DUMMYFUNCTION("GoogleTranslate(C179, ""en"", ""fa"")"),"مشکل را گزارش کنید")</f>
        <v>مشکل را گزارش کنید</v>
      </c>
      <c r="AW179" s="7" t="str">
        <f>IFERROR(__xludf.DUMMYFUNCTION("GoogleTranslate(C179, ""en"", ""pl"")"),"Zgłoś problem")</f>
        <v>Zgłoś problem</v>
      </c>
      <c r="AX179" s="7" t="str">
        <f>IFERROR(__xludf.DUMMYFUNCTION("GoogleTranslate(C179, ""en"", ""pt"")"),"Informar problema")</f>
        <v>Informar problema</v>
      </c>
      <c r="AY179" s="7" t="str">
        <f>IFERROR(__xludf.DUMMYFUNCTION("GoogleTranslate(C179, ""en"", ""ro"")"),"Raportați problema")</f>
        <v>Raportați problema</v>
      </c>
      <c r="AZ179" s="7" t="str">
        <f>IFERROR(__xludf.DUMMYFUNCTION("GoogleTranslate(C179, ""en"", ""ru"")"),"Сообщить о проблеме")</f>
        <v>Сообщить о проблеме</v>
      </c>
      <c r="BA179" s="7" t="str">
        <f>IFERROR(__xludf.DUMMYFUNCTION("GoogleTranslate(C179, ""en"", ""sr"")"),"Пријавите проблем")</f>
        <v>Пријавите проблем</v>
      </c>
      <c r="BB179" s="7" t="str">
        <f>IFERROR(__xludf.DUMMYFUNCTION("GoogleTranslate(C179, ""en"", ""si"")"),"ගැටලුව වාර්තා කරන්න")</f>
        <v>ගැටලුව වාර්තා කරන්න</v>
      </c>
      <c r="BC179" s="7" t="str">
        <f>IFERROR(__xludf.DUMMYFUNCTION("GoogleTranslate(C179, ""en"", ""sk"")"),"Nahlásiť problém")</f>
        <v>Nahlásiť problém</v>
      </c>
      <c r="BD179" s="7" t="str">
        <f>IFERROR(__xludf.DUMMYFUNCTION("GoogleTranslate(C179, ""en"", ""sl"")"),"Prijavi težavo")</f>
        <v>Prijavi težavo</v>
      </c>
      <c r="BE179" s="7" t="str">
        <f>IFERROR(__xludf.DUMMYFUNCTION("GoogleTranslate(C179, ""en"", ""es"")"),"Informar problema")</f>
        <v>Informar problema</v>
      </c>
      <c r="BF179" s="7" t="str">
        <f>IFERROR(__xludf.DUMMYFUNCTION("GoogleTranslate(C179, ""en"", ""sw"")"),"Ripoti tatizo")</f>
        <v>Ripoti tatizo</v>
      </c>
      <c r="BG179" s="7" t="str">
        <f>IFERROR(__xludf.DUMMYFUNCTION("GoogleTranslate(C179, ""en"", ""sv"")"),"Rapportera problem")</f>
        <v>Rapportera problem</v>
      </c>
      <c r="BH179" s="7" t="str">
        <f>IFERROR(__xludf.DUMMYFUNCTION("GoogleTranslate(C179, ""en"", ""te"")"),"సమస్యను నివేదించండి")</f>
        <v>సమస్యను నివేదించండి</v>
      </c>
      <c r="BI179" s="7" t="str">
        <f>IFERROR(__xludf.DUMMYFUNCTION("GoogleTranslate(C179, ""en"", ""th"")"),"รายงานปัญหา")</f>
        <v>รายงานปัญหา</v>
      </c>
      <c r="BJ179" s="7" t="str">
        <f>IFERROR(__xludf.DUMMYFUNCTION("GoogleTranslate(C179, ""en"", ""tr"")"),"Sorunu bildir")</f>
        <v>Sorunu bildir</v>
      </c>
      <c r="BK179" s="7" t="str">
        <f>IFERROR(__xludf.DUMMYFUNCTION("GoogleTranslate(C179, ""en"", ""uk"")"),"Повідомити про проблему")</f>
        <v>Повідомити про проблему</v>
      </c>
      <c r="BL179" s="7" t="str">
        <f>IFERROR(__xludf.DUMMYFUNCTION("GoogleTranslate(C179, ""en"", ""zu"")"),"Bika inkinga")</f>
        <v>Bika inkinga</v>
      </c>
    </row>
    <row r="180">
      <c r="A180" s="5" t="str">
        <f t="shared" si="1"/>
        <v>Privacy_policy</v>
      </c>
      <c r="B180" s="6" t="s">
        <v>233</v>
      </c>
      <c r="C180" s="5" t="str">
        <f t="shared" si="2"/>
        <v>Privacy policy</v>
      </c>
      <c r="D180" s="7" t="str">
        <f>IFERROR(__xludf.DUMMYFUNCTION("GoogleTranslate(C180, ""en"", ""es"")"),"Política de privacidad")</f>
        <v>Política de privacidad</v>
      </c>
      <c r="E180" s="7" t="str">
        <f>IFERROR(__xludf.DUMMYFUNCTION("GoogleTranslate(C180, ""en"", ""ar"")"),"سياسة الخصوصية")</f>
        <v>سياسة الخصوصية</v>
      </c>
      <c r="F180" s="7" t="str">
        <f>IFERROR(__xludf.DUMMYFUNCTION("GoogleTranslate(C180, ""en"", ""hy"")"),"Գաղտնիության քաղաքականություն")</f>
        <v>Գաղտնիության քաղաքականություն</v>
      </c>
      <c r="G180" s="7" t="str">
        <f>IFERROR(__xludf.DUMMYFUNCTION("GoogleTranslate(C180, ""en"", ""vi"")"),"Chính sách bảo mật")</f>
        <v>Chính sách bảo mật</v>
      </c>
      <c r="H180" s="7" t="str">
        <f>IFERROR(__xludf.DUMMYFUNCTION("GoogleTranslate(C180, ""en"", ""az"")"),"Məxfilik siyasəti")</f>
        <v>Məxfilik siyasəti</v>
      </c>
      <c r="I180" s="7" t="str">
        <f>IFERROR(__xludf.DUMMYFUNCTION("GoogleTranslate(C180, ""en"", ""eu"")"),"Pribatutasun politika")</f>
        <v>Pribatutasun politika</v>
      </c>
      <c r="J180" s="7" t="str">
        <f>IFERROR(__xludf.DUMMYFUNCTION("GoogleTranslate(C180, ""en"", ""be"")"),"Палітыка прыватнасці")</f>
        <v>Палітыка прыватнасці</v>
      </c>
      <c r="K180" s="7" t="str">
        <f>IFERROR(__xludf.DUMMYFUNCTION("GoogleTranslate(C180, ""en"", ""bn"")"),"গোপনীয়তা নীতি")</f>
        <v>গোপনীয়তা নীতি</v>
      </c>
      <c r="L180" s="7" t="str">
        <f>IFERROR(__xludf.DUMMYFUNCTION("GoogleTranslate(C180, ""en"", ""bg"")"),"Политика за поверителност")</f>
        <v>Политика за поверителност</v>
      </c>
      <c r="M180" s="7" t="str">
        <f>IFERROR(__xludf.DUMMYFUNCTION("GoogleTranslate(C180, ""en"", ""my"")"),"ကိုယ်ရေးအချက်အလက်မူဝါဒ")</f>
        <v>ကိုယ်ရေးအချက်အလက်မူဝါဒ</v>
      </c>
      <c r="N180" s="7" t="str">
        <f>IFERROR(__xludf.DUMMYFUNCTION("GoogleTranslate(C180, ""en"", ""ca"")"),"Política de privadesa")</f>
        <v>Política de privadesa</v>
      </c>
      <c r="O180" s="7" t="str">
        <f>IFERROR(__xludf.DUMMYFUNCTION("GoogleTranslate(C180, ""en"", ""zh-cn"")"),"隐私政策")</f>
        <v>隐私政策</v>
      </c>
      <c r="P180" s="7" t="str">
        <f>IFERROR(__xludf.DUMMYFUNCTION("GoogleTranslate(C180, ""en"", ""zh-TW"")"),"隱私權政策")</f>
        <v>隱私權政策</v>
      </c>
      <c r="Q180" s="7" t="str">
        <f>IFERROR(__xludf.DUMMYFUNCTION("GoogleTranslate(C180, ""en"", ""hr"")"),"Politika privatnosti")</f>
        <v>Politika privatnosti</v>
      </c>
      <c r="R180" s="7" t="str">
        <f>IFERROR(__xludf.DUMMYFUNCTION("GoogleTranslate(C180, ""en"", ""cs"")"),"Zásady ochrany osobních údajů")</f>
        <v>Zásady ochrany osobních údajů</v>
      </c>
      <c r="S180" s="7" t="str">
        <f>IFERROR(__xludf.DUMMYFUNCTION("GoogleTranslate(C180, ""en"", ""da"")"),"Privatlivspolitik")</f>
        <v>Privatlivspolitik</v>
      </c>
      <c r="T180" s="7" t="str">
        <f>IFERROR(__xludf.DUMMYFUNCTION("GoogleTranslate(C180, ""en"", ""nl"")"),"Privacybeleid")</f>
        <v>Privacybeleid</v>
      </c>
      <c r="U180" s="7" t="str">
        <f>IFERROR(__xludf.DUMMYFUNCTION("GoogleTranslate(C180, ""en"", ""et"")"),"Privaatsuspoliitika")</f>
        <v>Privaatsuspoliitika</v>
      </c>
      <c r="V180" s="5" t="str">
        <f t="shared" si="3"/>
        <v>Privacy policy</v>
      </c>
      <c r="W180" s="7" t="str">
        <f>IFERROR(__xludf.DUMMYFUNCTION("GoogleTranslate(C180, ""en"", ""fi"")"),"Tietosuojakäytäntö")</f>
        <v>Tietosuojakäytäntö</v>
      </c>
      <c r="X180" s="7" t="str">
        <f>IFERROR(__xludf.DUMMYFUNCTION("GoogleTranslate(C180, ""en"", ""fr"")"),"Politique de confidentialité")</f>
        <v>Politique de confidentialité</v>
      </c>
      <c r="Y180" s="7" t="str">
        <f>IFERROR(__xludf.DUMMYFUNCTION("GoogleTranslate(C180, ""en"", ""de"")"),"Datenschutzrichtlinie")</f>
        <v>Datenschutzrichtlinie</v>
      </c>
      <c r="Z180" s="7" t="str">
        <f>IFERROR(__xludf.DUMMYFUNCTION("GoogleTranslate(C180, ""en"", ""el"")"),"Πολιτική απορρήτου")</f>
        <v>Πολιτική απορρήτου</v>
      </c>
      <c r="AA180" s="7" t="str">
        <f>IFERROR(__xludf.DUMMYFUNCTION("GoogleTranslate(C180, ""en"", ""iw"")"),"מדיניות פרטיות")</f>
        <v>מדיניות פרטיות</v>
      </c>
      <c r="AB180" s="7" t="str">
        <f>IFERROR(__xludf.DUMMYFUNCTION("GoogleTranslate(C180, ""en"", ""hi"")"),"गोपनीयता नीति")</f>
        <v>गोपनीयता नीति</v>
      </c>
      <c r="AC180" s="7" t="str">
        <f>IFERROR(__xludf.DUMMYFUNCTION("GoogleTranslate(C180, ""en"", ""hu"")"),"Adatvédelmi szabályzat")</f>
        <v>Adatvédelmi szabályzat</v>
      </c>
      <c r="AD180" s="7" t="str">
        <f>IFERROR(__xludf.DUMMYFUNCTION("GoogleTranslate(C180, ""en"", ""is"")"),"Persónuverndarstefna")</f>
        <v>Persónuverndarstefna</v>
      </c>
      <c r="AE180" s="7" t="str">
        <f>IFERROR(__xludf.DUMMYFUNCTION("GoogleTranslate(C180, ""en"", ""id"")"),"Kebijakan privasi")</f>
        <v>Kebijakan privasi</v>
      </c>
      <c r="AF180" s="7" t="str">
        <f>IFERROR(__xludf.DUMMYFUNCTION("GoogleTranslate(C180, ""en"", ""in"")"),"Kebijakan privasi")</f>
        <v>Kebijakan privasi</v>
      </c>
      <c r="AG180" s="7" t="str">
        <f>IFERROR(__xludf.DUMMYFUNCTION("GoogleTranslate(C180, ""en"", ""it"")"),"Politica sulla riservatezza")</f>
        <v>Politica sulla riservatezza</v>
      </c>
      <c r="AH180" s="7" t="str">
        <f>IFERROR(__xludf.DUMMYFUNCTION("GoogleTranslate(C180, ""en"", ""ja"")"),"プライバシーポリシー")</f>
        <v>プライバシーポリシー</v>
      </c>
      <c r="AI180" s="7" t="str">
        <f>IFERROR(__xludf.DUMMYFUNCTION("GoogleTranslate(C180, ""en"", ""kn"")"),"ಗೌಪ್ಯತೆ ನೀತಿ")</f>
        <v>ಗೌಪ್ಯತೆ ನೀತಿ</v>
      </c>
      <c r="AJ180" s="7" t="str">
        <f>IFERROR(__xludf.DUMMYFUNCTION("GoogleTranslate(C180, ""en"", ""km"")"),"គោលការណ៍ឯកជនភាព")</f>
        <v>គោលការណ៍ឯកជនភាព</v>
      </c>
      <c r="AK180" s="7" t="str">
        <f>IFERROR(__xludf.DUMMYFUNCTION("GoogleTranslate(C180, ""en"", ""ko"")"),"개인 정보 보호 정책")</f>
        <v>개인 정보 보호 정책</v>
      </c>
      <c r="AL180" s="7" t="str">
        <f>IFERROR(__xludf.DUMMYFUNCTION("GoogleTranslate(C180, ""en"", ""lo"")"),"ນະໂຍບາຍຄວາມເປັນສ່ວນຕົວ")</f>
        <v>ນະໂຍບາຍຄວາມເປັນສ່ວນຕົວ</v>
      </c>
      <c r="AM180" s="7" t="str">
        <f>IFERROR(__xludf.DUMMYFUNCTION("GoogleTranslate(C180, ""en"", ""lv"")"),"Privātuma politika")</f>
        <v>Privātuma politika</v>
      </c>
      <c r="AN180" s="7" t="str">
        <f>IFERROR(__xludf.DUMMYFUNCTION("GoogleTranslate(C180, ""en"", ""lt"")"),"Privatumo politika")</f>
        <v>Privatumo politika</v>
      </c>
      <c r="AO180" s="7" t="str">
        <f>IFERROR(__xludf.DUMMYFUNCTION("GoogleTranslate(C180, ""en"", ""mk"")"),"Политика за приватност")</f>
        <v>Политика за приватност</v>
      </c>
      <c r="AP180" s="7" t="str">
        <f>IFERROR(__xludf.DUMMYFUNCTION("GoogleTranslate(C180, ""en"", ""ms"")"),"Dasar privasi")</f>
        <v>Dasar privasi</v>
      </c>
      <c r="AQ180" s="7" t="str">
        <f>IFERROR(__xludf.DUMMYFUNCTION("GoogleTranslate(C180, ""en"", ""ml"")"),"സ്വകാര്യതാ നയം")</f>
        <v>സ്വകാര്യതാ നയം</v>
      </c>
      <c r="AR180" s="7" t="str">
        <f>IFERROR(__xludf.DUMMYFUNCTION("GoogleTranslate(C180, ""en"", ""mr"")"),"गोपनीयता धोरण")</f>
        <v>गोपनीयता धोरण</v>
      </c>
      <c r="AS180" s="7" t="str">
        <f>IFERROR(__xludf.DUMMYFUNCTION("GoogleTranslate(C180, ""en"", ""mn"")"),"Нууцлалын бодлого")</f>
        <v>Нууцлалын бодлого</v>
      </c>
      <c r="AT180" s="7" t="str">
        <f>IFERROR(__xludf.DUMMYFUNCTION("GoogleTranslate(C180, ""en"", ""ne"")"),"गोपनीयता नीति")</f>
        <v>गोपनीयता नीति</v>
      </c>
      <c r="AU180" s="7" t="str">
        <f>IFERROR(__xludf.DUMMYFUNCTION("GoogleTranslate(C180, ""en"", ""nb"")"),"Personvernerklæring")</f>
        <v>Personvernerklæring</v>
      </c>
      <c r="AV180" s="7" t="str">
        <f>IFERROR(__xludf.DUMMYFUNCTION("GoogleTranslate(C180, ""en"", ""fa"")"),"سیاست حفظ حریم خصوصی")</f>
        <v>سیاست حفظ حریم خصوصی</v>
      </c>
      <c r="AW180" s="7" t="str">
        <f>IFERROR(__xludf.DUMMYFUNCTION("GoogleTranslate(C180, ""en"", ""pl"")"),"Polityka prywatności")</f>
        <v>Polityka prywatności</v>
      </c>
      <c r="AX180" s="7" t="str">
        <f>IFERROR(__xludf.DUMMYFUNCTION("GoogleTranslate(C180, ""en"", ""pt"")"),"Política de Privacidade")</f>
        <v>Política de Privacidade</v>
      </c>
      <c r="AY180" s="7" t="str">
        <f>IFERROR(__xludf.DUMMYFUNCTION("GoogleTranslate(C180, ""en"", ""ro"")"),"Politica de confidențialitate")</f>
        <v>Politica de confidențialitate</v>
      </c>
      <c r="AZ180" s="7" t="str">
        <f>IFERROR(__xludf.DUMMYFUNCTION("GoogleTranslate(C180, ""en"", ""ru"")"),"Политика конфиденциальности")</f>
        <v>Политика конфиденциальности</v>
      </c>
      <c r="BA180" s="7" t="str">
        <f>IFERROR(__xludf.DUMMYFUNCTION("GoogleTranslate(C180, ""en"", ""sr"")"),"Политика приватности")</f>
        <v>Политика приватности</v>
      </c>
      <c r="BB180" s="7" t="str">
        <f>IFERROR(__xludf.DUMMYFUNCTION("GoogleTranslate(C180, ""en"", ""si"")"),"රහස්යතා ප්රතිපත්තිය")</f>
        <v>රහස්යතා ප්රතිපත්තිය</v>
      </c>
      <c r="BC180" s="7" t="str">
        <f>IFERROR(__xludf.DUMMYFUNCTION("GoogleTranslate(C180, ""en"", ""sk"")"),"Zásady ochrany osobných údajov")</f>
        <v>Zásady ochrany osobných údajov</v>
      </c>
      <c r="BD180" s="7" t="str">
        <f>IFERROR(__xludf.DUMMYFUNCTION("GoogleTranslate(C180, ""en"", ""sl"")"),"Politika zasebnosti")</f>
        <v>Politika zasebnosti</v>
      </c>
      <c r="BE180" s="7" t="str">
        <f>IFERROR(__xludf.DUMMYFUNCTION("GoogleTranslate(C180, ""en"", ""es"")"),"Política de privacidad")</f>
        <v>Política de privacidad</v>
      </c>
      <c r="BF180" s="7" t="str">
        <f>IFERROR(__xludf.DUMMYFUNCTION("GoogleTranslate(C180, ""en"", ""sw"")"),"Sera ya faragha")</f>
        <v>Sera ya faragha</v>
      </c>
      <c r="BG180" s="7" t="str">
        <f>IFERROR(__xludf.DUMMYFUNCTION("GoogleTranslate(C180, ""en"", ""sv"")"),"Integritetspolicy")</f>
        <v>Integritetspolicy</v>
      </c>
      <c r="BH180" s="7" t="str">
        <f>IFERROR(__xludf.DUMMYFUNCTION("GoogleTranslate(C180, ""en"", ""te"")"),"గోప్యతా విధానం")</f>
        <v>గోప్యతా విధానం</v>
      </c>
      <c r="BI180" s="7" t="str">
        <f>IFERROR(__xludf.DUMMYFUNCTION("GoogleTranslate(C180, ""en"", ""th"")"),"นโยบายความเป็นส่วนตัว")</f>
        <v>นโยบายความเป็นส่วนตัว</v>
      </c>
      <c r="BJ180" s="7" t="str">
        <f>IFERROR(__xludf.DUMMYFUNCTION("GoogleTranslate(C180, ""en"", ""tr"")"),"Gizlilik politikası")</f>
        <v>Gizlilik politikası</v>
      </c>
      <c r="BK180" s="7" t="str">
        <f>IFERROR(__xludf.DUMMYFUNCTION("GoogleTranslate(C180, ""en"", ""uk"")"),"Політика конфіденційності")</f>
        <v>Політика конфіденційності</v>
      </c>
      <c r="BL180" s="7" t="str">
        <f>IFERROR(__xludf.DUMMYFUNCTION("GoogleTranslate(C180, ""en"", ""zu"")"),"Inqubomgomo yobumfihlo")</f>
        <v>Inqubomgomo yobumfihlo</v>
      </c>
    </row>
    <row r="181">
      <c r="A181" s="5" t="str">
        <f t="shared" si="1"/>
        <v>Company</v>
      </c>
      <c r="B181" s="6" t="s">
        <v>234</v>
      </c>
      <c r="C181" s="5" t="str">
        <f t="shared" si="2"/>
        <v>Company</v>
      </c>
      <c r="D181" s="7" t="str">
        <f>IFERROR(__xludf.DUMMYFUNCTION("GoogleTranslate(C181, ""en"", ""es"")"),"Compañía")</f>
        <v>Compañía</v>
      </c>
      <c r="E181" s="7" t="str">
        <f>IFERROR(__xludf.DUMMYFUNCTION("GoogleTranslate(C181, ""en"", ""ar"")"),"شركة")</f>
        <v>شركة</v>
      </c>
      <c r="F181" s="7" t="str">
        <f>IFERROR(__xludf.DUMMYFUNCTION("GoogleTranslate(C181, ""en"", ""hy"")"),"Ընկերություն")</f>
        <v>Ընկերություն</v>
      </c>
      <c r="G181" s="7" t="str">
        <f>IFERROR(__xludf.DUMMYFUNCTION("GoogleTranslate(C181, ""en"", ""vi"")"),"Công ty")</f>
        <v>Công ty</v>
      </c>
      <c r="H181" s="7" t="str">
        <f>IFERROR(__xludf.DUMMYFUNCTION("GoogleTranslate(C181, ""en"", ""az"")"),"Şirkət")</f>
        <v>Şirkət</v>
      </c>
      <c r="I181" s="7" t="str">
        <f>IFERROR(__xludf.DUMMYFUNCTION("GoogleTranslate(C181, ""en"", ""eu"")"),"Enpresa")</f>
        <v>Enpresa</v>
      </c>
      <c r="J181" s="7" t="str">
        <f>IFERROR(__xludf.DUMMYFUNCTION("GoogleTranslate(C181, ""en"", ""be"")"),"Кампанія")</f>
        <v>Кампанія</v>
      </c>
      <c r="K181" s="7" t="str">
        <f>IFERROR(__xludf.DUMMYFUNCTION("GoogleTranslate(C181, ""en"", ""bn"")"),"কোম্পানি")</f>
        <v>কোম্পানি</v>
      </c>
      <c r="L181" s="7" t="str">
        <f>IFERROR(__xludf.DUMMYFUNCTION("GoogleTranslate(C181, ""en"", ""bg"")"),"Компания")</f>
        <v>Компания</v>
      </c>
      <c r="M181" s="7" t="str">
        <f>IFERROR(__xludf.DUMMYFUNCTION("GoogleTranslate(C181, ""en"", ""my"")"),"ကုမ္ပဏီ")</f>
        <v>ကုမ္ပဏီ</v>
      </c>
      <c r="N181" s="7" t="str">
        <f>IFERROR(__xludf.DUMMYFUNCTION("GoogleTranslate(C181, ""en"", ""ca"")"),"Companyia")</f>
        <v>Companyia</v>
      </c>
      <c r="O181" s="7" t="str">
        <f>IFERROR(__xludf.DUMMYFUNCTION("GoogleTranslate(C181, ""en"", ""zh-cn"")"),"公司")</f>
        <v>公司</v>
      </c>
      <c r="P181" s="7" t="str">
        <f>IFERROR(__xludf.DUMMYFUNCTION("GoogleTranslate(C181, ""en"", ""zh-TW"")"),"公司")</f>
        <v>公司</v>
      </c>
      <c r="Q181" s="7" t="str">
        <f>IFERROR(__xludf.DUMMYFUNCTION("GoogleTranslate(C181, ""en"", ""hr"")"),"Tvrtka")</f>
        <v>Tvrtka</v>
      </c>
      <c r="R181" s="7" t="str">
        <f>IFERROR(__xludf.DUMMYFUNCTION("GoogleTranslate(C181, ""en"", ""cs"")"),"Společnost")</f>
        <v>Společnost</v>
      </c>
      <c r="S181" s="7" t="str">
        <f>IFERROR(__xludf.DUMMYFUNCTION("GoogleTranslate(C181, ""en"", ""da"")"),"Selskab")</f>
        <v>Selskab</v>
      </c>
      <c r="T181" s="7" t="str">
        <f>IFERROR(__xludf.DUMMYFUNCTION("GoogleTranslate(C181, ""en"", ""nl"")"),"Bedrijf")</f>
        <v>Bedrijf</v>
      </c>
      <c r="U181" s="7" t="str">
        <f>IFERROR(__xludf.DUMMYFUNCTION("GoogleTranslate(C181, ""en"", ""et"")"),"Ettevõte")</f>
        <v>Ettevõte</v>
      </c>
      <c r="V181" s="5" t="str">
        <f t="shared" si="3"/>
        <v>Company</v>
      </c>
      <c r="W181" s="7" t="str">
        <f>IFERROR(__xludf.DUMMYFUNCTION("GoogleTranslate(C181, ""en"", ""fi"")"),"Yritys")</f>
        <v>Yritys</v>
      </c>
      <c r="X181" s="7" t="str">
        <f>IFERROR(__xludf.DUMMYFUNCTION("GoogleTranslate(C181, ""en"", ""fr"")"),"Entreprise")</f>
        <v>Entreprise</v>
      </c>
      <c r="Y181" s="7" t="str">
        <f>IFERROR(__xludf.DUMMYFUNCTION("GoogleTranslate(C181, ""en"", ""de"")"),"Unternehmen")</f>
        <v>Unternehmen</v>
      </c>
      <c r="Z181" s="7" t="str">
        <f>IFERROR(__xludf.DUMMYFUNCTION("GoogleTranslate(C181, ""en"", ""el"")"),"Εταιρεία")</f>
        <v>Εταιρεία</v>
      </c>
      <c r="AA181" s="7" t="str">
        <f>IFERROR(__xludf.DUMMYFUNCTION("GoogleTranslate(C181, ""en"", ""iw"")"),"חֶברָה")</f>
        <v>חֶברָה</v>
      </c>
      <c r="AB181" s="7" t="str">
        <f>IFERROR(__xludf.DUMMYFUNCTION("GoogleTranslate(C181, ""en"", ""hi"")"),"कंपनी")</f>
        <v>कंपनी</v>
      </c>
      <c r="AC181" s="7" t="str">
        <f>IFERROR(__xludf.DUMMYFUNCTION("GoogleTranslate(C181, ""en"", ""hu"")"),"Vállalat")</f>
        <v>Vállalat</v>
      </c>
      <c r="AD181" s="7" t="str">
        <f>IFERROR(__xludf.DUMMYFUNCTION("GoogleTranslate(C181, ""en"", ""is"")"),"Fyrirtæki")</f>
        <v>Fyrirtæki</v>
      </c>
      <c r="AE181" s="7" t="str">
        <f>IFERROR(__xludf.DUMMYFUNCTION("GoogleTranslate(C181, ""en"", ""id"")"),"Perusahaan")</f>
        <v>Perusahaan</v>
      </c>
      <c r="AF181" s="7" t="str">
        <f>IFERROR(__xludf.DUMMYFUNCTION("GoogleTranslate(C181, ""en"", ""in"")"),"Perusahaan")</f>
        <v>Perusahaan</v>
      </c>
      <c r="AG181" s="7" t="str">
        <f>IFERROR(__xludf.DUMMYFUNCTION("GoogleTranslate(C181, ""en"", ""it"")"),"Azienda")</f>
        <v>Azienda</v>
      </c>
      <c r="AH181" s="7" t="str">
        <f>IFERROR(__xludf.DUMMYFUNCTION("GoogleTranslate(C181, ""en"", ""ja"")"),"会社")</f>
        <v>会社</v>
      </c>
      <c r="AI181" s="7" t="str">
        <f>IFERROR(__xludf.DUMMYFUNCTION("GoogleTranslate(C181, ""en"", ""kn"")"),"ಕಂಪನಿ")</f>
        <v>ಕಂಪನಿ</v>
      </c>
      <c r="AJ181" s="7" t="str">
        <f>IFERROR(__xludf.DUMMYFUNCTION("GoogleTranslate(C181, ""en"", ""km"")"),"ក្រុមហ៊ុន")</f>
        <v>ក្រុមហ៊ុន</v>
      </c>
      <c r="AK181" s="7" t="str">
        <f>IFERROR(__xludf.DUMMYFUNCTION("GoogleTranslate(C181, ""en"", ""ko"")"),"회사")</f>
        <v>회사</v>
      </c>
      <c r="AL181" s="7" t="str">
        <f>IFERROR(__xludf.DUMMYFUNCTION("GoogleTranslate(C181, ""en"", ""lo"")"),"ບໍລິສັດ")</f>
        <v>ບໍລິສັດ</v>
      </c>
      <c r="AM181" s="7" t="str">
        <f>IFERROR(__xludf.DUMMYFUNCTION("GoogleTranslate(C181, ""en"", ""lv"")"),"Uzņēmums")</f>
        <v>Uzņēmums</v>
      </c>
      <c r="AN181" s="7" t="str">
        <f>IFERROR(__xludf.DUMMYFUNCTION("GoogleTranslate(C181, ""en"", ""lt"")"),"Įmonė")</f>
        <v>Įmonė</v>
      </c>
      <c r="AO181" s="7" t="str">
        <f>IFERROR(__xludf.DUMMYFUNCTION("GoogleTranslate(C181, ""en"", ""mk"")"),"Компанијата")</f>
        <v>Компанијата</v>
      </c>
      <c r="AP181" s="7" t="str">
        <f>IFERROR(__xludf.DUMMYFUNCTION("GoogleTranslate(C181, ""en"", ""ms"")"),"Syarikat")</f>
        <v>Syarikat</v>
      </c>
      <c r="AQ181" s="7" t="str">
        <f>IFERROR(__xludf.DUMMYFUNCTION("GoogleTranslate(C181, ""en"", ""ml"")"),"കമ്പനി")</f>
        <v>കമ്പനി</v>
      </c>
      <c r="AR181" s="7" t="str">
        <f>IFERROR(__xludf.DUMMYFUNCTION("GoogleTranslate(C181, ""en"", ""mr"")"),"कंपनी")</f>
        <v>कंपनी</v>
      </c>
      <c r="AS181" s="7" t="str">
        <f>IFERROR(__xludf.DUMMYFUNCTION("GoogleTranslate(C181, ""en"", ""mn"")"),"Компани")</f>
        <v>Компани</v>
      </c>
      <c r="AT181" s="7" t="str">
        <f>IFERROR(__xludf.DUMMYFUNCTION("GoogleTranslate(C181, ""en"", ""ne"")"),"कम्पनी")</f>
        <v>कम्पनी</v>
      </c>
      <c r="AU181" s="7" t="str">
        <f>IFERROR(__xludf.DUMMYFUNCTION("GoogleTranslate(C181, ""en"", ""nb"")"),"Bedrift")</f>
        <v>Bedrift</v>
      </c>
      <c r="AV181" s="7" t="str">
        <f>IFERROR(__xludf.DUMMYFUNCTION("GoogleTranslate(C181, ""en"", ""fa"")"),"شرکت")</f>
        <v>شرکت</v>
      </c>
      <c r="AW181" s="7" t="str">
        <f>IFERROR(__xludf.DUMMYFUNCTION("GoogleTranslate(C181, ""en"", ""pl"")"),"Firma")</f>
        <v>Firma</v>
      </c>
      <c r="AX181" s="7" t="str">
        <f>IFERROR(__xludf.DUMMYFUNCTION("GoogleTranslate(C181, ""en"", ""pt"")"),"Empresa")</f>
        <v>Empresa</v>
      </c>
      <c r="AY181" s="7" t="str">
        <f>IFERROR(__xludf.DUMMYFUNCTION("GoogleTranslate(C181, ""en"", ""ro"")"),"Companie")</f>
        <v>Companie</v>
      </c>
      <c r="AZ181" s="7" t="str">
        <f>IFERROR(__xludf.DUMMYFUNCTION("GoogleTranslate(C181, ""en"", ""ru"")"),"Компания")</f>
        <v>Компания</v>
      </c>
      <c r="BA181" s="7" t="str">
        <f>IFERROR(__xludf.DUMMYFUNCTION("GoogleTranslate(C181, ""en"", ""sr"")"),"Компанија")</f>
        <v>Компанија</v>
      </c>
      <c r="BB181" s="7" t="str">
        <f>IFERROR(__xludf.DUMMYFUNCTION("GoogleTranslate(C181, ""en"", ""si"")"),"සමාගම")</f>
        <v>සමාගම</v>
      </c>
      <c r="BC181" s="7" t="str">
        <f>IFERROR(__xludf.DUMMYFUNCTION("GoogleTranslate(C181, ""en"", ""sk"")"),"Spoločnosť")</f>
        <v>Spoločnosť</v>
      </c>
      <c r="BD181" s="7" t="str">
        <f>IFERROR(__xludf.DUMMYFUNCTION("GoogleTranslate(C181, ""en"", ""sl"")"),"Podjetje")</f>
        <v>Podjetje</v>
      </c>
      <c r="BE181" s="7" t="str">
        <f>IFERROR(__xludf.DUMMYFUNCTION("GoogleTranslate(C181, ""en"", ""es"")"),"Compañía")</f>
        <v>Compañía</v>
      </c>
      <c r="BF181" s="7" t="str">
        <f>IFERROR(__xludf.DUMMYFUNCTION("GoogleTranslate(C181, ""en"", ""sw"")"),"Kampuni")</f>
        <v>Kampuni</v>
      </c>
      <c r="BG181" s="7" t="str">
        <f>IFERROR(__xludf.DUMMYFUNCTION("GoogleTranslate(C181, ""en"", ""sv"")"),"Företag")</f>
        <v>Företag</v>
      </c>
      <c r="BH181" s="7" t="str">
        <f>IFERROR(__xludf.DUMMYFUNCTION("GoogleTranslate(C181, ""en"", ""te"")"),"కంపెనీ")</f>
        <v>కంపెనీ</v>
      </c>
      <c r="BI181" s="7" t="str">
        <f>IFERROR(__xludf.DUMMYFUNCTION("GoogleTranslate(C181, ""en"", ""th"")"),"บริษัท")</f>
        <v>บริษัท</v>
      </c>
      <c r="BJ181" s="7" t="str">
        <f>IFERROR(__xludf.DUMMYFUNCTION("GoogleTranslate(C181, ""en"", ""tr"")"),"Şirket")</f>
        <v>Şirket</v>
      </c>
      <c r="BK181" s="7" t="str">
        <f>IFERROR(__xludf.DUMMYFUNCTION("GoogleTranslate(C181, ""en"", ""uk"")"),"Компанія")</f>
        <v>Компанія</v>
      </c>
      <c r="BL181" s="7" t="str">
        <f>IFERROR(__xludf.DUMMYFUNCTION("GoogleTranslate(C181, ""en"", ""zu"")"),"Inkampani")</f>
        <v>Inkampani</v>
      </c>
    </row>
    <row r="182">
      <c r="A182" s="5" t="str">
        <f t="shared" si="1"/>
        <v>Proven_Superior_Accuracy</v>
      </c>
      <c r="B182" s="6" t="s">
        <v>235</v>
      </c>
      <c r="C182" s="5" t="str">
        <f t="shared" si="2"/>
        <v>Proven Superior Accuracy</v>
      </c>
      <c r="D182" s="7" t="str">
        <f>IFERROR(__xludf.DUMMYFUNCTION("GoogleTranslate(C182, ""en"", ""es"")"),"Precisión superior comprobada")</f>
        <v>Precisión superior comprobada</v>
      </c>
      <c r="E182" s="7" t="str">
        <f>IFERROR(__xludf.DUMMYFUNCTION("GoogleTranslate(C182, ""en"", ""ar"")"),"دقة فائقة مثبتة")</f>
        <v>دقة فائقة مثبتة</v>
      </c>
      <c r="F182" s="7" t="str">
        <f>IFERROR(__xludf.DUMMYFUNCTION("GoogleTranslate(C182, ""en"", ""hy"")"),"Ապացուցված բարձր ճշգրտություն")</f>
        <v>Ապացուցված բարձր ճշգրտություն</v>
      </c>
      <c r="G182" s="7" t="str">
        <f>IFERROR(__xludf.DUMMYFUNCTION("GoogleTranslate(C182, ""en"", ""vi"")"),"Độ chính xác vượt trội đã được chứng minh")</f>
        <v>Độ chính xác vượt trội đã được chứng minh</v>
      </c>
      <c r="H182" s="7" t="str">
        <f>IFERROR(__xludf.DUMMYFUNCTION("GoogleTranslate(C182, ""en"", ""az"")"),"Sübut edilmiş Üstün Dəqiqlik")</f>
        <v>Sübut edilmiş Üstün Dəqiqlik</v>
      </c>
      <c r="I182" s="7" t="str">
        <f>IFERROR(__xludf.DUMMYFUNCTION("GoogleTranslate(C182, ""en"", ""eu"")"),"Goi-mailako zehaztasun frogatua")</f>
        <v>Goi-mailako zehaztasun frogatua</v>
      </c>
      <c r="J182" s="7" t="str">
        <f>IFERROR(__xludf.DUMMYFUNCTION("GoogleTranslate(C182, ""en"", ""be"")"),"Правераная найвышэйшая дакладнасць")</f>
        <v>Правераная найвышэйшая дакладнасць</v>
      </c>
      <c r="K182" s="7" t="str">
        <f>IFERROR(__xludf.DUMMYFUNCTION("GoogleTranslate(C182, ""en"", ""bn"")"),"প্রমাণিত উচ্চতর নির্ভুলতা")</f>
        <v>প্রমাণিত উচ্চতর নির্ভুলতা</v>
      </c>
      <c r="L182" s="7" t="str">
        <f>IFERROR(__xludf.DUMMYFUNCTION("GoogleTranslate(C182, ""en"", ""bg"")"),"Доказана превъзходна точност")</f>
        <v>Доказана превъзходна точност</v>
      </c>
      <c r="M182" s="7" t="str">
        <f>IFERROR(__xludf.DUMMYFUNCTION("GoogleTranslate(C182, ""en"", ""my"")"),"သာလွန်တိကျမှုကို သက်သေပြထားသည်။")</f>
        <v>သာလွန်တိကျမှုကို သက်သေပြထားသည်။</v>
      </c>
      <c r="N182" s="7" t="str">
        <f>IFERROR(__xludf.DUMMYFUNCTION("GoogleTranslate(C182, ""en"", ""ca"")"),"Precisió superior provada")</f>
        <v>Precisió superior provada</v>
      </c>
      <c r="O182" s="7" t="str">
        <f>IFERROR(__xludf.DUMMYFUNCTION("GoogleTranslate(C182, ""en"", ""zh-cn"")"),"经验证的卓越精度")</f>
        <v>经验证的卓越精度</v>
      </c>
      <c r="P182" s="7" t="str">
        <f>IFERROR(__xludf.DUMMYFUNCTION("GoogleTranslate(C182, ""en"", ""zh-TW"")"),"經驗證的卓越精度")</f>
        <v>經驗證的卓越精度</v>
      </c>
      <c r="Q182" s="7" t="str">
        <f>IFERROR(__xludf.DUMMYFUNCTION("GoogleTranslate(C182, ""en"", ""hr"")"),"Dokazana vrhunska točnost")</f>
        <v>Dokazana vrhunska točnost</v>
      </c>
      <c r="R182" s="7" t="str">
        <f>IFERROR(__xludf.DUMMYFUNCTION("GoogleTranslate(C182, ""en"", ""cs"")"),"Osvědčená špičková přesnost")</f>
        <v>Osvědčená špičková přesnost</v>
      </c>
      <c r="S182" s="7" t="str">
        <f>IFERROR(__xludf.DUMMYFUNCTION("GoogleTranslate(C182, ""en"", ""da"")"),"Bevist overlegen nøjagtighed")</f>
        <v>Bevist overlegen nøjagtighed</v>
      </c>
      <c r="T182" s="7" t="str">
        <f>IFERROR(__xludf.DUMMYFUNCTION("GoogleTranslate(C182, ""en"", ""nl"")"),"Bewezen superieure nauwkeurigheid")</f>
        <v>Bewezen superieure nauwkeurigheid</v>
      </c>
      <c r="U182" s="7" t="str">
        <f>IFERROR(__xludf.DUMMYFUNCTION("GoogleTranslate(C182, ""en"", ""et"")"),"Tõestatud ülim täpsus")</f>
        <v>Tõestatud ülim täpsus</v>
      </c>
      <c r="V182" s="5" t="str">
        <f t="shared" si="3"/>
        <v>Proven Superior Accuracy</v>
      </c>
      <c r="W182" s="7" t="str">
        <f>IFERROR(__xludf.DUMMYFUNCTION("GoogleTranslate(C182, ""en"", ""fi"")"),"Todistettu huipputarkkuus")</f>
        <v>Todistettu huipputarkkuus</v>
      </c>
      <c r="X182" s="7" t="str">
        <f>IFERROR(__xludf.DUMMYFUNCTION("GoogleTranslate(C182, ""en"", ""fr"")"),"Précision supérieure éprouvée")</f>
        <v>Précision supérieure éprouvée</v>
      </c>
      <c r="Y182" s="7" t="str">
        <f>IFERROR(__xludf.DUMMYFUNCTION("GoogleTranslate(C182, ""en"", ""de"")"),"Bewährte überlegene Genauigkeit")</f>
        <v>Bewährte überlegene Genauigkeit</v>
      </c>
      <c r="Z182" s="7" t="str">
        <f>IFERROR(__xludf.DUMMYFUNCTION("GoogleTranslate(C182, ""en"", ""el"")"),"Αποδεδειγμένη Ανώτερη Ακρίβεια")</f>
        <v>Αποδεδειγμένη Ανώτερη Ακρίβεια</v>
      </c>
      <c r="AA182" s="7" t="str">
        <f>IFERROR(__xludf.DUMMYFUNCTION("GoogleTranslate(C182, ""en"", ""iw"")"),"דיוק מעולה מוכח")</f>
        <v>דיוק מעולה מוכח</v>
      </c>
      <c r="AB182" s="7" t="str">
        <f>IFERROR(__xludf.DUMMYFUNCTION("GoogleTranslate(C182, ""en"", ""hi"")"),"सिद्ध श्रेष्ठ सटीकता")</f>
        <v>सिद्ध श्रेष्ठ सटीकता</v>
      </c>
      <c r="AC182" s="7" t="str">
        <f>IFERROR(__xludf.DUMMYFUNCTION("GoogleTranslate(C182, ""en"", ""hu"")"),"Bizonyított kiváló pontosság")</f>
        <v>Bizonyított kiváló pontosság</v>
      </c>
      <c r="AD182" s="7" t="str">
        <f>IFERROR(__xludf.DUMMYFUNCTION("GoogleTranslate(C182, ""en"", ""is"")"),"Sannað yfirburða nákvæmni")</f>
        <v>Sannað yfirburða nákvæmni</v>
      </c>
      <c r="AE182" s="7" t="str">
        <f>IFERROR(__xludf.DUMMYFUNCTION("GoogleTranslate(C182, ""en"", ""id"")"),"Akurasi Unggul Terbukti")</f>
        <v>Akurasi Unggul Terbukti</v>
      </c>
      <c r="AF182" s="7" t="str">
        <f>IFERROR(__xludf.DUMMYFUNCTION("GoogleTranslate(C182, ""en"", ""in"")"),"Akurasi Unggul Terbukti")</f>
        <v>Akurasi Unggul Terbukti</v>
      </c>
      <c r="AG182" s="7" t="str">
        <f>IFERROR(__xludf.DUMMYFUNCTION("GoogleTranslate(C182, ""en"", ""it"")"),"Precisione superiore comprovata")</f>
        <v>Precisione superiore comprovata</v>
      </c>
      <c r="AH182" s="7" t="str">
        <f>IFERROR(__xludf.DUMMYFUNCTION("GoogleTranslate(C182, ""en"", ""ja"")"),"実証された優れた精度")</f>
        <v>実証された優れた精度</v>
      </c>
      <c r="AI182" s="7" t="str">
        <f>IFERROR(__xludf.DUMMYFUNCTION("GoogleTranslate(C182, ""en"", ""kn"")"),"ಸಾಬೀತಾದ ಸುಪೀರಿಯರ್ ನಿಖರತೆ")</f>
        <v>ಸಾಬೀತಾದ ಸುಪೀರಿಯರ್ ನಿಖರತೆ</v>
      </c>
      <c r="AJ182" s="7" t="str">
        <f>IFERROR(__xludf.DUMMYFUNCTION("GoogleTranslate(C182, ""en"", ""km"")"),"បញ្ជាក់ភាពត្រឹមត្រូវខ្ពស់បំផុត")</f>
        <v>បញ្ជាក់ភាពត្រឹមត្រូវខ្ពស់បំផុត</v>
      </c>
      <c r="AK182" s="7" t="str">
        <f>IFERROR(__xludf.DUMMYFUNCTION("GoogleTranslate(C182, ""en"", ""ko"")"),"입증된 뛰어난 정확도")</f>
        <v>입증된 뛰어난 정확도</v>
      </c>
      <c r="AL182" s="7" t="str">
        <f>IFERROR(__xludf.DUMMYFUNCTION("GoogleTranslate(C182, ""en"", ""lo"")"),"ພິສູດຄວາມຖືກຕ້ອງດີກວ່າ")</f>
        <v>ພິສູດຄວາມຖືກຕ້ອງດີກວ່າ</v>
      </c>
      <c r="AM182" s="7" t="str">
        <f>IFERROR(__xludf.DUMMYFUNCTION("GoogleTranslate(C182, ""en"", ""lv"")"),"Pierādīta izcila precizitāte")</f>
        <v>Pierādīta izcila precizitāte</v>
      </c>
      <c r="AN182" s="7" t="str">
        <f>IFERROR(__xludf.DUMMYFUNCTION("GoogleTranslate(C182, ""en"", ""lt"")"),"Įrodytas puikus tikslumas")</f>
        <v>Įrodytas puikus tikslumas</v>
      </c>
      <c r="AO182" s="7" t="str">
        <f>IFERROR(__xludf.DUMMYFUNCTION("GoogleTranslate(C182, ""en"", ""mk"")"),"Докажана супериорна точност")</f>
        <v>Докажана супериорна точност</v>
      </c>
      <c r="AP182" s="7" t="str">
        <f>IFERROR(__xludf.DUMMYFUNCTION("GoogleTranslate(C182, ""en"", ""ms"")"),"Terbukti Ketepatan Unggul")</f>
        <v>Terbukti Ketepatan Unggul</v>
      </c>
      <c r="AQ182" s="7" t="str">
        <f>IFERROR(__xludf.DUMMYFUNCTION("GoogleTranslate(C182, ""en"", ""ml"")"),"തെളിയിക്കപ്പെട്ട സുപ്പീരിയർ കൃത്യത")</f>
        <v>തെളിയിക്കപ്പെട്ട സുപ്പീരിയർ കൃത്യത</v>
      </c>
      <c r="AR182" s="7" t="str">
        <f>IFERROR(__xludf.DUMMYFUNCTION("GoogleTranslate(C182, ""en"", ""mr"")"),"सिद्ध उत्कृष्ट अचूकता")</f>
        <v>सिद्ध उत्कृष्ट अचूकता</v>
      </c>
      <c r="AS182" s="7" t="str">
        <f>IFERROR(__xludf.DUMMYFUNCTION("GoogleTranslate(C182, ""en"", ""mn"")"),"Батлагдсан дээд зэргийн нарийвчлал")</f>
        <v>Батлагдсан дээд зэргийн нарийвчлал</v>
      </c>
      <c r="AT182" s="7" t="str">
        <f>IFERROR(__xludf.DUMMYFUNCTION("GoogleTranslate(C182, ""en"", ""ne"")"),"प्रमाणित सुपीरियर शुद्धता")</f>
        <v>प्रमाणित सुपीरियर शुद्धता</v>
      </c>
      <c r="AU182" s="7" t="str">
        <f>IFERROR(__xludf.DUMMYFUNCTION("GoogleTranslate(C182, ""en"", ""nb"")"),"Påvist overlegen nøyaktighet")</f>
        <v>Påvist overlegen nøyaktighet</v>
      </c>
      <c r="AV182" s="7" t="str">
        <f>IFERROR(__xludf.DUMMYFUNCTION("GoogleTranslate(C182, ""en"", ""fa"")"),"دقت برتر ثابت شده")</f>
        <v>دقت برتر ثابت شده</v>
      </c>
      <c r="AW182" s="7" t="str">
        <f>IFERROR(__xludf.DUMMYFUNCTION("GoogleTranslate(C182, ""en"", ""pl"")"),"Sprawdzona najwyższa dokładność")</f>
        <v>Sprawdzona najwyższa dokładność</v>
      </c>
      <c r="AX182" s="7" t="str">
        <f>IFERROR(__xludf.DUMMYFUNCTION("GoogleTranslate(C182, ""en"", ""pt"")"),"Precisão superior comprovada")</f>
        <v>Precisão superior comprovada</v>
      </c>
      <c r="AY182" s="7" t="str">
        <f>IFERROR(__xludf.DUMMYFUNCTION("GoogleTranslate(C182, ""en"", ""ro"")"),"Precizie superioară dovedită")</f>
        <v>Precizie superioară dovedită</v>
      </c>
      <c r="AZ182" s="7" t="str">
        <f>IFERROR(__xludf.DUMMYFUNCTION("GoogleTranslate(C182, ""en"", ""ru"")"),"Проверенная превосходная точность")</f>
        <v>Проверенная превосходная точность</v>
      </c>
      <c r="BA182" s="7" t="str">
        <f>IFERROR(__xludf.DUMMYFUNCTION("GoogleTranslate(C182, ""en"", ""sr"")"),"Доказана врхунска прецизност")</f>
        <v>Доказана врхунска прецизност</v>
      </c>
      <c r="BB182" s="7" t="str">
        <f>IFERROR(__xludf.DUMMYFUNCTION("GoogleTranslate(C182, ""en"", ""si"")"),"උසස් නිරවද්‍යතාවය ඔප්පු කර ඇත")</f>
        <v>උසස් නිරවද්‍යතාවය ඔප්පු කර ඇත</v>
      </c>
      <c r="BC182" s="7" t="str">
        <f>IFERROR(__xludf.DUMMYFUNCTION("GoogleTranslate(C182, ""en"", ""sk"")"),"Overená špičková presnosť")</f>
        <v>Overená špičková presnosť</v>
      </c>
      <c r="BD182" s="7" t="str">
        <f>IFERROR(__xludf.DUMMYFUNCTION("GoogleTranslate(C182, ""en"", ""sl"")"),"Preizkušena vrhunska natančnost")</f>
        <v>Preizkušena vrhunska natančnost</v>
      </c>
      <c r="BE182" s="7" t="str">
        <f>IFERROR(__xludf.DUMMYFUNCTION("GoogleTranslate(C182, ""en"", ""es"")"),"Precisión superior comprobada")</f>
        <v>Precisión superior comprobada</v>
      </c>
      <c r="BF182" s="7" t="str">
        <f>IFERROR(__xludf.DUMMYFUNCTION("GoogleTranslate(C182, ""en"", ""sw"")"),"Imethibitishwa Usahihi wa Juu")</f>
        <v>Imethibitishwa Usahihi wa Juu</v>
      </c>
      <c r="BG182" s="7" t="str">
        <f>IFERROR(__xludf.DUMMYFUNCTION("GoogleTranslate(C182, ""en"", ""sv"")"),"Beprövad överlägsen noggrannhet")</f>
        <v>Beprövad överlägsen noggrannhet</v>
      </c>
      <c r="BH182" s="7" t="str">
        <f>IFERROR(__xludf.DUMMYFUNCTION("GoogleTranslate(C182, ""en"", ""te"")"),"సుపీరియర్ ఖచ్చితత్వం నిరూపించబడింది")</f>
        <v>సుపీరియర్ ఖచ్చితత్వం నిరూపించబడింది</v>
      </c>
      <c r="BI182" s="7" t="str">
        <f>IFERROR(__xludf.DUMMYFUNCTION("GoogleTranslate(C182, ""en"", ""th"")"),"ความแม่นยำที่เหนือกว่าที่ได้รับการพิสูจน์แล้ว")</f>
        <v>ความแม่นยำที่เหนือกว่าที่ได้รับการพิสูจน์แล้ว</v>
      </c>
      <c r="BJ182" s="7" t="str">
        <f>IFERROR(__xludf.DUMMYFUNCTION("GoogleTranslate(C182, ""en"", ""tr"")"),"Kanıtlanmış Üstün Doğruluk")</f>
        <v>Kanıtlanmış Üstün Doğruluk</v>
      </c>
      <c r="BK182" s="7" t="str">
        <f>IFERROR(__xludf.DUMMYFUNCTION("GoogleTranslate(C182, ""en"", ""uk"")"),"Перевірена неперевершена точність")</f>
        <v>Перевірена неперевершена точність</v>
      </c>
      <c r="BL182" s="7" t="str">
        <f>IFERROR(__xludf.DUMMYFUNCTION("GoogleTranslate(C182, ""en"", ""zu"")"),"Ukunemba Okuphakeme Okuqinisekisiwe")</f>
        <v>Ukunemba Okuphakeme Okuqinisekisiwe</v>
      </c>
    </row>
    <row r="183">
      <c r="A183" s="5" t="str">
        <f t="shared" si="1"/>
        <v>About_Weather</v>
      </c>
      <c r="B183" s="6" t="s">
        <v>236</v>
      </c>
      <c r="C183" s="5" t="str">
        <f t="shared" si="2"/>
        <v>About Weather</v>
      </c>
      <c r="D183" s="7" t="str">
        <f>IFERROR(__xludf.DUMMYFUNCTION("GoogleTranslate(C183, ""en"", ""es"")"),"Acerca del clima")</f>
        <v>Acerca del clima</v>
      </c>
      <c r="E183" s="7" t="str">
        <f>IFERROR(__xludf.DUMMYFUNCTION("GoogleTranslate(C183, ""en"", ""ar"")"),"حول الطقس")</f>
        <v>حول الطقس</v>
      </c>
      <c r="F183" s="7" t="str">
        <f>IFERROR(__xludf.DUMMYFUNCTION("GoogleTranslate(C183, ""en"", ""hy"")"),"Եղանակի մասին")</f>
        <v>Եղանակի մասին</v>
      </c>
      <c r="G183" s="7" t="str">
        <f>IFERROR(__xludf.DUMMYFUNCTION("GoogleTranslate(C183, ""en"", ""vi"")"),"Về thời tiết")</f>
        <v>Về thời tiết</v>
      </c>
      <c r="H183" s="7" t="str">
        <f>IFERROR(__xludf.DUMMYFUNCTION("GoogleTranslate(C183, ""en"", ""az"")"),"Hava haqqında")</f>
        <v>Hava haqqında</v>
      </c>
      <c r="I183" s="7" t="str">
        <f>IFERROR(__xludf.DUMMYFUNCTION("GoogleTranslate(C183, ""en"", ""eu"")"),"Eguraldiari buruz")</f>
        <v>Eguraldiari buruz</v>
      </c>
      <c r="J183" s="7" t="str">
        <f>IFERROR(__xludf.DUMMYFUNCTION("GoogleTranslate(C183, ""en"", ""be"")"),"Пра надвор'е")</f>
        <v>Пра надвор'е</v>
      </c>
      <c r="K183" s="7" t="str">
        <f>IFERROR(__xludf.DUMMYFUNCTION("GoogleTranslate(C183, ""en"", ""bn"")"),"আবহাওয়া সম্পর্কে")</f>
        <v>আবহাওয়া সম্পর্কে</v>
      </c>
      <c r="L183" s="7" t="str">
        <f>IFERROR(__xludf.DUMMYFUNCTION("GoogleTranslate(C183, ""en"", ""bg"")"),"Относно времето")</f>
        <v>Относно времето</v>
      </c>
      <c r="M183" s="7" t="str">
        <f>IFERROR(__xludf.DUMMYFUNCTION("GoogleTranslate(C183, ""en"", ""my"")"),"ရာသီဥတုအကြောင်း")</f>
        <v>ရာသီဥတုအကြောင်း</v>
      </c>
      <c r="N183" s="7" t="str">
        <f>IFERROR(__xludf.DUMMYFUNCTION("GoogleTranslate(C183, ""en"", ""ca"")"),"Sobre el temps")</f>
        <v>Sobre el temps</v>
      </c>
      <c r="O183" s="7" t="str">
        <f>IFERROR(__xludf.DUMMYFUNCTION("GoogleTranslate(C183, ""en"", ""zh-cn"")"),"关于天气")</f>
        <v>关于天气</v>
      </c>
      <c r="P183" s="7" t="str">
        <f>IFERROR(__xludf.DUMMYFUNCTION("GoogleTranslate(C183, ""en"", ""zh-TW"")"),"關於天氣")</f>
        <v>關於天氣</v>
      </c>
      <c r="Q183" s="7" t="str">
        <f>IFERROR(__xludf.DUMMYFUNCTION("GoogleTranslate(C183, ""en"", ""hr"")"),"O vremenu")</f>
        <v>O vremenu</v>
      </c>
      <c r="R183" s="7" t="str">
        <f>IFERROR(__xludf.DUMMYFUNCTION("GoogleTranslate(C183, ""en"", ""cs"")"),"O počasí")</f>
        <v>O počasí</v>
      </c>
      <c r="S183" s="7" t="str">
        <f>IFERROR(__xludf.DUMMYFUNCTION("GoogleTranslate(C183, ""en"", ""da"")"),"Om vejret")</f>
        <v>Om vejret</v>
      </c>
      <c r="T183" s="7" t="str">
        <f>IFERROR(__xludf.DUMMYFUNCTION("GoogleTranslate(C183, ""en"", ""nl"")"),"Over het weer")</f>
        <v>Over het weer</v>
      </c>
      <c r="U183" s="7" t="str">
        <f>IFERROR(__xludf.DUMMYFUNCTION("GoogleTranslate(C183, ""en"", ""et"")"),"Ilma kohta")</f>
        <v>Ilma kohta</v>
      </c>
      <c r="V183" s="5" t="str">
        <f t="shared" si="3"/>
        <v>About Weather</v>
      </c>
      <c r="W183" s="7" t="str">
        <f>IFERROR(__xludf.DUMMYFUNCTION("GoogleTranslate(C183, ""en"", ""fi"")"),"Tietoja säästä")</f>
        <v>Tietoja säästä</v>
      </c>
      <c r="X183" s="7" t="str">
        <f>IFERROR(__xludf.DUMMYFUNCTION("GoogleTranslate(C183, ""en"", ""fr"")"),"À propos de la météo")</f>
        <v>À propos de la météo</v>
      </c>
      <c r="Y183" s="7" t="str">
        <f>IFERROR(__xludf.DUMMYFUNCTION("GoogleTranslate(C183, ""en"", ""de"")"),"Über das Wetter")</f>
        <v>Über das Wetter</v>
      </c>
      <c r="Z183" s="7" t="str">
        <f>IFERROR(__xludf.DUMMYFUNCTION("GoogleTranslate(C183, ""en"", ""el"")"),"Σχετικά με τον καιρό")</f>
        <v>Σχετικά με τον καιρό</v>
      </c>
      <c r="AA183" s="7" t="str">
        <f>IFERROR(__xludf.DUMMYFUNCTION("GoogleTranslate(C183, ""en"", ""iw"")"),"על מזג האוויר")</f>
        <v>על מזג האוויר</v>
      </c>
      <c r="AB183" s="7" t="str">
        <f>IFERROR(__xludf.DUMMYFUNCTION("GoogleTranslate(C183, ""en"", ""hi"")"),"मौसम के बारे में")</f>
        <v>मौसम के बारे में</v>
      </c>
      <c r="AC183" s="7" t="str">
        <f>IFERROR(__xludf.DUMMYFUNCTION("GoogleTranslate(C183, ""en"", ""hu"")"),"Az időjárásról")</f>
        <v>Az időjárásról</v>
      </c>
      <c r="AD183" s="7" t="str">
        <f>IFERROR(__xludf.DUMMYFUNCTION("GoogleTranslate(C183, ""en"", ""is"")"),"Um Veður")</f>
        <v>Um Veður</v>
      </c>
      <c r="AE183" s="7" t="str">
        <f>IFERROR(__xludf.DUMMYFUNCTION("GoogleTranslate(C183, ""en"", ""id"")"),"Tentang Cuaca")</f>
        <v>Tentang Cuaca</v>
      </c>
      <c r="AF183" s="7" t="str">
        <f>IFERROR(__xludf.DUMMYFUNCTION("GoogleTranslate(C183, ""en"", ""in"")"),"Tentang Cuaca")</f>
        <v>Tentang Cuaca</v>
      </c>
      <c r="AG183" s="7" t="str">
        <f>IFERROR(__xludf.DUMMYFUNCTION("GoogleTranslate(C183, ""en"", ""it"")"),"Informazioni sul meteo")</f>
        <v>Informazioni sul meteo</v>
      </c>
      <c r="AH183" s="7" t="str">
        <f>IFERROR(__xludf.DUMMYFUNCTION("GoogleTranslate(C183, ""en"", ""ja"")"),"天気について")</f>
        <v>天気について</v>
      </c>
      <c r="AI183" s="7" t="str">
        <f>IFERROR(__xludf.DUMMYFUNCTION("GoogleTranslate(C183, ""en"", ""kn"")"),"ಹವಾಮಾನದ ಬಗ್ಗೆ")</f>
        <v>ಹವಾಮಾನದ ಬಗ್ಗೆ</v>
      </c>
      <c r="AJ183" s="7" t="str">
        <f>IFERROR(__xludf.DUMMYFUNCTION("GoogleTranslate(C183, ""en"", ""km"")"),"អំពីអាកាសធាតុ")</f>
        <v>អំពីអាកាសធាតុ</v>
      </c>
      <c r="AK183" s="7" t="str">
        <f>IFERROR(__xludf.DUMMYFUNCTION("GoogleTranslate(C183, ""en"", ""ko"")"),"날씨에 대하여")</f>
        <v>날씨에 대하여</v>
      </c>
      <c r="AL183" s="7" t="str">
        <f>IFERROR(__xludf.DUMMYFUNCTION("GoogleTranslate(C183, ""en"", ""lo"")"),"ກ່ຽວກັບສະພາບອາກາດ")</f>
        <v>ກ່ຽວກັບສະພາບອາກາດ</v>
      </c>
      <c r="AM183" s="7" t="str">
        <f>IFERROR(__xludf.DUMMYFUNCTION("GoogleTranslate(C183, ""en"", ""lv"")"),"Par laikapstākļiem")</f>
        <v>Par laikapstākļiem</v>
      </c>
      <c r="AN183" s="7" t="str">
        <f>IFERROR(__xludf.DUMMYFUNCTION("GoogleTranslate(C183, ""en"", ""lt"")"),"Apie Orus")</f>
        <v>Apie Orus</v>
      </c>
      <c r="AO183" s="7" t="str">
        <f>IFERROR(__xludf.DUMMYFUNCTION("GoogleTranslate(C183, ""en"", ""mk"")"),"За времето")</f>
        <v>За времето</v>
      </c>
      <c r="AP183" s="7" t="str">
        <f>IFERROR(__xludf.DUMMYFUNCTION("GoogleTranslate(C183, ""en"", ""ms"")"),"Mengenai Cuaca")</f>
        <v>Mengenai Cuaca</v>
      </c>
      <c r="AQ183" s="7" t="str">
        <f>IFERROR(__xludf.DUMMYFUNCTION("GoogleTranslate(C183, ""en"", ""ml"")"),"കാലാവസ്ഥയെക്കുറിച്ച്")</f>
        <v>കാലാവസ്ഥയെക്കുറിച്ച്</v>
      </c>
      <c r="AR183" s="7" t="str">
        <f>IFERROR(__xludf.DUMMYFUNCTION("GoogleTranslate(C183, ""en"", ""mr"")"),"हवामानाबद्दल")</f>
        <v>हवामानाबद्दल</v>
      </c>
      <c r="AS183" s="7" t="str">
        <f>IFERROR(__xludf.DUMMYFUNCTION("GoogleTranslate(C183, ""en"", ""mn"")"),"Цаг агаарын тухай")</f>
        <v>Цаг агаарын тухай</v>
      </c>
      <c r="AT183" s="7" t="str">
        <f>IFERROR(__xludf.DUMMYFUNCTION("GoogleTranslate(C183, ""en"", ""ne"")"),"मौसमको बारेमा")</f>
        <v>मौसमको बारेमा</v>
      </c>
      <c r="AU183" s="7" t="str">
        <f>IFERROR(__xludf.DUMMYFUNCTION("GoogleTranslate(C183, ""en"", ""nb"")"),"Om vær")</f>
        <v>Om vær</v>
      </c>
      <c r="AV183" s="7" t="str">
        <f>IFERROR(__xludf.DUMMYFUNCTION("GoogleTranslate(C183, ""en"", ""fa"")"),"درباره آب و هوا")</f>
        <v>درباره آب و هوا</v>
      </c>
      <c r="AW183" s="7" t="str">
        <f>IFERROR(__xludf.DUMMYFUNCTION("GoogleTranslate(C183, ""en"", ""pl"")"),"O pogodzie")</f>
        <v>O pogodzie</v>
      </c>
      <c r="AX183" s="7" t="str">
        <f>IFERROR(__xludf.DUMMYFUNCTION("GoogleTranslate(C183, ""en"", ""pt"")"),"Sobre o clima")</f>
        <v>Sobre o clima</v>
      </c>
      <c r="AY183" s="7" t="str">
        <f>IFERROR(__xludf.DUMMYFUNCTION("GoogleTranslate(C183, ""en"", ""ro"")"),"Despre vreme")</f>
        <v>Despre vreme</v>
      </c>
      <c r="AZ183" s="7" t="str">
        <f>IFERROR(__xludf.DUMMYFUNCTION("GoogleTranslate(C183, ""en"", ""ru"")"),"О погоде")</f>
        <v>О погоде</v>
      </c>
      <c r="BA183" s="7" t="str">
        <f>IFERROR(__xludf.DUMMYFUNCTION("GoogleTranslate(C183, ""en"", ""sr"")"),"О времену")</f>
        <v>О времену</v>
      </c>
      <c r="BB183" s="7" t="str">
        <f>IFERROR(__xludf.DUMMYFUNCTION("GoogleTranslate(C183, ""en"", ""si"")"),"කාලගුණය ගැන")</f>
        <v>කාලගුණය ගැන</v>
      </c>
      <c r="BC183" s="7" t="str">
        <f>IFERROR(__xludf.DUMMYFUNCTION("GoogleTranslate(C183, ""en"", ""sk"")"),"O počasí")</f>
        <v>O počasí</v>
      </c>
      <c r="BD183" s="7" t="str">
        <f>IFERROR(__xludf.DUMMYFUNCTION("GoogleTranslate(C183, ""en"", ""sl"")"),"O vremenu")</f>
        <v>O vremenu</v>
      </c>
      <c r="BE183" s="7" t="str">
        <f>IFERROR(__xludf.DUMMYFUNCTION("GoogleTranslate(C183, ""en"", ""es"")"),"Acerca del clima")</f>
        <v>Acerca del clima</v>
      </c>
      <c r="BF183" s="7" t="str">
        <f>IFERROR(__xludf.DUMMYFUNCTION("GoogleTranslate(C183, ""en"", ""sw"")"),"Kuhusu Hali ya Hewa")</f>
        <v>Kuhusu Hali ya Hewa</v>
      </c>
      <c r="BG183" s="7" t="str">
        <f>IFERROR(__xludf.DUMMYFUNCTION("GoogleTranslate(C183, ""en"", ""sv"")"),"Om väder")</f>
        <v>Om väder</v>
      </c>
      <c r="BH183" s="7" t="str">
        <f>IFERROR(__xludf.DUMMYFUNCTION("GoogleTranslate(C183, ""en"", ""te"")"),"వాతావరణం గురించి")</f>
        <v>వాతావరణం గురించి</v>
      </c>
      <c r="BI183" s="7" t="str">
        <f>IFERROR(__xludf.DUMMYFUNCTION("GoogleTranslate(C183, ""en"", ""th"")"),"เกี่ยวกับสภาพอากาศ")</f>
        <v>เกี่ยวกับสภาพอากาศ</v>
      </c>
      <c r="BJ183" s="7" t="str">
        <f>IFERROR(__xludf.DUMMYFUNCTION("GoogleTranslate(C183, ""en"", ""tr"")"),"Hava Durumu Hakkında")</f>
        <v>Hava Durumu Hakkında</v>
      </c>
      <c r="BK183" s="7" t="str">
        <f>IFERROR(__xludf.DUMMYFUNCTION("GoogleTranslate(C183, ""en"", ""uk"")"),"Про погоду")</f>
        <v>Про погоду</v>
      </c>
      <c r="BL183" s="7" t="str">
        <f>IFERROR(__xludf.DUMMYFUNCTION("GoogleTranslate(C183, ""en"", ""zu"")"),"Mayelana Nesimo Sezulu")</f>
        <v>Mayelana Nesimo Sezulu</v>
      </c>
    </row>
    <row r="184">
      <c r="A184" s="5" t="str">
        <f t="shared" si="1"/>
        <v>Contact_Us</v>
      </c>
      <c r="B184" s="6" t="s">
        <v>237</v>
      </c>
      <c r="C184" s="5" t="str">
        <f t="shared" si="2"/>
        <v>Contact Us</v>
      </c>
      <c r="D184" s="7" t="str">
        <f>IFERROR(__xludf.DUMMYFUNCTION("GoogleTranslate(C184, ""en"", ""es"")"),"Contáctenos")</f>
        <v>Contáctenos</v>
      </c>
      <c r="E184" s="7" t="str">
        <f>IFERROR(__xludf.DUMMYFUNCTION("GoogleTranslate(C184, ""en"", ""ar"")"),"اتصل بنا")</f>
        <v>اتصل بنا</v>
      </c>
      <c r="F184" s="7" t="str">
        <f>IFERROR(__xludf.DUMMYFUNCTION("GoogleTranslate(C184, ""en"", ""hy"")"),"Կապ մեզ հետ")</f>
        <v>Կապ մեզ հետ</v>
      </c>
      <c r="G184" s="7" t="str">
        <f>IFERROR(__xludf.DUMMYFUNCTION("GoogleTranslate(C184, ""en"", ""vi"")"),"Liên hệ với chúng tôi")</f>
        <v>Liên hệ với chúng tôi</v>
      </c>
      <c r="H184" s="7" t="str">
        <f>IFERROR(__xludf.DUMMYFUNCTION("GoogleTranslate(C184, ""en"", ""az"")"),"Bizimlə əlaqə saxlayın")</f>
        <v>Bizimlə əlaqə saxlayın</v>
      </c>
      <c r="I184" s="7" t="str">
        <f>IFERROR(__xludf.DUMMYFUNCTION("GoogleTranslate(C184, ""en"", ""eu"")"),"Jarri gurekin harremanetan")</f>
        <v>Jarri gurekin harremanetan</v>
      </c>
      <c r="J184" s="7" t="str">
        <f>IFERROR(__xludf.DUMMYFUNCTION("GoogleTranslate(C184, ""en"", ""be"")"),"Звяжыцеся з намі")</f>
        <v>Звяжыцеся з намі</v>
      </c>
      <c r="K184" s="7" t="str">
        <f>IFERROR(__xludf.DUMMYFUNCTION("GoogleTranslate(C184, ""en"", ""bn"")"),"আমাদের সাথে যোগাযোগ করুন")</f>
        <v>আমাদের সাথে যোগাযোগ করুন</v>
      </c>
      <c r="L184" s="7" t="str">
        <f>IFERROR(__xludf.DUMMYFUNCTION("GoogleTranslate(C184, ""en"", ""bg"")"),"Свържете се с нас")</f>
        <v>Свържете се с нас</v>
      </c>
      <c r="M184" s="7" t="str">
        <f>IFERROR(__xludf.DUMMYFUNCTION("GoogleTranslate(C184, ""en"", ""my"")"),"ကြှနျုပျတို့ကိုဆကျသှယျရနျ")</f>
        <v>ကြှနျုပျတို့ကိုဆကျသှယျရနျ</v>
      </c>
      <c r="N184" s="7" t="str">
        <f>IFERROR(__xludf.DUMMYFUNCTION("GoogleTranslate(C184, ""en"", ""ca"")"),"Contacta amb nosaltres")</f>
        <v>Contacta amb nosaltres</v>
      </c>
      <c r="O184" s="7" t="str">
        <f>IFERROR(__xludf.DUMMYFUNCTION("GoogleTranslate(C184, ""en"", ""zh-cn"")"),"联系我们")</f>
        <v>联系我们</v>
      </c>
      <c r="P184" s="7" t="str">
        <f>IFERROR(__xludf.DUMMYFUNCTION("GoogleTranslate(C184, ""en"", ""zh-TW"")"),"聯絡我們")</f>
        <v>聯絡我們</v>
      </c>
      <c r="Q184" s="7" t="str">
        <f>IFERROR(__xludf.DUMMYFUNCTION("GoogleTranslate(C184, ""en"", ""hr"")"),"Kontaktirajte nas")</f>
        <v>Kontaktirajte nas</v>
      </c>
      <c r="R184" s="7" t="str">
        <f>IFERROR(__xludf.DUMMYFUNCTION("GoogleTranslate(C184, ""en"", ""cs"")"),"Kontaktujte nás")</f>
        <v>Kontaktujte nás</v>
      </c>
      <c r="S184" s="7" t="str">
        <f>IFERROR(__xludf.DUMMYFUNCTION("GoogleTranslate(C184, ""en"", ""da"")"),"Kontakt os")</f>
        <v>Kontakt os</v>
      </c>
      <c r="T184" s="7" t="str">
        <f>IFERROR(__xludf.DUMMYFUNCTION("GoogleTranslate(C184, ""en"", ""nl"")"),"Neem contact met ons op")</f>
        <v>Neem contact met ons op</v>
      </c>
      <c r="U184" s="7" t="str">
        <f>IFERROR(__xludf.DUMMYFUNCTION("GoogleTranslate(C184, ""en"", ""et"")"),"Võtke meiega ühendust")</f>
        <v>Võtke meiega ühendust</v>
      </c>
      <c r="V184" s="5" t="str">
        <f t="shared" si="3"/>
        <v>Contact Us</v>
      </c>
      <c r="W184" s="7" t="str">
        <f>IFERROR(__xludf.DUMMYFUNCTION("GoogleTranslate(C184, ""en"", ""fi"")"),"Ota yhteyttä")</f>
        <v>Ota yhteyttä</v>
      </c>
      <c r="X184" s="7" t="str">
        <f>IFERROR(__xludf.DUMMYFUNCTION("GoogleTranslate(C184, ""en"", ""fr"")"),"Contactez-nous")</f>
        <v>Contactez-nous</v>
      </c>
      <c r="Y184" s="7" t="str">
        <f>IFERROR(__xludf.DUMMYFUNCTION("GoogleTranslate(C184, ""en"", ""de"")"),"Kontaktieren Sie uns")</f>
        <v>Kontaktieren Sie uns</v>
      </c>
      <c r="Z184" s="7" t="str">
        <f>IFERROR(__xludf.DUMMYFUNCTION("GoogleTranslate(C184, ""en"", ""el"")"),"Επικοινωνήστε μαζί μας")</f>
        <v>Επικοινωνήστε μαζί μας</v>
      </c>
      <c r="AA184" s="7" t="str">
        <f>IFERROR(__xludf.DUMMYFUNCTION("GoogleTranslate(C184, ""en"", ""iw"")"),"צור קשר")</f>
        <v>צור קשר</v>
      </c>
      <c r="AB184" s="7" t="str">
        <f>IFERROR(__xludf.DUMMYFUNCTION("GoogleTranslate(C184, ""en"", ""hi"")"),"हमसे संपर्क करें")</f>
        <v>हमसे संपर्क करें</v>
      </c>
      <c r="AC184" s="7" t="str">
        <f>IFERROR(__xludf.DUMMYFUNCTION("GoogleTranslate(C184, ""en"", ""hu"")"),"Lépjen kapcsolatba velünk")</f>
        <v>Lépjen kapcsolatba velünk</v>
      </c>
      <c r="AD184" s="7" t="str">
        <f>IFERROR(__xludf.DUMMYFUNCTION("GoogleTranslate(C184, ""en"", ""is"")"),"Hafðu samband")</f>
        <v>Hafðu samband</v>
      </c>
      <c r="AE184" s="7" t="str">
        <f>IFERROR(__xludf.DUMMYFUNCTION("GoogleTranslate(C184, ""en"", ""id"")"),"Hubungi kami")</f>
        <v>Hubungi kami</v>
      </c>
      <c r="AF184" s="7" t="str">
        <f>IFERROR(__xludf.DUMMYFUNCTION("GoogleTranslate(C184, ""en"", ""in"")"),"Hubungi kami")</f>
        <v>Hubungi kami</v>
      </c>
      <c r="AG184" s="7" t="str">
        <f>IFERROR(__xludf.DUMMYFUNCTION("GoogleTranslate(C184, ""en"", ""it"")"),"Contattaci")</f>
        <v>Contattaci</v>
      </c>
      <c r="AH184" s="7" t="str">
        <f>IFERROR(__xludf.DUMMYFUNCTION("GoogleTranslate(C184, ""en"", ""ja"")"),"お問い合わせ")</f>
        <v>お問い合わせ</v>
      </c>
      <c r="AI184" s="7" t="str">
        <f>IFERROR(__xludf.DUMMYFUNCTION("GoogleTranslate(C184, ""en"", ""kn"")"),"ನಮ್ಮನ್ನು ಸಂಪರ್ಕಿಸಿ")</f>
        <v>ನಮ್ಮನ್ನು ಸಂಪರ್ಕಿಸಿ</v>
      </c>
      <c r="AJ184" s="7" t="str">
        <f>IFERROR(__xludf.DUMMYFUNCTION("GoogleTranslate(C184, ""en"", ""km"")"),"ទាក់ទងមកយើងខ្ញុំ")</f>
        <v>ទាក់ទងមកយើងខ្ញុំ</v>
      </c>
      <c r="AK184" s="7" t="str">
        <f>IFERROR(__xludf.DUMMYFUNCTION("GoogleTranslate(C184, ""en"", ""ko"")"),"문의하기")</f>
        <v>문의하기</v>
      </c>
      <c r="AL184" s="7" t="str">
        <f>IFERROR(__xludf.DUMMYFUNCTION("GoogleTranslate(C184, ""en"", ""lo"")"),"ຕິດຕໍ່ພວກເຮົາ")</f>
        <v>ຕິດຕໍ່ພວກເຮົາ</v>
      </c>
      <c r="AM184" s="7" t="str">
        <f>IFERROR(__xludf.DUMMYFUNCTION("GoogleTranslate(C184, ""en"", ""lv"")"),"Sazinieties ar mums")</f>
        <v>Sazinieties ar mums</v>
      </c>
      <c r="AN184" s="7" t="str">
        <f>IFERROR(__xludf.DUMMYFUNCTION("GoogleTranslate(C184, ""en"", ""lt"")"),"Susisiekite su mumis")</f>
        <v>Susisiekite su mumis</v>
      </c>
      <c r="AO184" s="7" t="str">
        <f>IFERROR(__xludf.DUMMYFUNCTION("GoogleTranslate(C184, ""en"", ""mk"")"),"Контактирајте со нас")</f>
        <v>Контактирајте со нас</v>
      </c>
      <c r="AP184" s="7" t="str">
        <f>IFERROR(__xludf.DUMMYFUNCTION("GoogleTranslate(C184, ""en"", ""ms"")"),"Hubungi Kami")</f>
        <v>Hubungi Kami</v>
      </c>
      <c r="AQ184" s="7" t="str">
        <f>IFERROR(__xludf.DUMMYFUNCTION("GoogleTranslate(C184, ""en"", ""ml"")"),"ഞങ്ങളെ സമീപിക്കുക")</f>
        <v>ഞങ്ങളെ സമീപിക്കുക</v>
      </c>
      <c r="AR184" s="7" t="str">
        <f>IFERROR(__xludf.DUMMYFUNCTION("GoogleTranslate(C184, ""en"", ""mr"")"),"आमच्याशी संपर्क साधा")</f>
        <v>आमच्याशी संपर्क साधा</v>
      </c>
      <c r="AS184" s="7" t="str">
        <f>IFERROR(__xludf.DUMMYFUNCTION("GoogleTranslate(C184, ""en"", ""mn"")"),"Бидэнтэй холбоо барина уу")</f>
        <v>Бидэнтэй холбоо барина уу</v>
      </c>
      <c r="AT184" s="7" t="str">
        <f>IFERROR(__xludf.DUMMYFUNCTION("GoogleTranslate(C184, ""en"", ""ne"")"),"हामीलाई सम्पर्क गर्नुहोस्")</f>
        <v>हामीलाई सम्पर्क गर्नुहोस्</v>
      </c>
      <c r="AU184" s="7" t="str">
        <f>IFERROR(__xludf.DUMMYFUNCTION("GoogleTranslate(C184, ""en"", ""nb"")"),"Kontakt oss")</f>
        <v>Kontakt oss</v>
      </c>
      <c r="AV184" s="7" t="str">
        <f>IFERROR(__xludf.DUMMYFUNCTION("GoogleTranslate(C184, ""en"", ""fa"")"),"تماس با ما")</f>
        <v>تماس با ما</v>
      </c>
      <c r="AW184" s="7" t="str">
        <f>IFERROR(__xludf.DUMMYFUNCTION("GoogleTranslate(C184, ""en"", ""pl"")"),"Skontaktuj się z nami")</f>
        <v>Skontaktuj się z nami</v>
      </c>
      <c r="AX184" s="7" t="str">
        <f>IFERROR(__xludf.DUMMYFUNCTION("GoogleTranslate(C184, ""en"", ""pt"")"),"Contate-nos")</f>
        <v>Contate-nos</v>
      </c>
      <c r="AY184" s="7" t="str">
        <f>IFERROR(__xludf.DUMMYFUNCTION("GoogleTranslate(C184, ""en"", ""ro"")"),"Contactaţi-ne")</f>
        <v>Contactaţi-ne</v>
      </c>
      <c r="AZ184" s="7" t="str">
        <f>IFERROR(__xludf.DUMMYFUNCTION("GoogleTranslate(C184, ""en"", ""ru"")"),"Связаться с нами")</f>
        <v>Связаться с нами</v>
      </c>
      <c r="BA184" s="7" t="str">
        <f>IFERROR(__xludf.DUMMYFUNCTION("GoogleTranslate(C184, ""en"", ""sr"")"),"Контактирајте нас")</f>
        <v>Контактирајте нас</v>
      </c>
      <c r="BB184" s="7" t="str">
        <f>IFERROR(__xludf.DUMMYFUNCTION("GoogleTranslate(C184, ""en"", ""si"")"),"අපව අමතන්න")</f>
        <v>අපව අමතන්න</v>
      </c>
      <c r="BC184" s="7" t="str">
        <f>IFERROR(__xludf.DUMMYFUNCTION("GoogleTranslate(C184, ""en"", ""sk"")"),"Kontaktujte nás")</f>
        <v>Kontaktujte nás</v>
      </c>
      <c r="BD184" s="7" t="str">
        <f>IFERROR(__xludf.DUMMYFUNCTION("GoogleTranslate(C184, ""en"", ""sl"")"),"Kontaktirajte nas")</f>
        <v>Kontaktirajte nas</v>
      </c>
      <c r="BE184" s="7" t="str">
        <f>IFERROR(__xludf.DUMMYFUNCTION("GoogleTranslate(C184, ""en"", ""es"")"),"Contáctenos")</f>
        <v>Contáctenos</v>
      </c>
      <c r="BF184" s="7" t="str">
        <f>IFERROR(__xludf.DUMMYFUNCTION("GoogleTranslate(C184, ""en"", ""sw"")"),"Wasiliana Nasi")</f>
        <v>Wasiliana Nasi</v>
      </c>
      <c r="BG184" s="7" t="str">
        <f>IFERROR(__xludf.DUMMYFUNCTION("GoogleTranslate(C184, ""en"", ""sv"")"),"Kontakta oss")</f>
        <v>Kontakta oss</v>
      </c>
      <c r="BH184" s="7" t="str">
        <f>IFERROR(__xludf.DUMMYFUNCTION("GoogleTranslate(C184, ""en"", ""te"")"),"మమ్మల్ని సంప్రదించండి")</f>
        <v>మమ్మల్ని సంప్రదించండి</v>
      </c>
      <c r="BI184" s="7" t="str">
        <f>IFERROR(__xludf.DUMMYFUNCTION("GoogleTranslate(C184, ""en"", ""th"")"),"ติดต่อเรา")</f>
        <v>ติดต่อเรา</v>
      </c>
      <c r="BJ184" s="7" t="str">
        <f>IFERROR(__xludf.DUMMYFUNCTION("GoogleTranslate(C184, ""en"", ""tr"")"),"Bize Ulaşın")</f>
        <v>Bize Ulaşın</v>
      </c>
      <c r="BK184" s="7" t="str">
        <f>IFERROR(__xludf.DUMMYFUNCTION("GoogleTranslate(C184, ""en"", ""uk"")"),"Зв'яжіться з нами")</f>
        <v>Зв'яжіться з нами</v>
      </c>
      <c r="BL184" s="7" t="str">
        <f>IFERROR(__xludf.DUMMYFUNCTION("GoogleTranslate(C184, ""en"", ""zu"")"),"Xhumana nathi")</f>
        <v>Xhumana nathi</v>
      </c>
    </row>
    <row r="185">
      <c r="A185" s="5" t="str">
        <f t="shared" si="1"/>
        <v>Press</v>
      </c>
      <c r="B185" s="6" t="s">
        <v>238</v>
      </c>
      <c r="C185" s="5" t="str">
        <f t="shared" si="2"/>
        <v>Press</v>
      </c>
      <c r="D185" s="7" t="str">
        <f>IFERROR(__xludf.DUMMYFUNCTION("GoogleTranslate(C185, ""en"", ""es"")"),"Prensa")</f>
        <v>Prensa</v>
      </c>
      <c r="E185" s="7" t="str">
        <f>IFERROR(__xludf.DUMMYFUNCTION("GoogleTranslate(C185, ""en"", ""ar"")"),"يضعط")</f>
        <v>يضعط</v>
      </c>
      <c r="F185" s="7" t="str">
        <f>IFERROR(__xludf.DUMMYFUNCTION("GoogleTranslate(C185, ""en"", ""hy"")"),"Մամուլ")</f>
        <v>Մամուլ</v>
      </c>
      <c r="G185" s="7" t="str">
        <f>IFERROR(__xludf.DUMMYFUNCTION("GoogleTranslate(C185, ""en"", ""vi"")"),"Nhấn")</f>
        <v>Nhấn</v>
      </c>
      <c r="H185" s="7" t="str">
        <f>IFERROR(__xludf.DUMMYFUNCTION("GoogleTranslate(C185, ""en"", ""az"")"),"basın")</f>
        <v>basın</v>
      </c>
      <c r="I185" s="7" t="str">
        <f>IFERROR(__xludf.DUMMYFUNCTION("GoogleTranslate(C185, ""en"", ""eu"")"),"Sakatu")</f>
        <v>Sakatu</v>
      </c>
      <c r="J185" s="7" t="str">
        <f>IFERROR(__xludf.DUMMYFUNCTION("GoogleTranslate(C185, ""en"", ""be"")"),"Прэса")</f>
        <v>Прэса</v>
      </c>
      <c r="K185" s="7" t="str">
        <f>IFERROR(__xludf.DUMMYFUNCTION("GoogleTranslate(C185, ""en"", ""bn"")"),"চাপুন")</f>
        <v>চাপুন</v>
      </c>
      <c r="L185" s="7" t="str">
        <f>IFERROR(__xludf.DUMMYFUNCTION("GoogleTranslate(C185, ""en"", ""bg"")"),"Натиснете")</f>
        <v>Натиснете</v>
      </c>
      <c r="M185" s="7" t="str">
        <f>IFERROR(__xludf.DUMMYFUNCTION("GoogleTranslate(C185, ""en"", ""my"")"),"စာနယ်ဇင်း")</f>
        <v>စာနယ်ဇင်း</v>
      </c>
      <c r="N185" s="7" t="str">
        <f>IFERROR(__xludf.DUMMYFUNCTION("GoogleTranslate(C185, ""en"", ""ca"")"),"Premeu")</f>
        <v>Premeu</v>
      </c>
      <c r="O185" s="7" t="str">
        <f>IFERROR(__xludf.DUMMYFUNCTION("GoogleTranslate(C185, ""en"", ""zh-cn"")"),"按")</f>
        <v>按</v>
      </c>
      <c r="P185" s="7" t="str">
        <f>IFERROR(__xludf.DUMMYFUNCTION("GoogleTranslate(C185, ""en"", ""zh-TW"")"),"按")</f>
        <v>按</v>
      </c>
      <c r="Q185" s="7" t="str">
        <f>IFERROR(__xludf.DUMMYFUNCTION("GoogleTranslate(C185, ""en"", ""hr"")"),"Pritisnite")</f>
        <v>Pritisnite</v>
      </c>
      <c r="R185" s="7" t="str">
        <f>IFERROR(__xludf.DUMMYFUNCTION("GoogleTranslate(C185, ""en"", ""cs"")"),"Stiskněte")</f>
        <v>Stiskněte</v>
      </c>
      <c r="S185" s="7" t="str">
        <f>IFERROR(__xludf.DUMMYFUNCTION("GoogleTranslate(C185, ""en"", ""da"")"),"Trykke")</f>
        <v>Trykke</v>
      </c>
      <c r="T185" s="7" t="str">
        <f>IFERROR(__xludf.DUMMYFUNCTION("GoogleTranslate(C185, ""en"", ""nl"")"),"Druk op")</f>
        <v>Druk op</v>
      </c>
      <c r="U185" s="7" t="str">
        <f>IFERROR(__xludf.DUMMYFUNCTION("GoogleTranslate(C185, ""en"", ""et"")"),"Vajutage")</f>
        <v>Vajutage</v>
      </c>
      <c r="V185" s="5" t="str">
        <f t="shared" si="3"/>
        <v>Press</v>
      </c>
      <c r="W185" s="7" t="str">
        <f>IFERROR(__xludf.DUMMYFUNCTION("GoogleTranslate(C185, ""en"", ""fi"")"),"Paina")</f>
        <v>Paina</v>
      </c>
      <c r="X185" s="7" t="str">
        <f>IFERROR(__xludf.DUMMYFUNCTION("GoogleTranslate(C185, ""en"", ""fr"")"),"Presse")</f>
        <v>Presse</v>
      </c>
      <c r="Y185" s="7" t="str">
        <f>IFERROR(__xludf.DUMMYFUNCTION("GoogleTranslate(C185, ""en"", ""de"")"),"Drücken")</f>
        <v>Drücken</v>
      </c>
      <c r="Z185" s="7" t="str">
        <f>IFERROR(__xludf.DUMMYFUNCTION("GoogleTranslate(C185, ""en"", ""el"")"),"Τύπος")</f>
        <v>Τύπος</v>
      </c>
      <c r="AA185" s="7" t="str">
        <f>IFERROR(__xludf.DUMMYFUNCTION("GoogleTranslate(C185, ""en"", ""iw"")"),"לִלְחוֹץ")</f>
        <v>לִלְחוֹץ</v>
      </c>
      <c r="AB185" s="7" t="str">
        <f>IFERROR(__xludf.DUMMYFUNCTION("GoogleTranslate(C185, ""en"", ""hi"")"),"प्रेस")</f>
        <v>प्रेस</v>
      </c>
      <c r="AC185" s="7" t="str">
        <f>IFERROR(__xludf.DUMMYFUNCTION("GoogleTranslate(C185, ""en"", ""hu"")"),"Sajtó")</f>
        <v>Sajtó</v>
      </c>
      <c r="AD185" s="7" t="str">
        <f>IFERROR(__xludf.DUMMYFUNCTION("GoogleTranslate(C185, ""en"", ""is"")"),"Ýttu á")</f>
        <v>Ýttu á</v>
      </c>
      <c r="AE185" s="7" t="str">
        <f>IFERROR(__xludf.DUMMYFUNCTION("GoogleTranslate(C185, ""en"", ""id"")"),"Tekan")</f>
        <v>Tekan</v>
      </c>
      <c r="AF185" s="7" t="str">
        <f>IFERROR(__xludf.DUMMYFUNCTION("GoogleTranslate(C185, ""en"", ""in"")"),"Tekan")</f>
        <v>Tekan</v>
      </c>
      <c r="AG185" s="7" t="str">
        <f>IFERROR(__xludf.DUMMYFUNCTION("GoogleTranslate(C185, ""en"", ""it"")"),"Premere")</f>
        <v>Premere</v>
      </c>
      <c r="AH185" s="7" t="str">
        <f>IFERROR(__xludf.DUMMYFUNCTION("GoogleTranslate(C185, ""en"", ""ja"")"),"プレス")</f>
        <v>プレス</v>
      </c>
      <c r="AI185" s="7" t="str">
        <f>IFERROR(__xludf.DUMMYFUNCTION("GoogleTranslate(C185, ""en"", ""kn"")"),"ಒತ್ತಿರಿ")</f>
        <v>ಒತ್ತಿರಿ</v>
      </c>
      <c r="AJ185" s="7" t="str">
        <f>IFERROR(__xludf.DUMMYFUNCTION("GoogleTranslate(C185, ""en"", ""km"")"),"ចុច")</f>
        <v>ចុច</v>
      </c>
      <c r="AK185" s="7" t="str">
        <f>IFERROR(__xludf.DUMMYFUNCTION("GoogleTranslate(C185, ""en"", ""ko"")"),"누르다")</f>
        <v>누르다</v>
      </c>
      <c r="AL185" s="7" t="str">
        <f>IFERROR(__xludf.DUMMYFUNCTION("GoogleTranslate(C185, ""en"", ""lo"")"),"ກົດ")</f>
        <v>ກົດ</v>
      </c>
      <c r="AM185" s="7" t="str">
        <f>IFERROR(__xludf.DUMMYFUNCTION("GoogleTranslate(C185, ""en"", ""lv"")"),"Nospiediet")</f>
        <v>Nospiediet</v>
      </c>
      <c r="AN185" s="7" t="str">
        <f>IFERROR(__xludf.DUMMYFUNCTION("GoogleTranslate(C185, ""en"", ""lt"")"),"Paspauskite")</f>
        <v>Paspauskite</v>
      </c>
      <c r="AO185" s="7" t="str">
        <f>IFERROR(__xludf.DUMMYFUNCTION("GoogleTranslate(C185, ""en"", ""mk"")"),"Притиснете")</f>
        <v>Притиснете</v>
      </c>
      <c r="AP185" s="7" t="str">
        <f>IFERROR(__xludf.DUMMYFUNCTION("GoogleTranslate(C185, ""en"", ""ms"")"),"Tekan")</f>
        <v>Tekan</v>
      </c>
      <c r="AQ185" s="7" t="str">
        <f>IFERROR(__xludf.DUMMYFUNCTION("GoogleTranslate(C185, ""en"", ""ml"")"),"അമർത്തുക")</f>
        <v>അമർത്തുക</v>
      </c>
      <c r="AR185" s="7" t="str">
        <f>IFERROR(__xludf.DUMMYFUNCTION("GoogleTranslate(C185, ""en"", ""mr"")"),"दाबा")</f>
        <v>दाबा</v>
      </c>
      <c r="AS185" s="7" t="str">
        <f>IFERROR(__xludf.DUMMYFUNCTION("GoogleTranslate(C185, ""en"", ""mn"")"),"дарна уу")</f>
        <v>дарна уу</v>
      </c>
      <c r="AT185" s="7" t="str">
        <f>IFERROR(__xludf.DUMMYFUNCTION("GoogleTranslate(C185, ""en"", ""ne"")"),"थिच्नुहोस्")</f>
        <v>थिच्नुहोस्</v>
      </c>
      <c r="AU185" s="7" t="str">
        <f>IFERROR(__xludf.DUMMYFUNCTION("GoogleTranslate(C185, ""en"", ""nb"")"),"Pressen")</f>
        <v>Pressen</v>
      </c>
      <c r="AV185" s="7" t="str">
        <f>IFERROR(__xludf.DUMMYFUNCTION("GoogleTranslate(C185, ""en"", ""fa"")"),"را فشار دهید")</f>
        <v>را فشار دهید</v>
      </c>
      <c r="AW185" s="7" t="str">
        <f>IFERROR(__xludf.DUMMYFUNCTION("GoogleTranslate(C185, ""en"", ""pl"")"),"Naciskać")</f>
        <v>Naciskać</v>
      </c>
      <c r="AX185" s="7" t="str">
        <f>IFERROR(__xludf.DUMMYFUNCTION("GoogleTranslate(C185, ""en"", ""pt"")"),"Imprensa")</f>
        <v>Imprensa</v>
      </c>
      <c r="AY185" s="7" t="str">
        <f>IFERROR(__xludf.DUMMYFUNCTION("GoogleTranslate(C185, ""en"", ""ro"")"),"Presa")</f>
        <v>Presa</v>
      </c>
      <c r="AZ185" s="7" t="str">
        <f>IFERROR(__xludf.DUMMYFUNCTION("GoogleTranslate(C185, ""en"", ""ru"")"),"Нажимать")</f>
        <v>Нажимать</v>
      </c>
      <c r="BA185" s="7" t="str">
        <f>IFERROR(__xludf.DUMMYFUNCTION("GoogleTranslate(C185, ""en"", ""sr"")"),"Притисните")</f>
        <v>Притисните</v>
      </c>
      <c r="BB185" s="7" t="str">
        <f>IFERROR(__xludf.DUMMYFUNCTION("GoogleTranslate(C185, ""en"", ""si"")"),"ඔබන්න")</f>
        <v>ඔබන්න</v>
      </c>
      <c r="BC185" s="7" t="str">
        <f>IFERROR(__xludf.DUMMYFUNCTION("GoogleTranslate(C185, ""en"", ""sk"")"),"Stlačte tlačidlo")</f>
        <v>Stlačte tlačidlo</v>
      </c>
      <c r="BD185" s="7" t="str">
        <f>IFERROR(__xludf.DUMMYFUNCTION("GoogleTranslate(C185, ""en"", ""sl"")"),"Pritisnite")</f>
        <v>Pritisnite</v>
      </c>
      <c r="BE185" s="7" t="str">
        <f>IFERROR(__xludf.DUMMYFUNCTION("GoogleTranslate(C185, ""en"", ""es"")"),"Prensa")</f>
        <v>Prensa</v>
      </c>
      <c r="BF185" s="7" t="str">
        <f>IFERROR(__xludf.DUMMYFUNCTION("GoogleTranslate(C185, ""en"", ""sw"")"),"Bonyeza")</f>
        <v>Bonyeza</v>
      </c>
      <c r="BG185" s="7" t="str">
        <f>IFERROR(__xludf.DUMMYFUNCTION("GoogleTranslate(C185, ""en"", ""sv"")"),"Trycka")</f>
        <v>Trycka</v>
      </c>
      <c r="BH185" s="7" t="str">
        <f>IFERROR(__xludf.DUMMYFUNCTION("GoogleTranslate(C185, ""en"", ""te"")"),"నొక్కండి")</f>
        <v>నొక్కండి</v>
      </c>
      <c r="BI185" s="7" t="str">
        <f>IFERROR(__xludf.DUMMYFUNCTION("GoogleTranslate(C185, ""en"", ""th"")"),"กด")</f>
        <v>กด</v>
      </c>
      <c r="BJ185" s="7" t="str">
        <f>IFERROR(__xludf.DUMMYFUNCTION("GoogleTranslate(C185, ""en"", ""tr"")"),"Basmak")</f>
        <v>Basmak</v>
      </c>
      <c r="BK185" s="7" t="str">
        <f>IFERROR(__xludf.DUMMYFUNCTION("GoogleTranslate(C185, ""en"", ""uk"")"),"Прес")</f>
        <v>Прес</v>
      </c>
      <c r="BL185" s="7" t="str">
        <f>IFERROR(__xludf.DUMMYFUNCTION("GoogleTranslate(C185, ""en"", ""zu"")"),"Cindezela")</f>
        <v>Cindezela</v>
      </c>
    </row>
    <row r="186">
      <c r="A186" s="5" t="str">
        <f t="shared" si="1"/>
        <v>PRODUCTS_&amp;_SERVICES</v>
      </c>
      <c r="B186" s="6" t="s">
        <v>239</v>
      </c>
      <c r="C186" s="5" t="str">
        <f t="shared" si="2"/>
        <v>PRODUCTS &amp; SERVICES</v>
      </c>
      <c r="D186" s="7" t="str">
        <f>IFERROR(__xludf.DUMMYFUNCTION("GoogleTranslate(C186, ""en"", ""es"")"),"PRODUCTOS Y SERVICIOS")</f>
        <v>PRODUCTOS Y SERVICIOS</v>
      </c>
      <c r="E186" s="7" t="str">
        <f>IFERROR(__xludf.DUMMYFUNCTION("GoogleTranslate(C186, ""en"", ""ar"")"),"المنتجات والخدمات")</f>
        <v>المنتجات والخدمات</v>
      </c>
      <c r="F186" s="7" t="str">
        <f>IFERROR(__xludf.DUMMYFUNCTION("GoogleTranslate(C186, ""en"", ""hy"")"),"ԱՊՐԱՆՔՆԵՐ ԵՎ ԾԱՌԱՅՈՒԹՅՈՒՆՆԵՐ")</f>
        <v>ԱՊՐԱՆՔՆԵՐ ԵՎ ԾԱՌԱՅՈՒԹՅՈՒՆՆԵՐ</v>
      </c>
      <c r="G186" s="7" t="str">
        <f>IFERROR(__xludf.DUMMYFUNCTION("GoogleTranslate(C186, ""en"", ""vi"")"),"SẢN PHẨM &amp; DỊCH VỤ")</f>
        <v>SẢN PHẨM &amp; DỊCH VỤ</v>
      </c>
      <c r="H186" s="7" t="str">
        <f>IFERROR(__xludf.DUMMYFUNCTION("GoogleTranslate(C186, ""en"", ""az"")"),"MƏHSUL VƏ XİDMƏTLƏR")</f>
        <v>MƏHSUL VƏ XİDMƏTLƏR</v>
      </c>
      <c r="I186" s="7" t="str">
        <f>IFERROR(__xludf.DUMMYFUNCTION("GoogleTranslate(C186, ""en"", ""eu"")"),"PRODUKTUAK ETA ZERBITZUAK")</f>
        <v>PRODUKTUAK ETA ZERBITZUAK</v>
      </c>
      <c r="J186" s="7" t="str">
        <f>IFERROR(__xludf.DUMMYFUNCTION("GoogleTranslate(C186, ""en"", ""be"")"),"ПРАДУКЦЫІ І ПАСЛУГІ")</f>
        <v>ПРАДУКЦЫІ І ПАСЛУГІ</v>
      </c>
      <c r="K186" s="7" t="str">
        <f>IFERROR(__xludf.DUMMYFUNCTION("GoogleTranslate(C186, ""en"", ""bn"")"),"পণ্য ও সেবা")</f>
        <v>পণ্য ও সেবা</v>
      </c>
      <c r="L186" s="7" t="str">
        <f>IFERROR(__xludf.DUMMYFUNCTION("GoogleTranslate(C186, ""en"", ""bg"")"),"ПРОДУКТИ И УСЛУГИ")</f>
        <v>ПРОДУКТИ И УСЛУГИ</v>
      </c>
      <c r="M186" s="7" t="str">
        <f>IFERROR(__xludf.DUMMYFUNCTION("GoogleTranslate(C186, ""en"", ""my"")"),"ထုတ်ကုန်များနှင့် ဝန်ဆောင်မှုများ")</f>
        <v>ထုတ်ကုန်များနှင့် ဝန်ဆောင်မှုများ</v>
      </c>
      <c r="N186" s="7" t="str">
        <f>IFERROR(__xludf.DUMMYFUNCTION("GoogleTranslate(C186, ""en"", ""ca"")"),"PRODUCTES I SERVEIS")</f>
        <v>PRODUCTES I SERVEIS</v>
      </c>
      <c r="O186" s="7" t="str">
        <f>IFERROR(__xludf.DUMMYFUNCTION("GoogleTranslate(C186, ""en"", ""zh-cn"")"),"产品与服务")</f>
        <v>产品与服务</v>
      </c>
      <c r="P186" s="7" t="str">
        <f>IFERROR(__xludf.DUMMYFUNCTION("GoogleTranslate(C186, ""en"", ""zh-TW"")"),"產品與服務")</f>
        <v>產品與服務</v>
      </c>
      <c r="Q186" s="7" t="str">
        <f>IFERROR(__xludf.DUMMYFUNCTION("GoogleTranslate(C186, ""en"", ""hr"")"),"PROIZVODI I USLUGE")</f>
        <v>PROIZVODI I USLUGE</v>
      </c>
      <c r="R186" s="7" t="str">
        <f>IFERROR(__xludf.DUMMYFUNCTION("GoogleTranslate(C186, ""en"", ""cs"")"),"PRODUKTY A SLUŽBY")</f>
        <v>PRODUKTY A SLUŽBY</v>
      </c>
      <c r="S186" s="7" t="str">
        <f>IFERROR(__xludf.DUMMYFUNCTION("GoogleTranslate(C186, ""en"", ""da"")"),"PRODUKTER OG TJENESTER")</f>
        <v>PRODUKTER OG TJENESTER</v>
      </c>
      <c r="T186" s="7" t="str">
        <f>IFERROR(__xludf.DUMMYFUNCTION("GoogleTranslate(C186, ""en"", ""nl"")"),"PRODUCTEN &amp; DIENSTEN")</f>
        <v>PRODUCTEN &amp; DIENSTEN</v>
      </c>
      <c r="U186" s="7" t="str">
        <f>IFERROR(__xludf.DUMMYFUNCTION("GoogleTranslate(C186, ""en"", ""et"")"),"TOOTED JA TEENUSED")</f>
        <v>TOOTED JA TEENUSED</v>
      </c>
      <c r="V186" s="5" t="str">
        <f t="shared" si="3"/>
        <v>PRODUCTS &amp; SERVICES</v>
      </c>
      <c r="W186" s="7" t="str">
        <f>IFERROR(__xludf.DUMMYFUNCTION("GoogleTranslate(C186, ""en"", ""fi"")"),"TUOTTEET &amp; PALVELUT")</f>
        <v>TUOTTEET &amp; PALVELUT</v>
      </c>
      <c r="X186" s="7" t="str">
        <f>IFERROR(__xludf.DUMMYFUNCTION("GoogleTranslate(C186, ""en"", ""fr"")"),"PRODUITS ET SERVICES")</f>
        <v>PRODUITS ET SERVICES</v>
      </c>
      <c r="Y186" s="7" t="str">
        <f>IFERROR(__xludf.DUMMYFUNCTION("GoogleTranslate(C186, ""en"", ""de"")"),"PRODUKTE &amp; DIENSTLEISTUNGEN")</f>
        <v>PRODUKTE &amp; DIENSTLEISTUNGEN</v>
      </c>
      <c r="Z186" s="7" t="str">
        <f>IFERROR(__xludf.DUMMYFUNCTION("GoogleTranslate(C186, ""en"", ""el"")"),"ΠΡΟΪΟΝΤΑ &amp; ΥΠΗΡΕΣΙΕΣ")</f>
        <v>ΠΡΟΪΟΝΤΑ &amp; ΥΠΗΡΕΣΙΕΣ</v>
      </c>
      <c r="AA186" s="7" t="str">
        <f>IFERROR(__xludf.DUMMYFUNCTION("GoogleTranslate(C186, ""en"", ""iw"")"),"מוצרים ושירותים")</f>
        <v>מוצרים ושירותים</v>
      </c>
      <c r="AB186" s="7" t="str">
        <f>IFERROR(__xludf.DUMMYFUNCTION("GoogleTranslate(C186, ""en"", ""hi"")"),"उत्पाद एवं सेवाएँ")</f>
        <v>उत्पाद एवं सेवाएँ</v>
      </c>
      <c r="AC186" s="7" t="str">
        <f>IFERROR(__xludf.DUMMYFUNCTION("GoogleTranslate(C186, ""en"", ""hu"")"),"TERMÉKEK ÉS SZOLGÁLTATÁSOK")</f>
        <v>TERMÉKEK ÉS SZOLGÁLTATÁSOK</v>
      </c>
      <c r="AD186" s="7" t="str">
        <f>IFERROR(__xludf.DUMMYFUNCTION("GoogleTranslate(C186, ""en"", ""is"")"),"VÖRUR OG ÞJÓNUSTA")</f>
        <v>VÖRUR OG ÞJÓNUSTA</v>
      </c>
      <c r="AE186" s="7" t="str">
        <f>IFERROR(__xludf.DUMMYFUNCTION("GoogleTranslate(C186, ""en"", ""id"")"),"PRODUK &amp; LAYANAN")</f>
        <v>PRODUK &amp; LAYANAN</v>
      </c>
      <c r="AF186" s="7" t="str">
        <f>IFERROR(__xludf.DUMMYFUNCTION("GoogleTranslate(C186, ""en"", ""in"")"),"PRODUK &amp; LAYANAN")</f>
        <v>PRODUK &amp; LAYANAN</v>
      </c>
      <c r="AG186" s="7" t="str">
        <f>IFERROR(__xludf.DUMMYFUNCTION("GoogleTranslate(C186, ""en"", ""it"")"),"PRODOTTI E SERVIZI")</f>
        <v>PRODOTTI E SERVIZI</v>
      </c>
      <c r="AH186" s="7" t="str">
        <f>IFERROR(__xludf.DUMMYFUNCTION("GoogleTranslate(C186, ""en"", ""ja"")"),"製品とサービス")</f>
        <v>製品とサービス</v>
      </c>
      <c r="AI186" s="7" t="str">
        <f>IFERROR(__xludf.DUMMYFUNCTION("GoogleTranslate(C186, ""en"", ""kn"")"),"ಉತ್ಪನ್ನಗಳು ಮತ್ತು ಸೇವೆಗಳು")</f>
        <v>ಉತ್ಪನ್ನಗಳು ಮತ್ತು ಸೇವೆಗಳು</v>
      </c>
      <c r="AJ186" s="7" t="str">
        <f>IFERROR(__xludf.DUMMYFUNCTION("GoogleTranslate(C186, ""en"", ""km"")"),"ផលិតផល និងសេវាកម្ម")</f>
        <v>ផលិតផល និងសេវាកម្ម</v>
      </c>
      <c r="AK186" s="7" t="str">
        <f>IFERROR(__xludf.DUMMYFUNCTION("GoogleTranslate(C186, ""en"", ""ko"")"),"제품 및 서비스")</f>
        <v>제품 및 서비스</v>
      </c>
      <c r="AL186" s="7" t="str">
        <f>IFERROR(__xludf.DUMMYFUNCTION("GoogleTranslate(C186, ""en"", ""lo"")"),"ຜະລິດຕະພັນ ແລະການບໍລິການ")</f>
        <v>ຜະລິດຕະພັນ ແລະການບໍລິການ</v>
      </c>
      <c r="AM186" s="7" t="str">
        <f>IFERROR(__xludf.DUMMYFUNCTION("GoogleTranslate(C186, ""en"", ""lv"")"),"PRODUKTI UN PAKALPOJUMI")</f>
        <v>PRODUKTI UN PAKALPOJUMI</v>
      </c>
      <c r="AN186" s="7" t="str">
        <f>IFERROR(__xludf.DUMMYFUNCTION("GoogleTranslate(C186, ""en"", ""lt"")"),"PRODUKTAI IR PASLAUGOS")</f>
        <v>PRODUKTAI IR PASLAUGOS</v>
      </c>
      <c r="AO186" s="7" t="str">
        <f>IFERROR(__xludf.DUMMYFUNCTION("GoogleTranslate(C186, ""en"", ""mk"")"),"ПРОИЗВОДИ И УСЛУГИ")</f>
        <v>ПРОИЗВОДИ И УСЛУГИ</v>
      </c>
      <c r="AP186" s="7" t="str">
        <f>IFERROR(__xludf.DUMMYFUNCTION("GoogleTranslate(C186, ""en"", ""ms"")"),"PRODUK &amp; PERKHIDMATAN")</f>
        <v>PRODUK &amp; PERKHIDMATAN</v>
      </c>
      <c r="AQ186" s="7" t="str">
        <f>IFERROR(__xludf.DUMMYFUNCTION("GoogleTranslate(C186, ""en"", ""ml"")"),"ഉൽപ്പന്നങ്ങളും സേവനങ്ങളും")</f>
        <v>ഉൽപ്പന്നങ്ങളും സേവനങ്ങളും</v>
      </c>
      <c r="AR186" s="7" t="str">
        <f>IFERROR(__xludf.DUMMYFUNCTION("GoogleTranslate(C186, ""en"", ""mr"")"),"उत्पादने आणि सेवा")</f>
        <v>उत्पादने आणि सेवा</v>
      </c>
      <c r="AS186" s="7" t="str">
        <f>IFERROR(__xludf.DUMMYFUNCTION("GoogleTranslate(C186, ""en"", ""mn"")"),"БҮТЭЭГДЭХҮҮН, ҮЙЛЧИЛГЭЭ")</f>
        <v>БҮТЭЭГДЭХҮҮН, ҮЙЛЧИЛГЭЭ</v>
      </c>
      <c r="AT186" s="7" t="str">
        <f>IFERROR(__xludf.DUMMYFUNCTION("GoogleTranslate(C186, ""en"", ""ne"")"),"उत्पादन र सेवाहरू")</f>
        <v>उत्पादन र सेवाहरू</v>
      </c>
      <c r="AU186" s="7" t="str">
        <f>IFERROR(__xludf.DUMMYFUNCTION("GoogleTranslate(C186, ""en"", ""nb"")"),"PRODUKTER OG TJENESTER")</f>
        <v>PRODUKTER OG TJENESTER</v>
      </c>
      <c r="AV186" s="7" t="str">
        <f>IFERROR(__xludf.DUMMYFUNCTION("GoogleTranslate(C186, ""en"", ""fa"")"),"محصولات و خدمات")</f>
        <v>محصولات و خدمات</v>
      </c>
      <c r="AW186" s="7" t="str">
        <f>IFERROR(__xludf.DUMMYFUNCTION("GoogleTranslate(C186, ""en"", ""pl"")"),"PRODUKTY I USŁUGI")</f>
        <v>PRODUKTY I USŁUGI</v>
      </c>
      <c r="AX186" s="7" t="str">
        <f>IFERROR(__xludf.DUMMYFUNCTION("GoogleTranslate(C186, ""en"", ""pt"")"),"PRODUTOS E SERVIÇOS")</f>
        <v>PRODUTOS E SERVIÇOS</v>
      </c>
      <c r="AY186" s="7" t="str">
        <f>IFERROR(__xludf.DUMMYFUNCTION("GoogleTranslate(C186, ""en"", ""ro"")"),"PRODUSE &amp; SERVICII")</f>
        <v>PRODUSE &amp; SERVICII</v>
      </c>
      <c r="AZ186" s="7" t="str">
        <f>IFERROR(__xludf.DUMMYFUNCTION("GoogleTranslate(C186, ""en"", ""ru"")"),"ПРОДУКТЫ И УСЛУГИ")</f>
        <v>ПРОДУКТЫ И УСЛУГИ</v>
      </c>
      <c r="BA186" s="7" t="str">
        <f>IFERROR(__xludf.DUMMYFUNCTION("GoogleTranslate(C186, ""en"", ""sr"")"),"ПРОИЗВОДИ И УСЛУГЕ")</f>
        <v>ПРОИЗВОДИ И УСЛУГЕ</v>
      </c>
      <c r="BB186" s="7" t="str">
        <f>IFERROR(__xludf.DUMMYFUNCTION("GoogleTranslate(C186, ""en"", ""si"")"),"නිෂ්පාදන සහ සේවා")</f>
        <v>නිෂ්පාදන සහ සේවා</v>
      </c>
      <c r="BC186" s="7" t="str">
        <f>IFERROR(__xludf.DUMMYFUNCTION("GoogleTranslate(C186, ""en"", ""sk"")"),"PRODUKTY A SLUŽBY")</f>
        <v>PRODUKTY A SLUŽBY</v>
      </c>
      <c r="BD186" s="7" t="str">
        <f>IFERROR(__xludf.DUMMYFUNCTION("GoogleTranslate(C186, ""en"", ""sl"")"),"IZDELKI IN STORITVE")</f>
        <v>IZDELKI IN STORITVE</v>
      </c>
      <c r="BE186" s="7" t="str">
        <f>IFERROR(__xludf.DUMMYFUNCTION("GoogleTranslate(C186, ""en"", ""es"")"),"PRODUCTOS Y SERVICIOS")</f>
        <v>PRODUCTOS Y SERVICIOS</v>
      </c>
      <c r="BF186" s="7" t="str">
        <f>IFERROR(__xludf.DUMMYFUNCTION("GoogleTranslate(C186, ""en"", ""sw"")"),"BIDHAA NA HUDUMA")</f>
        <v>BIDHAA NA HUDUMA</v>
      </c>
      <c r="BG186" s="7" t="str">
        <f>IFERROR(__xludf.DUMMYFUNCTION("GoogleTranslate(C186, ""en"", ""sv"")"),"PRODUKTER &amp; TJÄNSTER")</f>
        <v>PRODUKTER &amp; TJÄNSTER</v>
      </c>
      <c r="BH186" s="7" t="str">
        <f>IFERROR(__xludf.DUMMYFUNCTION("GoogleTranslate(C186, ""en"", ""te"")"),"ఉత్పత్తులు &amp; సేవలు")</f>
        <v>ఉత్పత్తులు &amp; సేవలు</v>
      </c>
      <c r="BI186" s="7" t="str">
        <f>IFERROR(__xludf.DUMMYFUNCTION("GoogleTranslate(C186, ""en"", ""th"")"),"ผลิตภัณฑ์และบริการ")</f>
        <v>ผลิตภัณฑ์และบริการ</v>
      </c>
      <c r="BJ186" s="7" t="str">
        <f>IFERROR(__xludf.DUMMYFUNCTION("GoogleTranslate(C186, ""en"", ""tr"")"),"ÜRÜNLER &amp; HİZMETLER")</f>
        <v>ÜRÜNLER &amp; HİZMETLER</v>
      </c>
      <c r="BK186" s="7" t="str">
        <f>IFERROR(__xludf.DUMMYFUNCTION("GoogleTranslate(C186, ""en"", ""uk"")"),"ПРОДУКТИ ТА ПОСЛУГИ")</f>
        <v>ПРОДУКТИ ТА ПОСЛУГИ</v>
      </c>
      <c r="BL186" s="7" t="str">
        <f>IFERROR(__xludf.DUMMYFUNCTION("GoogleTranslate(C186, ""en"", ""zu"")"),"IMIKHIQIZO NEZINKONZO")</f>
        <v>IMIKHIQIZO NEZINKONZO</v>
      </c>
    </row>
    <row r="187">
      <c r="A187" s="5" t="str">
        <f t="shared" si="1"/>
        <v>For_Business</v>
      </c>
      <c r="B187" s="6" t="s">
        <v>240</v>
      </c>
      <c r="C187" s="5" t="str">
        <f t="shared" si="2"/>
        <v>For Business</v>
      </c>
      <c r="D187" s="7" t="str">
        <f>IFERROR(__xludf.DUMMYFUNCTION("GoogleTranslate(C187, ""en"", ""es"")"),"Para negocios")</f>
        <v>Para negocios</v>
      </c>
      <c r="E187" s="7" t="str">
        <f>IFERROR(__xludf.DUMMYFUNCTION("GoogleTranslate(C187, ""en"", ""ar"")"),"للأعمال")</f>
        <v>للأعمال</v>
      </c>
      <c r="F187" s="7" t="str">
        <f>IFERROR(__xludf.DUMMYFUNCTION("GoogleTranslate(C187, ""en"", ""hy"")"),"Բիզնեսի համար")</f>
        <v>Բիզնեսի համար</v>
      </c>
      <c r="G187" s="7" t="str">
        <f>IFERROR(__xludf.DUMMYFUNCTION("GoogleTranslate(C187, ""en"", ""vi"")"),"Dành cho doanh nghiệp")</f>
        <v>Dành cho doanh nghiệp</v>
      </c>
      <c r="H187" s="7" t="str">
        <f>IFERROR(__xludf.DUMMYFUNCTION("GoogleTranslate(C187, ""en"", ""az"")"),"Biznes üçün")</f>
        <v>Biznes üçün</v>
      </c>
      <c r="I187" s="7" t="str">
        <f>IFERROR(__xludf.DUMMYFUNCTION("GoogleTranslate(C187, ""en"", ""eu"")"),"Negozioetarako")</f>
        <v>Negozioetarako</v>
      </c>
      <c r="J187" s="7" t="str">
        <f>IFERROR(__xludf.DUMMYFUNCTION("GoogleTranslate(C187, ""en"", ""be"")"),"Для бізнесу")</f>
        <v>Для бізнесу</v>
      </c>
      <c r="K187" s="7" t="str">
        <f>IFERROR(__xludf.DUMMYFUNCTION("GoogleTranslate(C187, ""en"", ""bn"")"),"ব্যবসার জন্য")</f>
        <v>ব্যবসার জন্য</v>
      </c>
      <c r="L187" s="7" t="str">
        <f>IFERROR(__xludf.DUMMYFUNCTION("GoogleTranslate(C187, ""en"", ""bg"")"),"За Бизнес")</f>
        <v>За Бизнес</v>
      </c>
      <c r="M187" s="7" t="str">
        <f>IFERROR(__xludf.DUMMYFUNCTION("GoogleTranslate(C187, ""en"", ""my"")"),"စီးပွားရေးအတွက်")</f>
        <v>စီးပွားရေးအတွက်</v>
      </c>
      <c r="N187" s="7" t="str">
        <f>IFERROR(__xludf.DUMMYFUNCTION("GoogleTranslate(C187, ""en"", ""ca"")"),"Per a negocis")</f>
        <v>Per a negocis</v>
      </c>
      <c r="O187" s="7" t="str">
        <f>IFERROR(__xludf.DUMMYFUNCTION("GoogleTranslate(C187, ""en"", ""zh-cn"")"),"商务用")</f>
        <v>商务用</v>
      </c>
      <c r="P187" s="7" t="str">
        <f>IFERROR(__xludf.DUMMYFUNCTION("GoogleTranslate(C187, ""en"", ""zh-TW"")"),"商務用")</f>
        <v>商務用</v>
      </c>
      <c r="Q187" s="7" t="str">
        <f>IFERROR(__xludf.DUMMYFUNCTION("GoogleTranslate(C187, ""en"", ""hr"")"),"Za posao")</f>
        <v>Za posao</v>
      </c>
      <c r="R187" s="7" t="str">
        <f>IFERROR(__xludf.DUMMYFUNCTION("GoogleTranslate(C187, ""en"", ""cs"")"),"Pro podnikání")</f>
        <v>Pro podnikání</v>
      </c>
      <c r="S187" s="7" t="str">
        <f>IFERROR(__xludf.DUMMYFUNCTION("GoogleTranslate(C187, ""en"", ""da"")"),"Til Erhverv")</f>
        <v>Til Erhverv</v>
      </c>
      <c r="T187" s="7" t="str">
        <f>IFERROR(__xludf.DUMMYFUNCTION("GoogleTranslate(C187, ""en"", ""nl"")"),"Voor zaken")</f>
        <v>Voor zaken</v>
      </c>
      <c r="U187" s="7" t="str">
        <f>IFERROR(__xludf.DUMMYFUNCTION("GoogleTranslate(C187, ""en"", ""et"")"),"Ettevõtluse jaoks")</f>
        <v>Ettevõtluse jaoks</v>
      </c>
      <c r="V187" s="5" t="str">
        <f t="shared" si="3"/>
        <v>For Business</v>
      </c>
      <c r="W187" s="7" t="str">
        <f>IFERROR(__xludf.DUMMYFUNCTION("GoogleTranslate(C187, ""en"", ""fi"")"),"Yrityksille")</f>
        <v>Yrityksille</v>
      </c>
      <c r="X187" s="7" t="str">
        <f>IFERROR(__xludf.DUMMYFUNCTION("GoogleTranslate(C187, ""en"", ""fr"")"),"Pour les entreprises")</f>
        <v>Pour les entreprises</v>
      </c>
      <c r="Y187" s="7" t="str">
        <f>IFERROR(__xludf.DUMMYFUNCTION("GoogleTranslate(C187, ""en"", ""de"")"),"Für Unternehmen")</f>
        <v>Für Unternehmen</v>
      </c>
      <c r="Z187" s="7" t="str">
        <f>IFERROR(__xludf.DUMMYFUNCTION("GoogleTranslate(C187, ""en"", ""el"")"),"Για Επιχειρήσεις")</f>
        <v>Για Επιχειρήσεις</v>
      </c>
      <c r="AA187" s="7" t="str">
        <f>IFERROR(__xludf.DUMMYFUNCTION("GoogleTranslate(C187, ""en"", ""iw"")"),"לעסקים")</f>
        <v>לעסקים</v>
      </c>
      <c r="AB187" s="7" t="str">
        <f>IFERROR(__xludf.DUMMYFUNCTION("GoogleTranslate(C187, ""en"", ""hi"")"),"बिज़नेस के लिए")</f>
        <v>बिज़नेस के लिए</v>
      </c>
      <c r="AC187" s="7" t="str">
        <f>IFERROR(__xludf.DUMMYFUNCTION("GoogleTranslate(C187, ""en"", ""hu"")"),"Vállalkozásoknak")</f>
        <v>Vállalkozásoknak</v>
      </c>
      <c r="AD187" s="7" t="str">
        <f>IFERROR(__xludf.DUMMYFUNCTION("GoogleTranslate(C187, ""en"", ""is"")"),"Fyrir Viðskipti")</f>
        <v>Fyrir Viðskipti</v>
      </c>
      <c r="AE187" s="7" t="str">
        <f>IFERROR(__xludf.DUMMYFUNCTION("GoogleTranslate(C187, ""en"", ""id"")"),"Untuk Bisnis")</f>
        <v>Untuk Bisnis</v>
      </c>
      <c r="AF187" s="7" t="str">
        <f>IFERROR(__xludf.DUMMYFUNCTION("GoogleTranslate(C187, ""en"", ""in"")"),"Untuk Bisnis")</f>
        <v>Untuk Bisnis</v>
      </c>
      <c r="AG187" s="7" t="str">
        <f>IFERROR(__xludf.DUMMYFUNCTION("GoogleTranslate(C187, ""en"", ""it"")"),"Per affari")</f>
        <v>Per affari</v>
      </c>
      <c r="AH187" s="7" t="str">
        <f>IFERROR(__xludf.DUMMYFUNCTION("GoogleTranslate(C187, ""en"", ""ja"")"),"ビジネス向け")</f>
        <v>ビジネス向け</v>
      </c>
      <c r="AI187" s="7" t="str">
        <f>IFERROR(__xludf.DUMMYFUNCTION("GoogleTranslate(C187, ""en"", ""kn"")"),"ವ್ಯಾಪಾರಕ್ಕಾಗಿ")</f>
        <v>ವ್ಯಾಪಾರಕ್ಕಾಗಿ</v>
      </c>
      <c r="AJ187" s="7" t="str">
        <f>IFERROR(__xludf.DUMMYFUNCTION("GoogleTranslate(C187, ""en"", ""km"")"),"សម្រាប់អាជីវកម្ម")</f>
        <v>សម្រាប់អាជីវកម្ម</v>
      </c>
      <c r="AK187" s="7" t="str">
        <f>IFERROR(__xludf.DUMMYFUNCTION("GoogleTranslate(C187, ""en"", ""ko"")"),"비즈니스용")</f>
        <v>비즈니스용</v>
      </c>
      <c r="AL187" s="7" t="str">
        <f>IFERROR(__xludf.DUMMYFUNCTION("GoogleTranslate(C187, ""en"", ""lo"")"),"ສໍາລັບທຸລະກິດ")</f>
        <v>ສໍາລັບທຸລະກິດ</v>
      </c>
      <c r="AM187" s="7" t="str">
        <f>IFERROR(__xludf.DUMMYFUNCTION("GoogleTranslate(C187, ""en"", ""lv"")"),"Biznesam")</f>
        <v>Biznesam</v>
      </c>
      <c r="AN187" s="7" t="str">
        <f>IFERROR(__xludf.DUMMYFUNCTION("GoogleTranslate(C187, ""en"", ""lt"")"),"Verslui")</f>
        <v>Verslui</v>
      </c>
      <c r="AO187" s="7" t="str">
        <f>IFERROR(__xludf.DUMMYFUNCTION("GoogleTranslate(C187, ""en"", ""mk"")"),"За бизнис")</f>
        <v>За бизнис</v>
      </c>
      <c r="AP187" s="7" t="str">
        <f>IFERROR(__xludf.DUMMYFUNCTION("GoogleTranslate(C187, ""en"", ""ms"")"),"Untuk Perniagaan")</f>
        <v>Untuk Perniagaan</v>
      </c>
      <c r="AQ187" s="7" t="str">
        <f>IFERROR(__xludf.DUMMYFUNCTION("GoogleTranslate(C187, ""en"", ""ml"")"),"ബിസിനസ്സിനായി")</f>
        <v>ബിസിനസ്സിനായി</v>
      </c>
      <c r="AR187" s="7" t="str">
        <f>IFERROR(__xludf.DUMMYFUNCTION("GoogleTranslate(C187, ""en"", ""mr"")"),"व्यवसायासाठी")</f>
        <v>व्यवसायासाठी</v>
      </c>
      <c r="AS187" s="7" t="str">
        <f>IFERROR(__xludf.DUMMYFUNCTION("GoogleTranslate(C187, ""en"", ""mn"")"),"Бизнесийн хувьд")</f>
        <v>Бизнесийн хувьд</v>
      </c>
      <c r="AT187" s="7" t="str">
        <f>IFERROR(__xludf.DUMMYFUNCTION("GoogleTranslate(C187, ""en"", ""ne"")"),"व्यापार को लागी")</f>
        <v>व्यापार को लागी</v>
      </c>
      <c r="AU187" s="7" t="str">
        <f>IFERROR(__xludf.DUMMYFUNCTION("GoogleTranslate(C187, ""en"", ""nb"")"),"For Business")</f>
        <v>For Business</v>
      </c>
      <c r="AV187" s="7" t="str">
        <f>IFERROR(__xludf.DUMMYFUNCTION("GoogleTranslate(C187, ""en"", ""fa"")"),"برای تجارت")</f>
        <v>برای تجارت</v>
      </c>
      <c r="AW187" s="7" t="str">
        <f>IFERROR(__xludf.DUMMYFUNCTION("GoogleTranslate(C187, ""en"", ""pl"")"),"Dla Biznesu")</f>
        <v>Dla Biznesu</v>
      </c>
      <c r="AX187" s="7" t="str">
        <f>IFERROR(__xludf.DUMMYFUNCTION("GoogleTranslate(C187, ""en"", ""pt"")"),"Para negócios")</f>
        <v>Para negócios</v>
      </c>
      <c r="AY187" s="7" t="str">
        <f>IFERROR(__xludf.DUMMYFUNCTION("GoogleTranslate(C187, ""en"", ""ro"")"),"Pentru afaceri")</f>
        <v>Pentru afaceri</v>
      </c>
      <c r="AZ187" s="7" t="str">
        <f>IFERROR(__xludf.DUMMYFUNCTION("GoogleTranslate(C187, ""en"", ""ru"")"),"Для бизнеса")</f>
        <v>Для бизнеса</v>
      </c>
      <c r="BA187" s="7" t="str">
        <f>IFERROR(__xludf.DUMMYFUNCTION("GoogleTranslate(C187, ""en"", ""sr"")"),"За посао")</f>
        <v>За посао</v>
      </c>
      <c r="BB187" s="7" t="str">
        <f>IFERROR(__xludf.DUMMYFUNCTION("GoogleTranslate(C187, ""en"", ""si"")"),"ව්යාපාර සඳහා")</f>
        <v>ව්යාපාර සඳහා</v>
      </c>
      <c r="BC187" s="7" t="str">
        <f>IFERROR(__xludf.DUMMYFUNCTION("GoogleTranslate(C187, ""en"", ""sk"")"),"Pre podnikanie")</f>
        <v>Pre podnikanie</v>
      </c>
      <c r="BD187" s="7" t="str">
        <f>IFERROR(__xludf.DUMMYFUNCTION("GoogleTranslate(C187, ""en"", ""sl"")"),"Za posel")</f>
        <v>Za posel</v>
      </c>
      <c r="BE187" s="7" t="str">
        <f>IFERROR(__xludf.DUMMYFUNCTION("GoogleTranslate(C187, ""en"", ""es"")"),"Para negocios")</f>
        <v>Para negocios</v>
      </c>
      <c r="BF187" s="7" t="str">
        <f>IFERROR(__xludf.DUMMYFUNCTION("GoogleTranslate(C187, ""en"", ""sw"")"),"Kwa Biashara")</f>
        <v>Kwa Biashara</v>
      </c>
      <c r="BG187" s="7" t="str">
        <f>IFERROR(__xludf.DUMMYFUNCTION("GoogleTranslate(C187, ""en"", ""sv"")"),"För företag")</f>
        <v>För företag</v>
      </c>
      <c r="BH187" s="7" t="str">
        <f>IFERROR(__xludf.DUMMYFUNCTION("GoogleTranslate(C187, ""en"", ""te"")"),"వ్యాపారం కోసం")</f>
        <v>వ్యాపారం కోసం</v>
      </c>
      <c r="BI187" s="7" t="str">
        <f>IFERROR(__xludf.DUMMYFUNCTION("GoogleTranslate(C187, ""en"", ""th"")"),"สำหรับธุรกิจ")</f>
        <v>สำหรับธุรกิจ</v>
      </c>
      <c r="BJ187" s="7" t="str">
        <f>IFERROR(__xludf.DUMMYFUNCTION("GoogleTranslate(C187, ""en"", ""tr"")"),"İş Amaçlı")</f>
        <v>İş Amaçlı</v>
      </c>
      <c r="BK187" s="7" t="str">
        <f>IFERROR(__xludf.DUMMYFUNCTION("GoogleTranslate(C187, ""en"", ""uk"")"),"Для бізнесу")</f>
        <v>Для бізнесу</v>
      </c>
      <c r="BL187" s="7" t="str">
        <f>IFERROR(__xludf.DUMMYFUNCTION("GoogleTranslate(C187, ""en"", ""zu"")"),"OkweBhizinisi")</f>
        <v>OkweBhizinisi</v>
      </c>
    </row>
    <row r="188">
      <c r="A188" s="5" t="str">
        <f t="shared" si="1"/>
        <v>APPS_&amp;_DOWNLOADS</v>
      </c>
      <c r="B188" s="6" t="s">
        <v>241</v>
      </c>
      <c r="C188" s="5" t="str">
        <f t="shared" si="2"/>
        <v>APPS &amp; DOWNLOADS</v>
      </c>
      <c r="D188" s="7" t="str">
        <f>IFERROR(__xludf.DUMMYFUNCTION("GoogleTranslate(C188, ""en"", ""es"")"),"APLICACIONES Y DESCARGAS")</f>
        <v>APLICACIONES Y DESCARGAS</v>
      </c>
      <c r="E188" s="7" t="str">
        <f>IFERROR(__xludf.DUMMYFUNCTION("GoogleTranslate(C188, ""en"", ""ar"")"),"التطبيقات والتنزيلات")</f>
        <v>التطبيقات والتنزيلات</v>
      </c>
      <c r="F188" s="7" t="str">
        <f>IFERROR(__xludf.DUMMYFUNCTION("GoogleTranslate(C188, ""en"", ""hy"")"),"ՀԱՎԵԼՎԱԾՆԵՐ ԵՎ ՆԵՐբեռնումներ")</f>
        <v>ՀԱՎԵԼՎԱԾՆԵՐ ԵՎ ՆԵՐբեռնումներ</v>
      </c>
      <c r="G188" s="7" t="str">
        <f>IFERROR(__xludf.DUMMYFUNCTION("GoogleTranslate(C188, ""en"", ""vi"")"),"ỨNG DỤNG &amp; TẢI XUỐNG")</f>
        <v>ỨNG DỤNG &amp; TẢI XUỐNG</v>
      </c>
      <c r="H188" s="7" t="str">
        <f>IFERROR(__xludf.DUMMYFUNCTION("GoogleTranslate(C188, ""en"", ""az"")"),"TƏTBİQLƏR VƏ YÜKLƏMƏLƏR")</f>
        <v>TƏTBİQLƏR VƏ YÜKLƏMƏLƏR</v>
      </c>
      <c r="I188" s="7" t="str">
        <f>IFERROR(__xludf.DUMMYFUNCTION("GoogleTranslate(C188, ""en"", ""eu"")"),"APLIKAZIOAK ETA DESkargak")</f>
        <v>APLIKAZIOAK ETA DESkargak</v>
      </c>
      <c r="J188" s="7" t="str">
        <f>IFERROR(__xludf.DUMMYFUNCTION("GoogleTranslate(C188, ""en"", ""be"")"),"ПРАГРАМЫ І СПАМПОЎКІ")</f>
        <v>ПРАГРАМЫ І СПАМПОЎКІ</v>
      </c>
      <c r="K188" s="7" t="str">
        <f>IFERROR(__xludf.DUMMYFUNCTION("GoogleTranslate(C188, ""en"", ""bn"")"),"অ্যাপস এবং ডাউনলোড")</f>
        <v>অ্যাপস এবং ডাউনলোড</v>
      </c>
      <c r="L188" s="7" t="str">
        <f>IFERROR(__xludf.DUMMYFUNCTION("GoogleTranslate(C188, ""en"", ""bg"")"),"ПРИЛОЖЕНИЯ И ИЗТЕГЛЯНИ")</f>
        <v>ПРИЛОЖЕНИЯ И ИЗТЕГЛЯНИ</v>
      </c>
      <c r="M188" s="7" t="str">
        <f>IFERROR(__xludf.DUMMYFUNCTION("GoogleTranslate(C188, ""en"", ""my"")"),"အက်ပ်များနှင့် ဒေါင်းလုဒ်များ")</f>
        <v>အက်ပ်များနှင့် ဒေါင်းလုဒ်များ</v>
      </c>
      <c r="N188" s="7" t="str">
        <f>IFERROR(__xludf.DUMMYFUNCTION("GoogleTranslate(C188, ""en"", ""ca"")"),"APLICACIONS I DESCÀRREGAS")</f>
        <v>APLICACIONS I DESCÀRREGAS</v>
      </c>
      <c r="O188" s="7" t="str">
        <f>IFERROR(__xludf.DUMMYFUNCTION("GoogleTranslate(C188, ""en"", ""zh-cn"")"),"应用程序和下载")</f>
        <v>应用程序和下载</v>
      </c>
      <c r="P188" s="7" t="str">
        <f>IFERROR(__xludf.DUMMYFUNCTION("GoogleTranslate(C188, ""en"", ""zh-TW"")"),"應用程式和下載")</f>
        <v>應用程式和下載</v>
      </c>
      <c r="Q188" s="7" t="str">
        <f>IFERROR(__xludf.DUMMYFUNCTION("GoogleTranslate(C188, ""en"", ""hr"")"),"APLIKACIJE I PREUZIMANJA")</f>
        <v>APLIKACIJE I PREUZIMANJA</v>
      </c>
      <c r="R188" s="7" t="str">
        <f>IFERROR(__xludf.DUMMYFUNCTION("GoogleTranslate(C188, ""en"", ""cs"")"),"APLIKACE A STAŽENÍ")</f>
        <v>APLIKACE A STAŽENÍ</v>
      </c>
      <c r="S188" s="7" t="str">
        <f>IFERROR(__xludf.DUMMYFUNCTION("GoogleTranslate(C188, ""en"", ""da"")"),"APPS OG DOWNLOADS")</f>
        <v>APPS OG DOWNLOADS</v>
      </c>
      <c r="T188" s="7" t="str">
        <f>IFERROR(__xludf.DUMMYFUNCTION("GoogleTranslate(C188, ""en"", ""nl"")"),"APPS EN DOWNLOADS")</f>
        <v>APPS EN DOWNLOADS</v>
      </c>
      <c r="U188" s="7" t="str">
        <f>IFERROR(__xludf.DUMMYFUNCTION("GoogleTranslate(C188, ""en"", ""et"")"),"RAKENDUSED JA ALLALAADIMINE")</f>
        <v>RAKENDUSED JA ALLALAADIMINE</v>
      </c>
      <c r="V188" s="5" t="str">
        <f t="shared" si="3"/>
        <v>APPS &amp; DOWNLOADS</v>
      </c>
      <c r="W188" s="7" t="str">
        <f>IFERROR(__xludf.DUMMYFUNCTION("GoogleTranslate(C188, ""en"", ""fi"")"),"SOVELLUKSET &amp; LATAUKSET")</f>
        <v>SOVELLUKSET &amp; LATAUKSET</v>
      </c>
      <c r="X188" s="7" t="str">
        <f>IFERROR(__xludf.DUMMYFUNCTION("GoogleTranslate(C188, ""en"", ""fr"")"),"APPLICATIONS ET TÉLÉCHARGEMENTS")</f>
        <v>APPLICATIONS ET TÉLÉCHARGEMENTS</v>
      </c>
      <c r="Y188" s="7" t="str">
        <f>IFERROR(__xludf.DUMMYFUNCTION("GoogleTranslate(C188, ""en"", ""de"")"),"APPS &amp; DOWNLOADS")</f>
        <v>APPS &amp; DOWNLOADS</v>
      </c>
      <c r="Z188" s="7" t="str">
        <f>IFERROR(__xludf.DUMMYFUNCTION("GoogleTranslate(C188, ""en"", ""el"")"),"ΕΦΑΡΜΟΓΕΣ &amp; ΛΗΨΕΙΣ")</f>
        <v>ΕΦΑΡΜΟΓΕΣ &amp; ΛΗΨΕΙΣ</v>
      </c>
      <c r="AA188" s="7" t="str">
        <f>IFERROR(__xludf.DUMMYFUNCTION("GoogleTranslate(C188, ""en"", ""iw"")"),"אפליקציות והורדות")</f>
        <v>אפליקציות והורדות</v>
      </c>
      <c r="AB188" s="7" t="str">
        <f>IFERROR(__xludf.DUMMYFUNCTION("GoogleTranslate(C188, ""en"", ""hi"")"),"ऐप्स और डाउनलोड")</f>
        <v>ऐप्स और डाउनलोड</v>
      </c>
      <c r="AC188" s="7" t="str">
        <f>IFERROR(__xludf.DUMMYFUNCTION("GoogleTranslate(C188, ""en"", ""hu"")"),"ALKALMAZÁSOK ÉS LETÖLTÉSEK")</f>
        <v>ALKALMAZÁSOK ÉS LETÖLTÉSEK</v>
      </c>
      <c r="AD188" s="7" t="str">
        <f>IFERROR(__xludf.DUMMYFUNCTION("GoogleTranslate(C188, ""en"", ""is"")"),"APPAR OG NIÐURHALDA")</f>
        <v>APPAR OG NIÐURHALDA</v>
      </c>
      <c r="AE188" s="7" t="str">
        <f>IFERROR(__xludf.DUMMYFUNCTION("GoogleTranslate(C188, ""en"", ""id"")"),"APLIKASI &amp; UNDUHAN")</f>
        <v>APLIKASI &amp; UNDUHAN</v>
      </c>
      <c r="AF188" s="7" t="str">
        <f>IFERROR(__xludf.DUMMYFUNCTION("GoogleTranslate(C188, ""en"", ""in"")"),"APLIKASI &amp; UNDUHAN")</f>
        <v>APLIKASI &amp; UNDUHAN</v>
      </c>
      <c r="AG188" s="7" t="str">
        <f>IFERROR(__xludf.DUMMYFUNCTION("GoogleTranslate(C188, ""en"", ""it"")"),"APP E DOWNLOAD")</f>
        <v>APP E DOWNLOAD</v>
      </c>
      <c r="AH188" s="7" t="str">
        <f>IFERROR(__xludf.DUMMYFUNCTION("GoogleTranslate(C188, ""en"", ""ja"")"),"アプリとダウンロード")</f>
        <v>アプリとダウンロード</v>
      </c>
      <c r="AI188" s="7" t="str">
        <f>IFERROR(__xludf.DUMMYFUNCTION("GoogleTranslate(C188, ""en"", ""kn"")"),"ಅಪ್ಲಿಕೇಶನ್‌ಗಳು ಮತ್ತು ಡೌನ್‌ಲೋಡ್‌ಗಳು")</f>
        <v>ಅಪ್ಲಿಕೇಶನ್‌ಗಳು ಮತ್ತು ಡೌನ್‌ಲೋಡ್‌ಗಳು</v>
      </c>
      <c r="AJ188" s="7" t="str">
        <f>IFERROR(__xludf.DUMMYFUNCTION("GoogleTranslate(C188, ""en"", ""km"")"),"កម្មវិធី &amp; ទាញយក")</f>
        <v>កម្មវិធី &amp; ទាញយក</v>
      </c>
      <c r="AK188" s="7" t="str">
        <f>IFERROR(__xludf.DUMMYFUNCTION("GoogleTranslate(C188, ""en"", ""ko"")"),"앱 및 다운로드")</f>
        <v>앱 및 다운로드</v>
      </c>
      <c r="AL188" s="7" t="str">
        <f>IFERROR(__xludf.DUMMYFUNCTION("GoogleTranslate(C188, ""en"", ""lo"")"),"ແອັບ &amp; ດາວໂຫຼດ")</f>
        <v>ແອັບ &amp; ດາວໂຫຼດ</v>
      </c>
      <c r="AM188" s="7" t="str">
        <f>IFERROR(__xludf.DUMMYFUNCTION("GoogleTranslate(C188, ""en"", ""lv"")"),"LIETOTNES UN LEJUPIELĀDES")</f>
        <v>LIETOTNES UN LEJUPIELĀDES</v>
      </c>
      <c r="AN188" s="7" t="str">
        <f>IFERROR(__xludf.DUMMYFUNCTION("GoogleTranslate(C188, ""en"", ""lt"")"),"PROGRAMOS IR ATSISIUNTIMAI")</f>
        <v>PROGRAMOS IR ATSISIUNTIMAI</v>
      </c>
      <c r="AO188" s="7" t="str">
        <f>IFERROR(__xludf.DUMMYFUNCTION("GoogleTranslate(C188, ""en"", ""mk"")"),"АПЛИКАЦИИ И ПРЕЗЕМАЊА")</f>
        <v>АПЛИКАЦИИ И ПРЕЗЕМАЊА</v>
      </c>
      <c r="AP188" s="7" t="str">
        <f>IFERROR(__xludf.DUMMYFUNCTION("GoogleTranslate(C188, ""en"", ""ms"")"),"APLIKASI &amp; MUAT TURUN")</f>
        <v>APLIKASI &amp; MUAT TURUN</v>
      </c>
      <c r="AQ188" s="7" t="str">
        <f>IFERROR(__xludf.DUMMYFUNCTION("GoogleTranslate(C188, ""en"", ""ml"")"),"ആപ്പുകളും ഡൗൺലോഡുകളും")</f>
        <v>ആപ്പുകളും ഡൗൺലോഡുകളും</v>
      </c>
      <c r="AR188" s="7" t="str">
        <f>IFERROR(__xludf.DUMMYFUNCTION("GoogleTranslate(C188, ""en"", ""mr"")"),"ॲप्स आणि डाउनलोड")</f>
        <v>ॲप्स आणि डाउनलोड</v>
      </c>
      <c r="AS188" s="7" t="str">
        <f>IFERROR(__xludf.DUMMYFUNCTION("GoogleTranslate(C188, ""en"", ""mn"")"),"АПП БА ТАТАЛТ")</f>
        <v>АПП БА ТАТАЛТ</v>
      </c>
      <c r="AT188" s="7" t="str">
        <f>IFERROR(__xludf.DUMMYFUNCTION("GoogleTranslate(C188, ""en"", ""ne"")"),"एप्स र डाउनलोडहरू")</f>
        <v>एप्स र डाउनलोडहरू</v>
      </c>
      <c r="AU188" s="7" t="str">
        <f>IFERROR(__xludf.DUMMYFUNCTION("GoogleTranslate(C188, ""en"", ""nb"")"),"APPER OG NEDLASTINGER")</f>
        <v>APPER OG NEDLASTINGER</v>
      </c>
      <c r="AV188" s="7" t="str">
        <f>IFERROR(__xludf.DUMMYFUNCTION("GoogleTranslate(C188, ""en"", ""fa"")"),"برنامه ها و دانلودها")</f>
        <v>برنامه ها و دانلودها</v>
      </c>
      <c r="AW188" s="7" t="str">
        <f>IFERROR(__xludf.DUMMYFUNCTION("GoogleTranslate(C188, ""en"", ""pl"")"),"APLIKACJE I POBRANIA")</f>
        <v>APLIKACJE I POBRANIA</v>
      </c>
      <c r="AX188" s="7" t="str">
        <f>IFERROR(__xludf.DUMMYFUNCTION("GoogleTranslate(C188, ""en"", ""pt"")"),"APLICATIVOS E DOWNLOADS")</f>
        <v>APLICATIVOS E DOWNLOADS</v>
      </c>
      <c r="AY188" s="7" t="str">
        <f>IFERROR(__xludf.DUMMYFUNCTION("GoogleTranslate(C188, ""en"", ""ro"")"),"APLICAȚII ȘI DESCĂRCĂRI")</f>
        <v>APLICAȚII ȘI DESCĂRCĂRI</v>
      </c>
      <c r="AZ188" s="7" t="str">
        <f>IFERROR(__xludf.DUMMYFUNCTION("GoogleTranslate(C188, ""en"", ""ru"")"),"ПРИЛОЖЕНИЯ И ЗАГРУЗКИ")</f>
        <v>ПРИЛОЖЕНИЯ И ЗАГРУЗКИ</v>
      </c>
      <c r="BA188" s="7" t="str">
        <f>IFERROR(__xludf.DUMMYFUNCTION("GoogleTranslate(C188, ""en"", ""sr"")"),"АПЛИКАЦИЈЕ И ПРЕУЗИМАЊА")</f>
        <v>АПЛИКАЦИЈЕ И ПРЕУЗИМАЊА</v>
      </c>
      <c r="BB188" s="7" t="str">
        <f>IFERROR(__xludf.DUMMYFUNCTION("GoogleTranslate(C188, ""en"", ""si"")"),"යෙදුම් සහ බාගැනීම්")</f>
        <v>යෙදුම් සහ බාගැනීම්</v>
      </c>
      <c r="BC188" s="7" t="str">
        <f>IFERROR(__xludf.DUMMYFUNCTION("GoogleTranslate(C188, ""en"", ""sk"")"),"APLIKÁCIE A NA STIAHNUTIE")</f>
        <v>APLIKÁCIE A NA STIAHNUTIE</v>
      </c>
      <c r="BD188" s="7" t="str">
        <f>IFERROR(__xludf.DUMMYFUNCTION("GoogleTranslate(C188, ""en"", ""sl"")"),"APLIKACIJE IN PRENOSI")</f>
        <v>APLIKACIJE IN PRENOSI</v>
      </c>
      <c r="BE188" s="7" t="str">
        <f>IFERROR(__xludf.DUMMYFUNCTION("GoogleTranslate(C188, ""en"", ""es"")"),"APLICACIONES Y DESCARGAS")</f>
        <v>APLICACIONES Y DESCARGAS</v>
      </c>
      <c r="BF188" s="7" t="str">
        <f>IFERROR(__xludf.DUMMYFUNCTION("GoogleTranslate(C188, ""en"", ""sw"")"),"APPS NA VIPAKUA")</f>
        <v>APPS NA VIPAKUA</v>
      </c>
      <c r="BG188" s="7" t="str">
        <f>IFERROR(__xludf.DUMMYFUNCTION("GoogleTranslate(C188, ""en"", ""sv"")"),"APPAR &amp; NEDLADDNINGAR")</f>
        <v>APPAR &amp; NEDLADDNINGAR</v>
      </c>
      <c r="BH188" s="7" t="str">
        <f>IFERROR(__xludf.DUMMYFUNCTION("GoogleTranslate(C188, ""en"", ""te"")"),"యాప్‌లు &amp; డౌన్‌లోడ్‌లు")</f>
        <v>యాప్‌లు &amp; డౌన్‌లోడ్‌లు</v>
      </c>
      <c r="BI188" s="7" t="str">
        <f>IFERROR(__xludf.DUMMYFUNCTION("GoogleTranslate(C188, ""en"", ""th"")"),"แอพและดาวน์โหลด")</f>
        <v>แอพและดาวน์โหลด</v>
      </c>
      <c r="BJ188" s="7" t="str">
        <f>IFERROR(__xludf.DUMMYFUNCTION("GoogleTranslate(C188, ""en"", ""tr"")"),"UYGULAMALAR VE İNDİRMELER")</f>
        <v>UYGULAMALAR VE İNDİRMELER</v>
      </c>
      <c r="BK188" s="7" t="str">
        <f>IFERROR(__xludf.DUMMYFUNCTION("GoogleTranslate(C188, ""en"", ""uk"")"),"ПРОГРАМИ ТА ЗАВАНТАЖЕННЯ")</f>
        <v>ПРОГРАМИ ТА ЗАВАНТАЖЕННЯ</v>
      </c>
      <c r="BL188" s="7" t="str">
        <f>IFERROR(__xludf.DUMMYFUNCTION("GoogleTranslate(C188, ""en"", ""zu"")"),"IZINHLELO ZOKUSEBENZA NOKULANDIWA")</f>
        <v>IZINHLELO ZOKUSEBENZA NOKULANDIWA</v>
      </c>
    </row>
    <row r="189">
      <c r="A189" s="5" t="str">
        <f t="shared" si="1"/>
        <v>Iphone_App</v>
      </c>
      <c r="B189" s="6" t="s">
        <v>242</v>
      </c>
      <c r="C189" s="5" t="str">
        <f t="shared" si="2"/>
        <v>Iphone App</v>
      </c>
      <c r="D189" s="7" t="str">
        <f>IFERROR(__xludf.DUMMYFUNCTION("GoogleTranslate(C189, ""en"", ""es"")"),"Aplicación para iPhone")</f>
        <v>Aplicación para iPhone</v>
      </c>
      <c r="E189" s="7" t="str">
        <f>IFERROR(__xludf.DUMMYFUNCTION("GoogleTranslate(C189, ""en"", ""ar"")"),"تطبيق ايفون")</f>
        <v>تطبيق ايفون</v>
      </c>
      <c r="F189" s="7" t="str">
        <f>IFERROR(__xludf.DUMMYFUNCTION("GoogleTranslate(C189, ""en"", ""hy"")"),"Iphone հավելված")</f>
        <v>Iphone հավելված</v>
      </c>
      <c r="G189" s="7" t="str">
        <f>IFERROR(__xludf.DUMMYFUNCTION("GoogleTranslate(C189, ""en"", ""vi"")"),"Ứng dụng iPhone")</f>
        <v>Ứng dụng iPhone</v>
      </c>
      <c r="H189" s="7" t="str">
        <f>IFERROR(__xludf.DUMMYFUNCTION("GoogleTranslate(C189, ""en"", ""az"")"),"Iphone Proqramı")</f>
        <v>Iphone Proqramı</v>
      </c>
      <c r="I189" s="7" t="str">
        <f>IFERROR(__xludf.DUMMYFUNCTION("GoogleTranslate(C189, ""en"", ""eu"")"),"Iphone aplikazioa")</f>
        <v>Iphone aplikazioa</v>
      </c>
      <c r="J189" s="7" t="str">
        <f>IFERROR(__xludf.DUMMYFUNCTION("GoogleTranslate(C189, ""en"", ""be"")"),"Прыкладанне для iphone")</f>
        <v>Прыкладанне для iphone</v>
      </c>
      <c r="K189" s="7" t="str">
        <f>IFERROR(__xludf.DUMMYFUNCTION("GoogleTranslate(C189, ""en"", ""bn"")"),"আইফোন অ্যাপ")</f>
        <v>আইফোন অ্যাপ</v>
      </c>
      <c r="L189" s="7" t="str">
        <f>IFERROR(__xludf.DUMMYFUNCTION("GoogleTranslate(C189, ""en"", ""bg"")"),"Приложение за Iphone")</f>
        <v>Приложение за Iphone</v>
      </c>
      <c r="M189" s="7" t="str">
        <f>IFERROR(__xludf.DUMMYFUNCTION("GoogleTranslate(C189, ""en"", ""my"")"),"Iphone App ပါ။")</f>
        <v>Iphone App ပါ။</v>
      </c>
      <c r="N189" s="7" t="str">
        <f>IFERROR(__xludf.DUMMYFUNCTION("GoogleTranslate(C189, ""en"", ""ca"")"),"Aplicació Iphone")</f>
        <v>Aplicació Iphone</v>
      </c>
      <c r="O189" s="7" t="str">
        <f>IFERROR(__xludf.DUMMYFUNCTION("GoogleTranslate(C189, ""en"", ""zh-cn"")"),"苹果手机应用程序")</f>
        <v>苹果手机应用程序</v>
      </c>
      <c r="P189" s="7" t="str">
        <f>IFERROR(__xludf.DUMMYFUNCTION("GoogleTranslate(C189, ""en"", ""zh-TW"")"),"蘋果手機應用程式")</f>
        <v>蘋果手機應用程式</v>
      </c>
      <c r="Q189" s="7" t="str">
        <f>IFERROR(__xludf.DUMMYFUNCTION("GoogleTranslate(C189, ""en"", ""hr"")"),"Aplikacija za iPhone")</f>
        <v>Aplikacija za iPhone</v>
      </c>
      <c r="R189" s="7" t="str">
        <f>IFERROR(__xludf.DUMMYFUNCTION("GoogleTranslate(C189, ""en"", ""cs"")"),"Aplikace pro iPhone")</f>
        <v>Aplikace pro iPhone</v>
      </c>
      <c r="S189" s="7" t="str">
        <f>IFERROR(__xludf.DUMMYFUNCTION("GoogleTranslate(C189, ""en"", ""da"")"),"Iphone app")</f>
        <v>Iphone app</v>
      </c>
      <c r="T189" s="7" t="str">
        <f>IFERROR(__xludf.DUMMYFUNCTION("GoogleTranslate(C189, ""en"", ""nl"")"),"Iphone-app")</f>
        <v>Iphone-app</v>
      </c>
      <c r="U189" s="7" t="str">
        <f>IFERROR(__xludf.DUMMYFUNCTION("GoogleTranslate(C189, ""en"", ""et"")"),"iPhone'i rakendus")</f>
        <v>iPhone'i rakendus</v>
      </c>
      <c r="V189" s="5" t="str">
        <f t="shared" si="3"/>
        <v>Iphone App</v>
      </c>
      <c r="W189" s="7" t="str">
        <f>IFERROR(__xludf.DUMMYFUNCTION("GoogleTranslate(C189, ""en"", ""fi"")"),"Iphone-sovellus")</f>
        <v>Iphone-sovellus</v>
      </c>
      <c r="X189" s="7" t="str">
        <f>IFERROR(__xludf.DUMMYFUNCTION("GoogleTranslate(C189, ""en"", ""fr"")"),"Application iPhone")</f>
        <v>Application iPhone</v>
      </c>
      <c r="Y189" s="7" t="str">
        <f>IFERROR(__xludf.DUMMYFUNCTION("GoogleTranslate(C189, ""en"", ""de"")"),"iPhone-App")</f>
        <v>iPhone-App</v>
      </c>
      <c r="Z189" s="7" t="str">
        <f>IFERROR(__xludf.DUMMYFUNCTION("GoogleTranslate(C189, ""en"", ""el"")"),"Εφαρμογή Iphone")</f>
        <v>Εφαρμογή Iphone</v>
      </c>
      <c r="AA189" s="7" t="str">
        <f>IFERROR(__xludf.DUMMYFUNCTION("GoogleTranslate(C189, ""en"", ""iw"")"),"אפליקציית אייפון")</f>
        <v>אפליקציית אייפון</v>
      </c>
      <c r="AB189" s="7" t="str">
        <f>IFERROR(__xludf.DUMMYFUNCTION("GoogleTranslate(C189, ""en"", ""hi"")"),"आईफोन ऐप")</f>
        <v>आईफोन ऐप</v>
      </c>
      <c r="AC189" s="7" t="str">
        <f>IFERROR(__xludf.DUMMYFUNCTION("GoogleTranslate(C189, ""en"", ""hu"")"),"iPhone App")</f>
        <v>iPhone App</v>
      </c>
      <c r="AD189" s="7" t="str">
        <f>IFERROR(__xludf.DUMMYFUNCTION("GoogleTranslate(C189, ""en"", ""is"")"),"Iphone app")</f>
        <v>Iphone app</v>
      </c>
      <c r="AE189" s="7" t="str">
        <f>IFERROR(__xludf.DUMMYFUNCTION("GoogleTranslate(C189, ""en"", ""id"")"),"Aplikasi Iphone")</f>
        <v>Aplikasi Iphone</v>
      </c>
      <c r="AF189" s="7" t="str">
        <f>IFERROR(__xludf.DUMMYFUNCTION("GoogleTranslate(C189, ""en"", ""in"")"),"Aplikasi Iphone")</f>
        <v>Aplikasi Iphone</v>
      </c>
      <c r="AG189" s="7" t="str">
        <f>IFERROR(__xludf.DUMMYFUNCTION("GoogleTranslate(C189, ""en"", ""it"")"),"Applicazione per iPhone")</f>
        <v>Applicazione per iPhone</v>
      </c>
      <c r="AH189" s="7" t="str">
        <f>IFERROR(__xludf.DUMMYFUNCTION("GoogleTranslate(C189, ""en"", ""ja"")"),"iPhoneアプリ")</f>
        <v>iPhoneアプリ</v>
      </c>
      <c r="AI189" s="7" t="str">
        <f>IFERROR(__xludf.DUMMYFUNCTION("GoogleTranslate(C189, ""en"", ""kn"")"),"ಐಫೋನ್ ಅಪ್ಲಿಕೇಶನ್")</f>
        <v>ಐಫೋನ್ ಅಪ್ಲಿಕೇಶನ್</v>
      </c>
      <c r="AJ189" s="7" t="str">
        <f>IFERROR(__xludf.DUMMYFUNCTION("GoogleTranslate(C189, ""en"", ""km"")"),"កម្មវិធីទូរស័ព្ទ iPhone")</f>
        <v>កម្មវិធីទូរស័ព្ទ iPhone</v>
      </c>
      <c r="AK189" s="7" t="str">
        <f>IFERROR(__xludf.DUMMYFUNCTION("GoogleTranslate(C189, ""en"", ""ko"")"),"아이폰 앱")</f>
        <v>아이폰 앱</v>
      </c>
      <c r="AL189" s="7" t="str">
        <f>IFERROR(__xludf.DUMMYFUNCTION("GoogleTranslate(C189, ""en"", ""lo"")"),"ແອັບ iPhone")</f>
        <v>ແອັບ iPhone</v>
      </c>
      <c r="AM189" s="7" t="str">
        <f>IFERROR(__xludf.DUMMYFUNCTION("GoogleTranslate(C189, ""en"", ""lv"")"),"Iphone lietotne")</f>
        <v>Iphone lietotne</v>
      </c>
      <c r="AN189" s="7" t="str">
        <f>IFERROR(__xludf.DUMMYFUNCTION("GoogleTranslate(C189, ""en"", ""lt"")"),"„iPhone“ programa")</f>
        <v>„iPhone“ programa</v>
      </c>
      <c r="AO189" s="7" t="str">
        <f>IFERROR(__xludf.DUMMYFUNCTION("GoogleTranslate(C189, ""en"", ""mk"")"),"Апликација за iPhone")</f>
        <v>Апликација за iPhone</v>
      </c>
      <c r="AP189" s="7" t="str">
        <f>IFERROR(__xludf.DUMMYFUNCTION("GoogleTranslate(C189, ""en"", ""ms"")"),"Apl Iphone")</f>
        <v>Apl Iphone</v>
      </c>
      <c r="AQ189" s="7" t="str">
        <f>IFERROR(__xludf.DUMMYFUNCTION("GoogleTranslate(C189, ""en"", ""ml"")"),"ഐഫോൺ ആപ്പ്")</f>
        <v>ഐഫോൺ ആപ്പ്</v>
      </c>
      <c r="AR189" s="7" t="str">
        <f>IFERROR(__xludf.DUMMYFUNCTION("GoogleTranslate(C189, ""en"", ""mr"")"),"आयफोन ॲप")</f>
        <v>आयफोन ॲप</v>
      </c>
      <c r="AS189" s="7" t="str">
        <f>IFERROR(__xludf.DUMMYFUNCTION("GoogleTranslate(C189, ""en"", ""mn"")"),"Iphone програм")</f>
        <v>Iphone програм</v>
      </c>
      <c r="AT189" s="7" t="str">
        <f>IFERROR(__xludf.DUMMYFUNCTION("GoogleTranslate(C189, ""en"", ""ne"")"),"आईफोन एप")</f>
        <v>आईफोन एप</v>
      </c>
      <c r="AU189" s="7" t="str">
        <f>IFERROR(__xludf.DUMMYFUNCTION("GoogleTranslate(C189, ""en"", ""nb"")"),"Iphone app")</f>
        <v>Iphone app</v>
      </c>
      <c r="AV189" s="7" t="str">
        <f>IFERROR(__xludf.DUMMYFUNCTION("GoogleTranslate(C189, ""en"", ""fa"")"),"برنامه آیفون")</f>
        <v>برنامه آیفون</v>
      </c>
      <c r="AW189" s="7" t="str">
        <f>IFERROR(__xludf.DUMMYFUNCTION("GoogleTranslate(C189, ""en"", ""pl"")"),"Aplikacja na iPhone'a")</f>
        <v>Aplikacja na iPhone'a</v>
      </c>
      <c r="AX189" s="7" t="str">
        <f>IFERROR(__xludf.DUMMYFUNCTION("GoogleTranslate(C189, ""en"", ""pt"")"),"Aplicativo para iPhone")</f>
        <v>Aplicativo para iPhone</v>
      </c>
      <c r="AY189" s="7" t="str">
        <f>IFERROR(__xludf.DUMMYFUNCTION("GoogleTranslate(C189, ""en"", ""ro"")"),"Aplicația iPhone")</f>
        <v>Aplicația iPhone</v>
      </c>
      <c r="AZ189" s="7" t="str">
        <f>IFERROR(__xludf.DUMMYFUNCTION("GoogleTranslate(C189, ""en"", ""ru"")"),"приложение для айфона")</f>
        <v>приложение для айфона</v>
      </c>
      <c r="BA189" s="7" t="str">
        <f>IFERROR(__xludf.DUMMYFUNCTION("GoogleTranslate(C189, ""en"", ""sr"")"),"Апликација за иПхоне")</f>
        <v>Апликација за иПхоне</v>
      </c>
      <c r="BB189" s="7" t="str">
        <f>IFERROR(__xludf.DUMMYFUNCTION("GoogleTranslate(C189, ""en"", ""si"")"),"Iphone යෙදුම")</f>
        <v>Iphone යෙදුම</v>
      </c>
      <c r="BC189" s="7" t="str">
        <f>IFERROR(__xludf.DUMMYFUNCTION("GoogleTranslate(C189, ""en"", ""sk"")"),"Aplikácia pre iPhone")</f>
        <v>Aplikácia pre iPhone</v>
      </c>
      <c r="BD189" s="7" t="str">
        <f>IFERROR(__xludf.DUMMYFUNCTION("GoogleTranslate(C189, ""en"", ""sl"")"),"Aplikacija za iPhone")</f>
        <v>Aplikacija za iPhone</v>
      </c>
      <c r="BE189" s="7" t="str">
        <f>IFERROR(__xludf.DUMMYFUNCTION("GoogleTranslate(C189, ""en"", ""es"")"),"Aplicación para iPhone")</f>
        <v>Aplicación para iPhone</v>
      </c>
      <c r="BF189" s="7" t="str">
        <f>IFERROR(__xludf.DUMMYFUNCTION("GoogleTranslate(C189, ""en"", ""sw"")"),"Programu ya Iphone")</f>
        <v>Programu ya Iphone</v>
      </c>
      <c r="BG189" s="7" t="str">
        <f>IFERROR(__xludf.DUMMYFUNCTION("GoogleTranslate(C189, ""en"", ""sv"")"),"Iphone App")</f>
        <v>Iphone App</v>
      </c>
      <c r="BH189" s="7" t="str">
        <f>IFERROR(__xludf.DUMMYFUNCTION("GoogleTranslate(C189, ""en"", ""te"")"),"ఐఫోన్ యాప్")</f>
        <v>ఐఫోన్ యాప్</v>
      </c>
      <c r="BI189" s="7" t="str">
        <f>IFERROR(__xludf.DUMMYFUNCTION("GoogleTranslate(C189, ""en"", ""th"")"),"แอพไอโฟน")</f>
        <v>แอพไอโฟน</v>
      </c>
      <c r="BJ189" s="7" t="str">
        <f>IFERROR(__xludf.DUMMYFUNCTION("GoogleTranslate(C189, ""en"", ""tr"")"),"iPhone Uygulaması")</f>
        <v>iPhone Uygulaması</v>
      </c>
      <c r="BK189" s="7" t="str">
        <f>IFERROR(__xludf.DUMMYFUNCTION("GoogleTranslate(C189, ""en"", ""uk"")"),"Додаток для Iphone")</f>
        <v>Додаток для Iphone</v>
      </c>
      <c r="BL189" s="7" t="str">
        <f>IFERROR(__xludf.DUMMYFUNCTION("GoogleTranslate(C189, ""en"", ""zu"")"),"Iphone App")</f>
        <v>Iphone App</v>
      </c>
    </row>
    <row r="190">
      <c r="A190" s="5" t="str">
        <f t="shared" si="1"/>
        <v>Android_App</v>
      </c>
      <c r="B190" s="6" t="s">
        <v>243</v>
      </c>
      <c r="C190" s="5" t="str">
        <f t="shared" si="2"/>
        <v>Android App</v>
      </c>
      <c r="D190" s="7" t="str">
        <f>IFERROR(__xludf.DUMMYFUNCTION("GoogleTranslate(C190, ""en"", ""es"")"),"Aplicación de Android")</f>
        <v>Aplicación de Android</v>
      </c>
      <c r="E190" s="7" t="str">
        <f>IFERROR(__xludf.DUMMYFUNCTION("GoogleTranslate(C190, ""en"", ""ar"")"),"تطبيق أندرويد")</f>
        <v>تطبيق أندرويد</v>
      </c>
      <c r="F190" s="7" t="str">
        <f>IFERROR(__xludf.DUMMYFUNCTION("GoogleTranslate(C190, ""en"", ""hy"")"),"Android հավելված")</f>
        <v>Android հավելված</v>
      </c>
      <c r="G190" s="7" t="str">
        <f>IFERROR(__xludf.DUMMYFUNCTION("GoogleTranslate(C190, ""en"", ""vi"")"),"Ứng dụng Android")</f>
        <v>Ứng dụng Android</v>
      </c>
      <c r="H190" s="7" t="str">
        <f>IFERROR(__xludf.DUMMYFUNCTION("GoogleTranslate(C190, ""en"", ""az"")"),"Android Proqramı")</f>
        <v>Android Proqramı</v>
      </c>
      <c r="I190" s="7" t="str">
        <f>IFERROR(__xludf.DUMMYFUNCTION("GoogleTranslate(C190, ""en"", ""eu"")"),"Android aplikazioa")</f>
        <v>Android aplikazioa</v>
      </c>
      <c r="J190" s="7" t="str">
        <f>IFERROR(__xludf.DUMMYFUNCTION("GoogleTranslate(C190, ""en"", ""be"")"),"Прыкладанне для Android")</f>
        <v>Прыкладанне для Android</v>
      </c>
      <c r="K190" s="7" t="str">
        <f>IFERROR(__xludf.DUMMYFUNCTION("GoogleTranslate(C190, ""en"", ""bn"")"),"অ্যান্ড্রয়েড অ্যাপ")</f>
        <v>অ্যান্ড্রয়েড অ্যাপ</v>
      </c>
      <c r="L190" s="7" t="str">
        <f>IFERROR(__xludf.DUMMYFUNCTION("GoogleTranslate(C190, ""en"", ""bg"")"),"Приложение за Android")</f>
        <v>Приложение за Android</v>
      </c>
      <c r="M190" s="7" t="str">
        <f>IFERROR(__xludf.DUMMYFUNCTION("GoogleTranslate(C190, ""en"", ""my"")"),"Android အက်ပ်")</f>
        <v>Android အက်ပ်</v>
      </c>
      <c r="N190" s="7" t="str">
        <f>IFERROR(__xludf.DUMMYFUNCTION("GoogleTranslate(C190, ""en"", ""ca"")"),"Aplicació d'Android")</f>
        <v>Aplicació d'Android</v>
      </c>
      <c r="O190" s="7" t="str">
        <f>IFERROR(__xludf.DUMMYFUNCTION("GoogleTranslate(C190, ""en"", ""zh-cn"")"),"安卓应用程序")</f>
        <v>安卓应用程序</v>
      </c>
      <c r="P190" s="7" t="str">
        <f>IFERROR(__xludf.DUMMYFUNCTION("GoogleTranslate(C190, ""en"", ""zh-TW"")"),"安卓應用程式")</f>
        <v>安卓應用程式</v>
      </c>
      <c r="Q190" s="7" t="str">
        <f>IFERROR(__xludf.DUMMYFUNCTION("GoogleTranslate(C190, ""en"", ""hr"")"),"Android aplikacija")</f>
        <v>Android aplikacija</v>
      </c>
      <c r="R190" s="7" t="str">
        <f>IFERROR(__xludf.DUMMYFUNCTION("GoogleTranslate(C190, ""en"", ""cs"")"),"Aplikace pro Android")</f>
        <v>Aplikace pro Android</v>
      </c>
      <c r="S190" s="7" t="str">
        <f>IFERROR(__xludf.DUMMYFUNCTION("GoogleTranslate(C190, ""en"", ""da"")"),"Android app")</f>
        <v>Android app</v>
      </c>
      <c r="T190" s="7" t="str">
        <f>IFERROR(__xludf.DUMMYFUNCTION("GoogleTranslate(C190, ""en"", ""nl"")"),"Android-app")</f>
        <v>Android-app</v>
      </c>
      <c r="U190" s="7" t="str">
        <f>IFERROR(__xludf.DUMMYFUNCTION("GoogleTranslate(C190, ""en"", ""et"")"),"Androidi rakendus")</f>
        <v>Androidi rakendus</v>
      </c>
      <c r="V190" s="5" t="str">
        <f t="shared" si="3"/>
        <v>Android App</v>
      </c>
      <c r="W190" s="7" t="str">
        <f>IFERROR(__xludf.DUMMYFUNCTION("GoogleTranslate(C190, ""en"", ""fi"")"),"Android-sovellus")</f>
        <v>Android-sovellus</v>
      </c>
      <c r="X190" s="7" t="str">
        <f>IFERROR(__xludf.DUMMYFUNCTION("GoogleTranslate(C190, ""en"", ""fr"")"),"Application Android")</f>
        <v>Application Android</v>
      </c>
      <c r="Y190" s="7" t="str">
        <f>IFERROR(__xludf.DUMMYFUNCTION("GoogleTranslate(C190, ""en"", ""de"")"),"Android-App")</f>
        <v>Android-App</v>
      </c>
      <c r="Z190" s="7" t="str">
        <f>IFERROR(__xludf.DUMMYFUNCTION("GoogleTranslate(C190, ""en"", ""el"")"),"Εφαρμογή Android")</f>
        <v>Εφαρμογή Android</v>
      </c>
      <c r="AA190" s="7" t="str">
        <f>IFERROR(__xludf.DUMMYFUNCTION("GoogleTranslate(C190, ""en"", ""iw"")"),"אפליקציית אנדרואיד")</f>
        <v>אפליקציית אנדרואיד</v>
      </c>
      <c r="AB190" s="7" t="str">
        <f>IFERROR(__xludf.DUMMYFUNCTION("GoogleTranslate(C190, ""en"", ""hi"")"),"एंड्रॉइड ऐप")</f>
        <v>एंड्रॉइड ऐप</v>
      </c>
      <c r="AC190" s="7" t="str">
        <f>IFERROR(__xludf.DUMMYFUNCTION("GoogleTranslate(C190, ""en"", ""hu"")"),"Android App")</f>
        <v>Android App</v>
      </c>
      <c r="AD190" s="7" t="str">
        <f>IFERROR(__xludf.DUMMYFUNCTION("GoogleTranslate(C190, ""en"", ""is"")"),"Android app")</f>
        <v>Android app</v>
      </c>
      <c r="AE190" s="7" t="str">
        <f>IFERROR(__xludf.DUMMYFUNCTION("GoogleTranslate(C190, ""en"", ""id"")"),"Aplikasi Android")</f>
        <v>Aplikasi Android</v>
      </c>
      <c r="AF190" s="7" t="str">
        <f>IFERROR(__xludf.DUMMYFUNCTION("GoogleTranslate(C190, ""en"", ""in"")"),"Aplikasi Android")</f>
        <v>Aplikasi Android</v>
      </c>
      <c r="AG190" s="7" t="str">
        <f>IFERROR(__xludf.DUMMYFUNCTION("GoogleTranslate(C190, ""en"", ""it"")"),"Applicazione Android")</f>
        <v>Applicazione Android</v>
      </c>
      <c r="AH190" s="7" t="str">
        <f>IFERROR(__xludf.DUMMYFUNCTION("GoogleTranslate(C190, ""en"", ""ja"")"),"Androidアプリ")</f>
        <v>Androidアプリ</v>
      </c>
      <c r="AI190" s="7" t="str">
        <f>IFERROR(__xludf.DUMMYFUNCTION("GoogleTranslate(C190, ""en"", ""kn"")"),"Android ಅಪ್ಲಿಕೇಶನ್")</f>
        <v>Android ಅಪ್ಲಿಕೇಶನ್</v>
      </c>
      <c r="AJ190" s="7" t="str">
        <f>IFERROR(__xludf.DUMMYFUNCTION("GoogleTranslate(C190, ""en"", ""km"")"),"កម្មវិធី Android")</f>
        <v>កម្មវិធី Android</v>
      </c>
      <c r="AK190" s="7" t="str">
        <f>IFERROR(__xludf.DUMMYFUNCTION("GoogleTranslate(C190, ""en"", ""ko"")"),"안드로이드 앱")</f>
        <v>안드로이드 앱</v>
      </c>
      <c r="AL190" s="7" t="str">
        <f>IFERROR(__xludf.DUMMYFUNCTION("GoogleTranslate(C190, ""en"", ""lo"")"),"ແອັບ Android")</f>
        <v>ແອັບ Android</v>
      </c>
      <c r="AM190" s="7" t="str">
        <f>IFERROR(__xludf.DUMMYFUNCTION("GoogleTranslate(C190, ""en"", ""lv"")"),"Android lietotne")</f>
        <v>Android lietotne</v>
      </c>
      <c r="AN190" s="7" t="str">
        <f>IFERROR(__xludf.DUMMYFUNCTION("GoogleTranslate(C190, ""en"", ""lt"")"),"Android programa")</f>
        <v>Android programa</v>
      </c>
      <c r="AO190" s="7" t="str">
        <f>IFERROR(__xludf.DUMMYFUNCTION("GoogleTranslate(C190, ""en"", ""mk"")"),"Андроид апликација")</f>
        <v>Андроид апликација</v>
      </c>
      <c r="AP190" s="7" t="str">
        <f>IFERROR(__xludf.DUMMYFUNCTION("GoogleTranslate(C190, ""en"", ""ms"")"),"Apl Android")</f>
        <v>Apl Android</v>
      </c>
      <c r="AQ190" s="7" t="str">
        <f>IFERROR(__xludf.DUMMYFUNCTION("GoogleTranslate(C190, ""en"", ""ml"")"),"ആൻഡ്രോയിഡ് ആപ്പ്")</f>
        <v>ആൻഡ്രോയിഡ് ആപ്പ്</v>
      </c>
      <c r="AR190" s="7" t="str">
        <f>IFERROR(__xludf.DUMMYFUNCTION("GoogleTranslate(C190, ""en"", ""mr"")"),"Android ॲप")</f>
        <v>Android ॲप</v>
      </c>
      <c r="AS190" s="7" t="str">
        <f>IFERROR(__xludf.DUMMYFUNCTION("GoogleTranslate(C190, ""en"", ""mn"")"),"Android програм")</f>
        <v>Android програм</v>
      </c>
      <c r="AT190" s="7" t="str">
        <f>IFERROR(__xludf.DUMMYFUNCTION("GoogleTranslate(C190, ""en"", ""ne"")"),"एन्ड्रोइड एप")</f>
        <v>एन्ड्रोइड एप</v>
      </c>
      <c r="AU190" s="7" t="str">
        <f>IFERROR(__xludf.DUMMYFUNCTION("GoogleTranslate(C190, ""en"", ""nb"")"),"Android App")</f>
        <v>Android App</v>
      </c>
      <c r="AV190" s="7" t="str">
        <f>IFERROR(__xludf.DUMMYFUNCTION("GoogleTranslate(C190, ""en"", ""fa"")"),"برنامه اندروید")</f>
        <v>برنامه اندروید</v>
      </c>
      <c r="AW190" s="7" t="str">
        <f>IFERROR(__xludf.DUMMYFUNCTION("GoogleTranslate(C190, ""en"", ""pl"")"),"Aplikacja na Androida")</f>
        <v>Aplikacja na Androida</v>
      </c>
      <c r="AX190" s="7" t="str">
        <f>IFERROR(__xludf.DUMMYFUNCTION("GoogleTranslate(C190, ""en"", ""pt"")"),"Aplicativo Android")</f>
        <v>Aplicativo Android</v>
      </c>
      <c r="AY190" s="7" t="str">
        <f>IFERROR(__xludf.DUMMYFUNCTION("GoogleTranslate(C190, ""en"", ""ro"")"),"Aplicația Android")</f>
        <v>Aplicația Android</v>
      </c>
      <c r="AZ190" s="7" t="str">
        <f>IFERROR(__xludf.DUMMYFUNCTION("GoogleTranslate(C190, ""en"", ""ru"")"),"Android-приложение")</f>
        <v>Android-приложение</v>
      </c>
      <c r="BA190" s="7" t="str">
        <f>IFERROR(__xludf.DUMMYFUNCTION("GoogleTranslate(C190, ""en"", ""sr"")"),"Андроид апликација")</f>
        <v>Андроид апликација</v>
      </c>
      <c r="BB190" s="7" t="str">
        <f>IFERROR(__xludf.DUMMYFUNCTION("GoogleTranslate(C190, ""en"", ""si"")"),"Android යෙදුම")</f>
        <v>Android යෙදුම</v>
      </c>
      <c r="BC190" s="7" t="str">
        <f>IFERROR(__xludf.DUMMYFUNCTION("GoogleTranslate(C190, ""en"", ""sk"")"),"Aplikácia pre Android")</f>
        <v>Aplikácia pre Android</v>
      </c>
      <c r="BD190" s="7" t="str">
        <f>IFERROR(__xludf.DUMMYFUNCTION("GoogleTranslate(C190, ""en"", ""sl"")"),"Aplikacija za Android")</f>
        <v>Aplikacija za Android</v>
      </c>
      <c r="BE190" s="7" t="str">
        <f>IFERROR(__xludf.DUMMYFUNCTION("GoogleTranslate(C190, ""en"", ""es"")"),"Aplicación de Android")</f>
        <v>Aplicación de Android</v>
      </c>
      <c r="BF190" s="7" t="str">
        <f>IFERROR(__xludf.DUMMYFUNCTION("GoogleTranslate(C190, ""en"", ""sw"")"),"Programu ya Android")</f>
        <v>Programu ya Android</v>
      </c>
      <c r="BG190" s="7" t="str">
        <f>IFERROR(__xludf.DUMMYFUNCTION("GoogleTranslate(C190, ""en"", ""sv"")"),"Android App")</f>
        <v>Android App</v>
      </c>
      <c r="BH190" s="7" t="str">
        <f>IFERROR(__xludf.DUMMYFUNCTION("GoogleTranslate(C190, ""en"", ""te"")"),"ఆండ్రాయిడ్ యాప్")</f>
        <v>ఆండ్రాయిడ్ యాప్</v>
      </c>
      <c r="BI190" s="7" t="str">
        <f>IFERROR(__xludf.DUMMYFUNCTION("GoogleTranslate(C190, ""en"", ""th"")"),"แอพ Android")</f>
        <v>แอพ Android</v>
      </c>
      <c r="BJ190" s="7" t="str">
        <f>IFERROR(__xludf.DUMMYFUNCTION("GoogleTranslate(C190, ""en"", ""tr"")"),"Android Uygulaması")</f>
        <v>Android Uygulaması</v>
      </c>
      <c r="BK190" s="7" t="str">
        <f>IFERROR(__xludf.DUMMYFUNCTION("GoogleTranslate(C190, ""en"", ""uk"")"),"Додаток для Android")</f>
        <v>Додаток для Android</v>
      </c>
      <c r="BL190" s="7" t="str">
        <f>IFERROR(__xludf.DUMMYFUNCTION("GoogleTranslate(C190, ""en"", ""zu"")"),"Uhlelo lokusebenza lwe-Android")</f>
        <v>Uhlelo lokusebenza lwe-Android</v>
      </c>
    </row>
    <row r="191">
      <c r="A191" s="5" t="str">
        <f t="shared" si="1"/>
        <v>See_all_Apps_&amp;_Downloads</v>
      </c>
      <c r="B191" s="6" t="s">
        <v>244</v>
      </c>
      <c r="C191" s="5" t="str">
        <f t="shared" si="2"/>
        <v>See all Apps &amp; Downloads</v>
      </c>
      <c r="D191" s="7" t="str">
        <f>IFERROR(__xludf.DUMMYFUNCTION("GoogleTranslate(C191, ""en"", ""es"")"),"Ver todas las aplicaciones y descargas")</f>
        <v>Ver todas las aplicaciones y descargas</v>
      </c>
      <c r="E191" s="7" t="str">
        <f>IFERROR(__xludf.DUMMYFUNCTION("GoogleTranslate(C191, ""en"", ""ar"")"),"شاهد جميع التطبيقات والتنزيلات")</f>
        <v>شاهد جميع التطبيقات والتنزيلات</v>
      </c>
      <c r="F191" s="7" t="str">
        <f>IFERROR(__xludf.DUMMYFUNCTION("GoogleTranslate(C191, ""en"", ""hy"")"),"Դիտեք բոլոր հավելվածներն ու ներբեռնումները")</f>
        <v>Դիտեք բոլոր հավելվածներն ու ներբեռնումները</v>
      </c>
      <c r="G191" s="7" t="str">
        <f>IFERROR(__xludf.DUMMYFUNCTION("GoogleTranslate(C191, ""en"", ""vi"")"),"Xem tất cả Ứng dụng và nội dung tải xuống")</f>
        <v>Xem tất cả Ứng dụng và nội dung tải xuống</v>
      </c>
      <c r="H191" s="7" t="str">
        <f>IFERROR(__xludf.DUMMYFUNCTION("GoogleTranslate(C191, ""en"", ""az"")"),"Bütün Proqramlara və Yükləmələrə baxın")</f>
        <v>Bütün Proqramlara və Yükləmələrə baxın</v>
      </c>
      <c r="I191" s="7" t="str">
        <f>IFERROR(__xludf.DUMMYFUNCTION("GoogleTranslate(C191, ""en"", ""eu"")"),"Ikusi aplikazio eta deskarga guztiak")</f>
        <v>Ikusi aplikazio eta deskarga guztiak</v>
      </c>
      <c r="J191" s="7" t="str">
        <f>IFERROR(__xludf.DUMMYFUNCTION("GoogleTranslate(C191, ""en"", ""be"")"),"Глядзець усе праграмы і спампоўкі")</f>
        <v>Глядзець усе праграмы і спампоўкі</v>
      </c>
      <c r="K191" s="7" t="str">
        <f>IFERROR(__xludf.DUMMYFUNCTION("GoogleTranslate(C191, ""en"", ""bn"")"),"সমস্ত অ্যাপ এবং ডাউনলোড দেখুন")</f>
        <v>সমস্ত অ্যাপ এবং ডাউনলোড দেখুন</v>
      </c>
      <c r="L191" s="7" t="str">
        <f>IFERROR(__xludf.DUMMYFUNCTION("GoogleTranslate(C191, ""en"", ""bg"")"),"Вижте всички приложения и изтегляния")</f>
        <v>Вижте всички приложения и изтегляния</v>
      </c>
      <c r="M191" s="7" t="str">
        <f>IFERROR(__xludf.DUMMYFUNCTION("GoogleTranslate(C191, ""en"", ""my"")"),"အက်ပ်များနှင့် ဒေါင်းလုဒ်များအားလုံးကို ကြည့်ပါ။")</f>
        <v>အက်ပ်များနှင့် ဒေါင်းလုဒ်များအားလုံးကို ကြည့်ပါ။</v>
      </c>
      <c r="N191" s="7" t="str">
        <f>IFERROR(__xludf.DUMMYFUNCTION("GoogleTranslate(C191, ""en"", ""ca"")"),"Veure totes les aplicacions i descàrregues")</f>
        <v>Veure totes les aplicacions i descàrregues</v>
      </c>
      <c r="O191" s="7" t="str">
        <f>IFERROR(__xludf.DUMMYFUNCTION("GoogleTranslate(C191, ""en"", ""zh-cn"")"),"查看所有应用程序和下载")</f>
        <v>查看所有应用程序和下载</v>
      </c>
      <c r="P191" s="7" t="str">
        <f>IFERROR(__xludf.DUMMYFUNCTION("GoogleTranslate(C191, ""en"", ""zh-TW"")"),"查看所有應用程式和下載")</f>
        <v>查看所有應用程式和下載</v>
      </c>
      <c r="Q191" s="7" t="str">
        <f>IFERROR(__xludf.DUMMYFUNCTION("GoogleTranslate(C191, ""en"", ""hr"")"),"Pogledajte sve aplikacije i preuzimanja")</f>
        <v>Pogledajte sve aplikacije i preuzimanja</v>
      </c>
      <c r="R191" s="7" t="str">
        <f>IFERROR(__xludf.DUMMYFUNCTION("GoogleTranslate(C191, ""en"", ""cs"")"),"Zobrazit všechny aplikace a soubory ke stažení")</f>
        <v>Zobrazit všechny aplikace a soubory ke stažení</v>
      </c>
      <c r="S191" s="7" t="str">
        <f>IFERROR(__xludf.DUMMYFUNCTION("GoogleTranslate(C191, ""en"", ""da"")"),"Se alle apps og downloads")</f>
        <v>Se alle apps og downloads</v>
      </c>
      <c r="T191" s="7" t="str">
        <f>IFERROR(__xludf.DUMMYFUNCTION("GoogleTranslate(C191, ""en"", ""nl"")"),"Bekijk alle apps en downloads")</f>
        <v>Bekijk alle apps en downloads</v>
      </c>
      <c r="U191" s="7" t="str">
        <f>IFERROR(__xludf.DUMMYFUNCTION("GoogleTranslate(C191, ""en"", ""et"")"),"Vaadake kõiki rakendusi ja allalaadimisi")</f>
        <v>Vaadake kõiki rakendusi ja allalaadimisi</v>
      </c>
      <c r="V191" s="5" t="str">
        <f t="shared" si="3"/>
        <v>See all Apps &amp; Downloads</v>
      </c>
      <c r="W191" s="7" t="str">
        <f>IFERROR(__xludf.DUMMYFUNCTION("GoogleTranslate(C191, ""en"", ""fi"")"),"Katso kaikki sovellukset ja lataukset")</f>
        <v>Katso kaikki sovellukset ja lataukset</v>
      </c>
      <c r="X191" s="7" t="str">
        <f>IFERROR(__xludf.DUMMYFUNCTION("GoogleTranslate(C191, ""en"", ""fr"")"),"Voir toutes les applications et téléchargements")</f>
        <v>Voir toutes les applications et téléchargements</v>
      </c>
      <c r="Y191" s="7" t="str">
        <f>IFERROR(__xludf.DUMMYFUNCTION("GoogleTranslate(C191, ""en"", ""de"")"),"Alle Apps und Downloads anzeigen")</f>
        <v>Alle Apps und Downloads anzeigen</v>
      </c>
      <c r="Z191" s="7" t="str">
        <f>IFERROR(__xludf.DUMMYFUNCTION("GoogleTranslate(C191, ""en"", ""el"")"),"Δείτε όλες τις εφαρμογές και τις λήψεις")</f>
        <v>Δείτε όλες τις εφαρμογές και τις λήψεις</v>
      </c>
      <c r="AA191" s="7" t="str">
        <f>IFERROR(__xludf.DUMMYFUNCTION("GoogleTranslate(C191, ""en"", ""iw"")"),"ראה את כל האפליקציות וההורדות")</f>
        <v>ראה את כל האפליקציות וההורדות</v>
      </c>
      <c r="AB191" s="7" t="str">
        <f>IFERROR(__xludf.DUMMYFUNCTION("GoogleTranslate(C191, ""en"", ""hi"")"),"सभी ऐप्स और डाउनलोड देखें")</f>
        <v>सभी ऐप्स और डाउनलोड देखें</v>
      </c>
      <c r="AC191" s="7" t="str">
        <f>IFERROR(__xludf.DUMMYFUNCTION("GoogleTranslate(C191, ""en"", ""hu"")"),"Az összes alkalmazás és letöltés megtekintése")</f>
        <v>Az összes alkalmazás és letöltés megtekintése</v>
      </c>
      <c r="AD191" s="7" t="str">
        <f>IFERROR(__xludf.DUMMYFUNCTION("GoogleTranslate(C191, ""en"", ""is"")"),"Sjá öll forrit og niðurhal")</f>
        <v>Sjá öll forrit og niðurhal</v>
      </c>
      <c r="AE191" s="7" t="str">
        <f>IFERROR(__xludf.DUMMYFUNCTION("GoogleTranslate(C191, ""en"", ""id"")"),"Lihat semua Aplikasi &amp; Unduhan")</f>
        <v>Lihat semua Aplikasi &amp; Unduhan</v>
      </c>
      <c r="AF191" s="7" t="str">
        <f>IFERROR(__xludf.DUMMYFUNCTION("GoogleTranslate(C191, ""en"", ""in"")"),"Lihat semua Aplikasi &amp; Unduhan")</f>
        <v>Lihat semua Aplikasi &amp; Unduhan</v>
      </c>
      <c r="AG191" s="7" t="str">
        <f>IFERROR(__xludf.DUMMYFUNCTION("GoogleTranslate(C191, ""en"", ""it"")"),"Visualizza tutte le app e i download")</f>
        <v>Visualizza tutte le app e i download</v>
      </c>
      <c r="AH191" s="7" t="str">
        <f>IFERROR(__xludf.DUMMYFUNCTION("GoogleTranslate(C191, ""en"", ""ja"")"),"すべてのアプリとダウンロードを見る")</f>
        <v>すべてのアプリとダウンロードを見る</v>
      </c>
      <c r="AI191" s="7" t="str">
        <f>IFERROR(__xludf.DUMMYFUNCTION("GoogleTranslate(C191, ""en"", ""kn"")"),"ಎಲ್ಲಾ ಅಪ್ಲಿಕೇಶನ್‌ಗಳು ಮತ್ತು ಡೌನ್‌ಲೋಡ್‌ಗಳನ್ನು ನೋಡಿ")</f>
        <v>ಎಲ್ಲಾ ಅಪ್ಲಿಕೇಶನ್‌ಗಳು ಮತ್ತು ಡೌನ್‌ಲೋಡ್‌ಗಳನ್ನು ನೋಡಿ</v>
      </c>
      <c r="AJ191" s="7" t="str">
        <f>IFERROR(__xludf.DUMMYFUNCTION("GoogleTranslate(C191, ""en"", ""km"")"),"មើលកម្មវិធី និងការទាញយកទាំងអស់។")</f>
        <v>មើលកម្មវិធី និងការទាញយកទាំងអស់។</v>
      </c>
      <c r="AK191" s="7" t="str">
        <f>IFERROR(__xludf.DUMMYFUNCTION("GoogleTranslate(C191, ""en"", ""ko"")"),"모든 앱 및 다운로드 보기")</f>
        <v>모든 앱 및 다운로드 보기</v>
      </c>
      <c r="AL191" s="7" t="str">
        <f>IFERROR(__xludf.DUMMYFUNCTION("GoogleTranslate(C191, ""en"", ""lo"")"),"ເບິ່ງແອັບ ແລະ ດາວໂຫຼດທັງໝົດ")</f>
        <v>ເບິ່ງແອັບ ແລະ ດາວໂຫຼດທັງໝົດ</v>
      </c>
      <c r="AM191" s="7" t="str">
        <f>IFERROR(__xludf.DUMMYFUNCTION("GoogleTranslate(C191, ""en"", ""lv"")"),"Skatiet visas lietotnes un lejupielādes")</f>
        <v>Skatiet visas lietotnes un lejupielādes</v>
      </c>
      <c r="AN191" s="7" t="str">
        <f>IFERROR(__xludf.DUMMYFUNCTION("GoogleTranslate(C191, ""en"", ""lt"")"),"Peržiūrėkite visas programas ir atsisiuntimus")</f>
        <v>Peržiūrėkite visas programas ir atsisiuntimus</v>
      </c>
      <c r="AO191" s="7" t="str">
        <f>IFERROR(__xludf.DUMMYFUNCTION("GoogleTranslate(C191, ""en"", ""mk"")"),"Видете ги сите апликации и преземања")</f>
        <v>Видете ги сите апликации и преземања</v>
      </c>
      <c r="AP191" s="7" t="str">
        <f>IFERROR(__xludf.DUMMYFUNCTION("GoogleTranslate(C191, ""en"", ""ms"")"),"Lihat semua Apl &amp; Muat Turun")</f>
        <v>Lihat semua Apl &amp; Muat Turun</v>
      </c>
      <c r="AQ191" s="7" t="str">
        <f>IFERROR(__xludf.DUMMYFUNCTION("GoogleTranslate(C191, ""en"", ""ml"")"),"എല്ലാ ആപ്പുകളും ഡൗൺലോഡുകളും കാണുക")</f>
        <v>എല്ലാ ആപ്പുകളും ഡൗൺലോഡുകളും കാണുക</v>
      </c>
      <c r="AR191" s="7" t="str">
        <f>IFERROR(__xludf.DUMMYFUNCTION("GoogleTranslate(C191, ""en"", ""mr"")"),"सर्व ॲप्स आणि डाउनलोड पहा")</f>
        <v>सर्व ॲप्स आणि डाउनलोड पहा</v>
      </c>
      <c r="AS191" s="7" t="str">
        <f>IFERROR(__xludf.DUMMYFUNCTION("GoogleTranslate(C191, ""en"", ""mn"")"),"Бүх програм, таталтыг харна уу")</f>
        <v>Бүх програм, таталтыг харна уу</v>
      </c>
      <c r="AT191" s="7" t="str">
        <f>IFERROR(__xludf.DUMMYFUNCTION("GoogleTranslate(C191, ""en"", ""ne"")"),"सबै एप र डाउनलोडहरू हेर्नुहोस्")</f>
        <v>सबै एप र डाउनलोडहरू हेर्नुहोस्</v>
      </c>
      <c r="AU191" s="7" t="str">
        <f>IFERROR(__xludf.DUMMYFUNCTION("GoogleTranslate(C191, ""en"", ""nb"")"),"Se alle apper og nedlastinger")</f>
        <v>Se alle apper og nedlastinger</v>
      </c>
      <c r="AV191" s="7" t="str">
        <f>IFERROR(__xludf.DUMMYFUNCTION("GoogleTranslate(C191, ""en"", ""fa"")"),"مشاهده همه برنامه‌ها و دانلودها")</f>
        <v>مشاهده همه برنامه‌ها و دانلودها</v>
      </c>
      <c r="AW191" s="7" t="str">
        <f>IFERROR(__xludf.DUMMYFUNCTION("GoogleTranslate(C191, ""en"", ""pl"")"),"Zobacz wszystkie aplikacje i pliki do pobrania")</f>
        <v>Zobacz wszystkie aplikacje i pliki do pobrania</v>
      </c>
      <c r="AX191" s="7" t="str">
        <f>IFERROR(__xludf.DUMMYFUNCTION("GoogleTranslate(C191, ""en"", ""pt"")"),"Ver todos os aplicativos e downloads")</f>
        <v>Ver todos os aplicativos e downloads</v>
      </c>
      <c r="AY191" s="7" t="str">
        <f>IFERROR(__xludf.DUMMYFUNCTION("GoogleTranslate(C191, ""en"", ""ro"")"),"Vedeți toate aplicațiile și descărcările")</f>
        <v>Vedeți toate aplicațiile și descărcările</v>
      </c>
      <c r="AZ191" s="7" t="str">
        <f>IFERROR(__xludf.DUMMYFUNCTION("GoogleTranslate(C191, ""en"", ""ru"")"),"Просмотреть все приложения и загрузки")</f>
        <v>Просмотреть все приложения и загрузки</v>
      </c>
      <c r="BA191" s="7" t="str">
        <f>IFERROR(__xludf.DUMMYFUNCTION("GoogleTranslate(C191, ""en"", ""sr"")"),"Погледајте све апликације и преузимања")</f>
        <v>Погледајте све апликације и преузимања</v>
      </c>
      <c r="BB191" s="7" t="str">
        <f>IFERROR(__xludf.DUMMYFUNCTION("GoogleTranslate(C191, ""en"", ""si"")"),"සියලුම යෙදුම් සහ බාගැනීම් බලන්න")</f>
        <v>සියලුම යෙදුම් සහ බාගැනීම් බලන්න</v>
      </c>
      <c r="BC191" s="7" t="str">
        <f>IFERROR(__xludf.DUMMYFUNCTION("GoogleTranslate(C191, ""en"", ""sk"")"),"Zobraziť všetky aplikácie a stiahnuté súbory")</f>
        <v>Zobraziť všetky aplikácie a stiahnuté súbory</v>
      </c>
      <c r="BD191" s="7" t="str">
        <f>IFERROR(__xludf.DUMMYFUNCTION("GoogleTranslate(C191, ""en"", ""sl"")"),"Oglejte si vse aplikacije in prenose")</f>
        <v>Oglejte si vse aplikacije in prenose</v>
      </c>
      <c r="BE191" s="7" t="str">
        <f>IFERROR(__xludf.DUMMYFUNCTION("GoogleTranslate(C191, ""en"", ""es"")"),"Ver todas las aplicaciones y descargas")</f>
        <v>Ver todas las aplicaciones y descargas</v>
      </c>
      <c r="BF191" s="7" t="str">
        <f>IFERROR(__xludf.DUMMYFUNCTION("GoogleTranslate(C191, ""en"", ""sw"")"),"Tazama Programu na Vipakuliwa vyote")</f>
        <v>Tazama Programu na Vipakuliwa vyote</v>
      </c>
      <c r="BG191" s="7" t="str">
        <f>IFERROR(__xludf.DUMMYFUNCTION("GoogleTranslate(C191, ""en"", ""sv"")"),"Se alla appar och nedladdningar")</f>
        <v>Se alla appar och nedladdningar</v>
      </c>
      <c r="BH191" s="7" t="str">
        <f>IFERROR(__xludf.DUMMYFUNCTION("GoogleTranslate(C191, ""en"", ""te"")"),"అన్ని యాప్‌లు &amp; డౌన్‌లోడ్‌లను చూడండి")</f>
        <v>అన్ని యాప్‌లు &amp; డౌన్‌లోడ్‌లను చూడండి</v>
      </c>
      <c r="BI191" s="7" t="str">
        <f>IFERROR(__xludf.DUMMYFUNCTION("GoogleTranslate(C191, ""en"", ""th"")"),"ดูแอพและดาวน์โหลดทั้งหมด")</f>
        <v>ดูแอพและดาวน์โหลดทั้งหมด</v>
      </c>
      <c r="BJ191" s="7" t="str">
        <f>IFERROR(__xludf.DUMMYFUNCTION("GoogleTranslate(C191, ""en"", ""tr"")"),"Tüm Uygulamaları ve İndirilenleri görün")</f>
        <v>Tüm Uygulamaları ve İndirilenleri görün</v>
      </c>
      <c r="BK191" s="7" t="str">
        <f>IFERROR(__xludf.DUMMYFUNCTION("GoogleTranslate(C191, ""en"", ""uk"")"),"Переглянути всі додатки та завантаження")</f>
        <v>Переглянути всі додатки та завантаження</v>
      </c>
      <c r="BL191" s="7" t="str">
        <f>IFERROR(__xludf.DUMMYFUNCTION("GoogleTranslate(C191, ""en"", ""zu"")"),"Bona zonke izinhlelo zokusebenza nokulandiwe")</f>
        <v>Bona zonke izinhlelo zokusebenza nokulandiwe</v>
      </c>
    </row>
    <row r="192">
      <c r="A192" s="5" t="str">
        <f t="shared" si="1"/>
        <v>MORE</v>
      </c>
      <c r="B192" s="6" t="s">
        <v>245</v>
      </c>
      <c r="C192" s="5" t="str">
        <f t="shared" si="2"/>
        <v>MORE</v>
      </c>
      <c r="D192" s="7" t="str">
        <f>IFERROR(__xludf.DUMMYFUNCTION("GoogleTranslate(C192, ""en"", ""es"")"),"MÁS")</f>
        <v>MÁS</v>
      </c>
      <c r="E192" s="7" t="str">
        <f>IFERROR(__xludf.DUMMYFUNCTION("GoogleTranslate(C192, ""en"", ""ar"")"),"أكثر")</f>
        <v>أكثر</v>
      </c>
      <c r="F192" s="7" t="str">
        <f>IFERROR(__xludf.DUMMYFUNCTION("GoogleTranslate(C192, ""en"", ""hy"")"),"ԱՎԵԼԻՆ")</f>
        <v>ԱՎԵԼԻՆ</v>
      </c>
      <c r="G192" s="7" t="str">
        <f>IFERROR(__xludf.DUMMYFUNCTION("GoogleTranslate(C192, ""en"", ""vi"")"),"HƠN")</f>
        <v>HƠN</v>
      </c>
      <c r="H192" s="7" t="str">
        <f>IFERROR(__xludf.DUMMYFUNCTION("GoogleTranslate(C192, ""en"", ""az"")"),"DAHA ÇOX")</f>
        <v>DAHA ÇOX</v>
      </c>
      <c r="I192" s="7" t="str">
        <f>IFERROR(__xludf.DUMMYFUNCTION("GoogleTranslate(C192, ""en"", ""eu"")"),"GEHIAGO")</f>
        <v>GEHIAGO</v>
      </c>
      <c r="J192" s="7" t="str">
        <f>IFERROR(__xludf.DUMMYFUNCTION("GoogleTranslate(C192, ""en"", ""be"")"),"БОЛЬШ")</f>
        <v>БОЛЬШ</v>
      </c>
      <c r="K192" s="7" t="str">
        <f>IFERROR(__xludf.DUMMYFUNCTION("GoogleTranslate(C192, ""en"", ""bn"")"),"আরও")</f>
        <v>আরও</v>
      </c>
      <c r="L192" s="7" t="str">
        <f>IFERROR(__xludf.DUMMYFUNCTION("GoogleTranslate(C192, ""en"", ""bg"")"),"ПОВЕЧЕ")</f>
        <v>ПОВЕЧЕ</v>
      </c>
      <c r="M192" s="7" t="str">
        <f>IFERROR(__xludf.DUMMYFUNCTION("GoogleTranslate(C192, ""en"", ""my"")"),"နောက်ထပ်")</f>
        <v>နောက်ထပ်</v>
      </c>
      <c r="N192" s="7" t="str">
        <f>IFERROR(__xludf.DUMMYFUNCTION("GoogleTranslate(C192, ""en"", ""ca"")"),"MÉS")</f>
        <v>MÉS</v>
      </c>
      <c r="O192" s="7" t="str">
        <f>IFERROR(__xludf.DUMMYFUNCTION("GoogleTranslate(C192, ""en"", ""zh-cn"")"),"更多的")</f>
        <v>更多的</v>
      </c>
      <c r="P192" s="7" t="str">
        <f>IFERROR(__xludf.DUMMYFUNCTION("GoogleTranslate(C192, ""en"", ""zh-TW"")"),"更多的")</f>
        <v>更多的</v>
      </c>
      <c r="Q192" s="7" t="str">
        <f>IFERROR(__xludf.DUMMYFUNCTION("GoogleTranslate(C192, ""en"", ""hr"")"),"VIŠE")</f>
        <v>VIŠE</v>
      </c>
      <c r="R192" s="7" t="str">
        <f>IFERROR(__xludf.DUMMYFUNCTION("GoogleTranslate(C192, ""en"", ""cs"")"),"VÍCE")</f>
        <v>VÍCE</v>
      </c>
      <c r="S192" s="7" t="str">
        <f>IFERROR(__xludf.DUMMYFUNCTION("GoogleTranslate(C192, ""en"", ""da"")"),"MERE")</f>
        <v>MERE</v>
      </c>
      <c r="T192" s="7" t="str">
        <f>IFERROR(__xludf.DUMMYFUNCTION("GoogleTranslate(C192, ""en"", ""nl"")"),"MEER")</f>
        <v>MEER</v>
      </c>
      <c r="U192" s="7" t="str">
        <f>IFERROR(__xludf.DUMMYFUNCTION("GoogleTranslate(C192, ""en"", ""et"")"),"VEEL")</f>
        <v>VEEL</v>
      </c>
      <c r="V192" s="5" t="str">
        <f t="shared" si="3"/>
        <v>MORE</v>
      </c>
      <c r="W192" s="7" t="str">
        <f>IFERROR(__xludf.DUMMYFUNCTION("GoogleTranslate(C192, ""en"", ""fi"")"),"LISÄÄ")</f>
        <v>LISÄÄ</v>
      </c>
      <c r="X192" s="7" t="str">
        <f>IFERROR(__xludf.DUMMYFUNCTION("GoogleTranslate(C192, ""en"", ""fr"")"),"PLUS")</f>
        <v>PLUS</v>
      </c>
      <c r="Y192" s="7" t="str">
        <f>IFERROR(__xludf.DUMMYFUNCTION("GoogleTranslate(C192, ""en"", ""de"")"),"MEHR")</f>
        <v>MEHR</v>
      </c>
      <c r="Z192" s="7" t="str">
        <f>IFERROR(__xludf.DUMMYFUNCTION("GoogleTranslate(C192, ""en"", ""el"")"),"ΠΕΡΙΣΣΟΤΕΡΟ")</f>
        <v>ΠΕΡΙΣΣΟΤΕΡΟ</v>
      </c>
      <c r="AA192" s="7" t="str">
        <f>IFERROR(__xludf.DUMMYFUNCTION("GoogleTranslate(C192, ""en"", ""iw"")"),"יוֹתֵר")</f>
        <v>יוֹתֵר</v>
      </c>
      <c r="AB192" s="7" t="str">
        <f>IFERROR(__xludf.DUMMYFUNCTION("GoogleTranslate(C192, ""en"", ""hi"")"),"अधिक")</f>
        <v>अधिक</v>
      </c>
      <c r="AC192" s="7" t="str">
        <f>IFERROR(__xludf.DUMMYFUNCTION("GoogleTranslate(C192, ""en"", ""hu"")"),"TÖBB")</f>
        <v>TÖBB</v>
      </c>
      <c r="AD192" s="7" t="str">
        <f>IFERROR(__xludf.DUMMYFUNCTION("GoogleTranslate(C192, ""en"", ""is"")"),"MEIRA")</f>
        <v>MEIRA</v>
      </c>
      <c r="AE192" s="7" t="str">
        <f>IFERROR(__xludf.DUMMYFUNCTION("GoogleTranslate(C192, ""en"", ""id"")"),"LAGI")</f>
        <v>LAGI</v>
      </c>
      <c r="AF192" s="7" t="str">
        <f>IFERROR(__xludf.DUMMYFUNCTION("GoogleTranslate(C192, ""en"", ""in"")"),"LAGI")</f>
        <v>LAGI</v>
      </c>
      <c r="AG192" s="7" t="str">
        <f>IFERROR(__xludf.DUMMYFUNCTION("GoogleTranslate(C192, ""en"", ""it"")"),"DI PIÙ")</f>
        <v>DI PIÙ</v>
      </c>
      <c r="AH192" s="7" t="str">
        <f>IFERROR(__xludf.DUMMYFUNCTION("GoogleTranslate(C192, ""en"", ""ja"")"),"もっと")</f>
        <v>もっと</v>
      </c>
      <c r="AI192" s="7" t="str">
        <f>IFERROR(__xludf.DUMMYFUNCTION("GoogleTranslate(C192, ""en"", ""kn"")"),"ಇನ್ನಷ್ಟು")</f>
        <v>ಇನ್ನಷ್ಟು</v>
      </c>
      <c r="AJ192" s="7" t="str">
        <f>IFERROR(__xludf.DUMMYFUNCTION("GoogleTranslate(C192, ""en"", ""km"")"),"ច្រើនទៀត")</f>
        <v>ច្រើនទៀត</v>
      </c>
      <c r="AK192" s="7" t="str">
        <f>IFERROR(__xludf.DUMMYFUNCTION("GoogleTranslate(C192, ""en"", ""ko"")"),"더")</f>
        <v>더</v>
      </c>
      <c r="AL192" s="7" t="str">
        <f>IFERROR(__xludf.DUMMYFUNCTION("GoogleTranslate(C192, ""en"", ""lo"")"),"ເພີ່ມເຕີມ")</f>
        <v>ເພີ່ມເຕີມ</v>
      </c>
      <c r="AM192" s="7" t="str">
        <f>IFERROR(__xludf.DUMMYFUNCTION("GoogleTranslate(C192, ""en"", ""lv"")"),"VAIRĀK")</f>
        <v>VAIRĀK</v>
      </c>
      <c r="AN192" s="7" t="str">
        <f>IFERROR(__xludf.DUMMYFUNCTION("GoogleTranslate(C192, ""en"", ""lt"")"),"DAUGIAU")</f>
        <v>DAUGIAU</v>
      </c>
      <c r="AO192" s="7" t="str">
        <f>IFERROR(__xludf.DUMMYFUNCTION("GoogleTranslate(C192, ""en"", ""mk"")"),"ПОВЕЌЕ")</f>
        <v>ПОВЕЌЕ</v>
      </c>
      <c r="AP192" s="7" t="str">
        <f>IFERROR(__xludf.DUMMYFUNCTION("GoogleTranslate(C192, ""en"", ""ms"")"),"LAGI")</f>
        <v>LAGI</v>
      </c>
      <c r="AQ192" s="7" t="str">
        <f>IFERROR(__xludf.DUMMYFUNCTION("GoogleTranslate(C192, ""en"", ""ml"")"),"കൂടുതൽ")</f>
        <v>കൂടുതൽ</v>
      </c>
      <c r="AR192" s="7" t="str">
        <f>IFERROR(__xludf.DUMMYFUNCTION("GoogleTranslate(C192, ""en"", ""mr"")"),"अधिक")</f>
        <v>अधिक</v>
      </c>
      <c r="AS192" s="7" t="str">
        <f>IFERROR(__xludf.DUMMYFUNCTION("GoogleTranslate(C192, ""en"", ""mn"")"),"ИЛҮҮ")</f>
        <v>ИЛҮҮ</v>
      </c>
      <c r="AT192" s="7" t="str">
        <f>IFERROR(__xludf.DUMMYFUNCTION("GoogleTranslate(C192, ""en"", ""ne"")"),"थप")</f>
        <v>थप</v>
      </c>
      <c r="AU192" s="7" t="str">
        <f>IFERROR(__xludf.DUMMYFUNCTION("GoogleTranslate(C192, ""en"", ""nb"")"),"FLERE")</f>
        <v>FLERE</v>
      </c>
      <c r="AV192" s="7" t="str">
        <f>IFERROR(__xludf.DUMMYFUNCTION("GoogleTranslate(C192, ""en"", ""fa"")"),"بیشتر")</f>
        <v>بیشتر</v>
      </c>
      <c r="AW192" s="7" t="str">
        <f>IFERROR(__xludf.DUMMYFUNCTION("GoogleTranslate(C192, ""en"", ""pl"")"),"WIĘCEJ")</f>
        <v>WIĘCEJ</v>
      </c>
      <c r="AX192" s="7" t="str">
        <f>IFERROR(__xludf.DUMMYFUNCTION("GoogleTranslate(C192, ""en"", ""pt"")"),"MAIS")</f>
        <v>MAIS</v>
      </c>
      <c r="AY192" s="7" t="str">
        <f>IFERROR(__xludf.DUMMYFUNCTION("GoogleTranslate(C192, ""en"", ""ro"")"),"MAI MULT")</f>
        <v>MAI MULT</v>
      </c>
      <c r="AZ192" s="7" t="str">
        <f>IFERROR(__xludf.DUMMYFUNCTION("GoogleTranslate(C192, ""en"", ""ru"")"),"БОЛЕЕ")</f>
        <v>БОЛЕЕ</v>
      </c>
      <c r="BA192" s="7" t="str">
        <f>IFERROR(__xludf.DUMMYFUNCTION("GoogleTranslate(C192, ""en"", ""sr"")"),"ВИШЕ")</f>
        <v>ВИШЕ</v>
      </c>
      <c r="BB192" s="7" t="str">
        <f>IFERROR(__xludf.DUMMYFUNCTION("GoogleTranslate(C192, ""en"", ""si"")"),"තව")</f>
        <v>තව</v>
      </c>
      <c r="BC192" s="7" t="str">
        <f>IFERROR(__xludf.DUMMYFUNCTION("GoogleTranslate(C192, ""en"", ""sk"")"),"VIAC")</f>
        <v>VIAC</v>
      </c>
      <c r="BD192" s="7" t="str">
        <f>IFERROR(__xludf.DUMMYFUNCTION("GoogleTranslate(C192, ""en"", ""sl"")"),"VEČ")</f>
        <v>VEČ</v>
      </c>
      <c r="BE192" s="7" t="str">
        <f>IFERROR(__xludf.DUMMYFUNCTION("GoogleTranslate(C192, ""en"", ""es"")"),"MÁS")</f>
        <v>MÁS</v>
      </c>
      <c r="BF192" s="7" t="str">
        <f>IFERROR(__xludf.DUMMYFUNCTION("GoogleTranslate(C192, ""en"", ""sw"")"),"ZAIDI")</f>
        <v>ZAIDI</v>
      </c>
      <c r="BG192" s="7" t="str">
        <f>IFERROR(__xludf.DUMMYFUNCTION("GoogleTranslate(C192, ""en"", ""sv"")"),"MER")</f>
        <v>MER</v>
      </c>
      <c r="BH192" s="7" t="str">
        <f>IFERROR(__xludf.DUMMYFUNCTION("GoogleTranslate(C192, ""en"", ""te"")"),"మరిన్ని")</f>
        <v>మరిన్ని</v>
      </c>
      <c r="BI192" s="7" t="str">
        <f>IFERROR(__xludf.DUMMYFUNCTION("GoogleTranslate(C192, ""en"", ""th"")"),"มากกว่า")</f>
        <v>มากกว่า</v>
      </c>
      <c r="BJ192" s="7" t="str">
        <f>IFERROR(__xludf.DUMMYFUNCTION("GoogleTranslate(C192, ""en"", ""tr"")"),"DAHA")</f>
        <v>DAHA</v>
      </c>
      <c r="BK192" s="7" t="str">
        <f>IFERROR(__xludf.DUMMYFUNCTION("GoogleTranslate(C192, ""en"", ""uk"")"),"БІЛЬШЕ")</f>
        <v>БІЛЬШЕ</v>
      </c>
      <c r="BL192" s="7" t="str">
        <f>IFERROR(__xludf.DUMMYFUNCTION("GoogleTranslate(C192, ""en"", ""zu"")"),"OKUNINGI")</f>
        <v>OKUNINGI</v>
      </c>
    </row>
    <row r="193">
      <c r="A193" s="5" t="str">
        <f t="shared" si="1"/>
        <v>Severe_Weather</v>
      </c>
      <c r="B193" s="6" t="s">
        <v>246</v>
      </c>
      <c r="C193" s="5" t="str">
        <f t="shared" si="2"/>
        <v>Severe Weather</v>
      </c>
      <c r="D193" s="7" t="str">
        <f>IFERROR(__xludf.DUMMYFUNCTION("GoogleTranslate(C193, ""en"", ""es"")"),"Clima severo")</f>
        <v>Clima severo</v>
      </c>
      <c r="E193" s="7" t="str">
        <f>IFERROR(__xludf.DUMMYFUNCTION("GoogleTranslate(C193, ""en"", ""ar"")"),"الطقس القاسي")</f>
        <v>الطقس القاسي</v>
      </c>
      <c r="F193" s="7" t="str">
        <f>IFERROR(__xludf.DUMMYFUNCTION("GoogleTranslate(C193, ""en"", ""hy"")"),"Ծանր եղանակ")</f>
        <v>Ծանր եղանակ</v>
      </c>
      <c r="G193" s="7" t="str">
        <f>IFERROR(__xludf.DUMMYFUNCTION("GoogleTranslate(C193, ""en"", ""vi"")"),"Thời tiết khắc nghiệt")</f>
        <v>Thời tiết khắc nghiệt</v>
      </c>
      <c r="H193" s="7" t="str">
        <f>IFERROR(__xludf.DUMMYFUNCTION("GoogleTranslate(C193, ""en"", ""az"")"),"Şiddətli Hava")</f>
        <v>Şiddətli Hava</v>
      </c>
      <c r="I193" s="7" t="str">
        <f>IFERROR(__xludf.DUMMYFUNCTION("GoogleTranslate(C193, ""en"", ""eu"")"),"Eguraldi gogorra")</f>
        <v>Eguraldi gogorra</v>
      </c>
      <c r="J193" s="7" t="str">
        <f>IFERROR(__xludf.DUMMYFUNCTION("GoogleTranslate(C193, ""en"", ""be"")"),"Суровае надвор'е")</f>
        <v>Суровае надвор'е</v>
      </c>
      <c r="K193" s="7" t="str">
        <f>IFERROR(__xludf.DUMMYFUNCTION("GoogleTranslate(C193, ""en"", ""bn"")"),"তীব্র আবহাওয়া")</f>
        <v>তীব্র আবহাওয়া</v>
      </c>
      <c r="L193" s="7" t="str">
        <f>IFERROR(__xludf.DUMMYFUNCTION("GoogleTranslate(C193, ""en"", ""bg"")"),"Лошо време")</f>
        <v>Лошо време</v>
      </c>
      <c r="M193" s="7" t="str">
        <f>IFERROR(__xludf.DUMMYFUNCTION("GoogleTranslate(C193, ""en"", ""my"")"),"ပြင်းထန်သောရာသီဥတု")</f>
        <v>ပြင်းထန်သောရာသီဥတု</v>
      </c>
      <c r="N193" s="7" t="str">
        <f>IFERROR(__xludf.DUMMYFUNCTION("GoogleTranslate(C193, ""en"", ""ca"")"),"Temps Sever")</f>
        <v>Temps Sever</v>
      </c>
      <c r="O193" s="7" t="str">
        <f>IFERROR(__xludf.DUMMYFUNCTION("GoogleTranslate(C193, ""en"", ""zh-cn"")"),"恶劣天气")</f>
        <v>恶劣天气</v>
      </c>
      <c r="P193" s="7" t="str">
        <f>IFERROR(__xludf.DUMMYFUNCTION("GoogleTranslate(C193, ""en"", ""zh-TW"")"),"惡劣天氣")</f>
        <v>惡劣天氣</v>
      </c>
      <c r="Q193" s="7" t="str">
        <f>IFERROR(__xludf.DUMMYFUNCTION("GoogleTranslate(C193, ""en"", ""hr"")"),"Nevrijeme")</f>
        <v>Nevrijeme</v>
      </c>
      <c r="R193" s="7" t="str">
        <f>IFERROR(__xludf.DUMMYFUNCTION("GoogleTranslate(C193, ""en"", ""cs"")"),"Drsné počasí")</f>
        <v>Drsné počasí</v>
      </c>
      <c r="S193" s="7" t="str">
        <f>IFERROR(__xludf.DUMMYFUNCTION("GoogleTranslate(C193, ""en"", ""da"")"),"Svært vejr")</f>
        <v>Svært vejr</v>
      </c>
      <c r="T193" s="7" t="str">
        <f>IFERROR(__xludf.DUMMYFUNCTION("GoogleTranslate(C193, ""en"", ""nl"")"),"Zwaar weer")</f>
        <v>Zwaar weer</v>
      </c>
      <c r="U193" s="7" t="str">
        <f>IFERROR(__xludf.DUMMYFUNCTION("GoogleTranslate(C193, ""en"", ""et"")"),"Raske ilm")</f>
        <v>Raske ilm</v>
      </c>
      <c r="V193" s="5" t="str">
        <f t="shared" si="3"/>
        <v>Severe Weather</v>
      </c>
      <c r="W193" s="7" t="str">
        <f>IFERROR(__xludf.DUMMYFUNCTION("GoogleTranslate(C193, ""en"", ""fi"")"),"Ankara sää")</f>
        <v>Ankara sää</v>
      </c>
      <c r="X193" s="7" t="str">
        <f>IFERROR(__xludf.DUMMYFUNCTION("GoogleTranslate(C193, ""en"", ""fr"")"),"Temps violent")</f>
        <v>Temps violent</v>
      </c>
      <c r="Y193" s="7" t="str">
        <f>IFERROR(__xludf.DUMMYFUNCTION("GoogleTranslate(C193, ""en"", ""de"")"),"Unwetter")</f>
        <v>Unwetter</v>
      </c>
      <c r="Z193" s="7" t="str">
        <f>IFERROR(__xludf.DUMMYFUNCTION("GoogleTranslate(C193, ""en"", ""el"")"),"Δριμιές καιρικές συνθήκες")</f>
        <v>Δριμιές καιρικές συνθήκες</v>
      </c>
      <c r="AA193" s="7" t="str">
        <f>IFERROR(__xludf.DUMMYFUNCTION("GoogleTranslate(C193, ""en"", ""iw"")"),"מזג אוויר קשה")</f>
        <v>מזג אוויר קשה</v>
      </c>
      <c r="AB193" s="7" t="str">
        <f>IFERROR(__xludf.DUMMYFUNCTION("GoogleTranslate(C193, ""en"", ""hi"")"),"गंभीर मौसम")</f>
        <v>गंभीर मौसम</v>
      </c>
      <c r="AC193" s="7" t="str">
        <f>IFERROR(__xludf.DUMMYFUNCTION("GoogleTranslate(C193, ""en"", ""hu"")"),"Súlyos időjárás")</f>
        <v>Súlyos időjárás</v>
      </c>
      <c r="AD193" s="7" t="str">
        <f>IFERROR(__xludf.DUMMYFUNCTION("GoogleTranslate(C193, ""en"", ""is"")"),"Alvarlegt veður")</f>
        <v>Alvarlegt veður</v>
      </c>
      <c r="AE193" s="7" t="str">
        <f>IFERROR(__xludf.DUMMYFUNCTION("GoogleTranslate(C193, ""en"", ""id"")"),"Cuaca Buruk")</f>
        <v>Cuaca Buruk</v>
      </c>
      <c r="AF193" s="7" t="str">
        <f>IFERROR(__xludf.DUMMYFUNCTION("GoogleTranslate(C193, ""en"", ""in"")"),"Cuaca Buruk")</f>
        <v>Cuaca Buruk</v>
      </c>
      <c r="AG193" s="7" t="str">
        <f>IFERROR(__xludf.DUMMYFUNCTION("GoogleTranslate(C193, ""en"", ""it"")"),"Meteo grave")</f>
        <v>Meteo grave</v>
      </c>
      <c r="AH193" s="7" t="str">
        <f>IFERROR(__xludf.DUMMYFUNCTION("GoogleTranslate(C193, ""en"", ""ja"")"),"悪天候")</f>
        <v>悪天候</v>
      </c>
      <c r="AI193" s="7" t="str">
        <f>IFERROR(__xludf.DUMMYFUNCTION("GoogleTranslate(C193, ""en"", ""kn"")"),"ತೀವ್ರ ಹವಾಮಾನ")</f>
        <v>ತೀವ್ರ ಹವಾಮಾನ</v>
      </c>
      <c r="AJ193" s="7" t="str">
        <f>IFERROR(__xludf.DUMMYFUNCTION("GoogleTranslate(C193, ""en"", ""km"")"),"អាកាសធាតុធ្ងន់ធ្ងរ")</f>
        <v>អាកាសធាតុធ្ងន់ធ្ងរ</v>
      </c>
      <c r="AK193" s="7" t="str">
        <f>IFERROR(__xludf.DUMMYFUNCTION("GoogleTranslate(C193, ""en"", ""ko"")"),"악천후")</f>
        <v>악천후</v>
      </c>
      <c r="AL193" s="7" t="str">
        <f>IFERROR(__xludf.DUMMYFUNCTION("GoogleTranslate(C193, ""en"", ""lo"")"),"ສະພາບອາກາດຮ້າຍແຮງ")</f>
        <v>ສະພາບອາກາດຮ້າຍແຮງ</v>
      </c>
      <c r="AM193" s="7" t="str">
        <f>IFERROR(__xludf.DUMMYFUNCTION("GoogleTranslate(C193, ""en"", ""lv"")"),"Smags laiks")</f>
        <v>Smags laiks</v>
      </c>
      <c r="AN193" s="7" t="str">
        <f>IFERROR(__xludf.DUMMYFUNCTION("GoogleTranslate(C193, ""en"", ""lt"")"),"Atšiaurus oras")</f>
        <v>Atšiaurus oras</v>
      </c>
      <c r="AO193" s="7" t="str">
        <f>IFERROR(__xludf.DUMMYFUNCTION("GoogleTranslate(C193, ""en"", ""mk"")"),"Тешко време")</f>
        <v>Тешко време</v>
      </c>
      <c r="AP193" s="7" t="str">
        <f>IFERROR(__xludf.DUMMYFUNCTION("GoogleTranslate(C193, ""en"", ""ms"")"),"Cuaca Teruk")</f>
        <v>Cuaca Teruk</v>
      </c>
      <c r="AQ193" s="7" t="str">
        <f>IFERROR(__xludf.DUMMYFUNCTION("GoogleTranslate(C193, ""en"", ""ml"")"),"കഠിനമായ കാലാവസ്ഥ")</f>
        <v>കഠിനമായ കാലാവസ്ഥ</v>
      </c>
      <c r="AR193" s="7" t="str">
        <f>IFERROR(__xludf.DUMMYFUNCTION("GoogleTranslate(C193, ""en"", ""mr"")"),"तीव्र हवामान")</f>
        <v>तीव्र हवामान</v>
      </c>
      <c r="AS193" s="7" t="str">
        <f>IFERROR(__xludf.DUMMYFUNCTION("GoogleTranslate(C193, ""en"", ""mn"")"),"Хүнд цаг агаар")</f>
        <v>Хүнд цаг агаар</v>
      </c>
      <c r="AT193" s="7" t="str">
        <f>IFERROR(__xludf.DUMMYFUNCTION("GoogleTranslate(C193, ""en"", ""ne"")"),"गम्भीर मौसम")</f>
        <v>गम्भीर मौसम</v>
      </c>
      <c r="AU193" s="7" t="str">
        <f>IFERROR(__xludf.DUMMYFUNCTION("GoogleTranslate(C193, ""en"", ""nb"")"),"Alvorlig vær")</f>
        <v>Alvorlig vær</v>
      </c>
      <c r="AV193" s="7" t="str">
        <f>IFERROR(__xludf.DUMMYFUNCTION("GoogleTranslate(C193, ""en"", ""fa"")"),"آب و هوای سخت")</f>
        <v>آب و هوای سخت</v>
      </c>
      <c r="AW193" s="7" t="str">
        <f>IFERROR(__xludf.DUMMYFUNCTION("GoogleTranslate(C193, ""en"", ""pl"")"),"Trudne warunki pogodowe")</f>
        <v>Trudne warunki pogodowe</v>
      </c>
      <c r="AX193" s="7" t="str">
        <f>IFERROR(__xludf.DUMMYFUNCTION("GoogleTranslate(C193, ""en"", ""pt"")"),"Tempo severo")</f>
        <v>Tempo severo</v>
      </c>
      <c r="AY193" s="7" t="str">
        <f>IFERROR(__xludf.DUMMYFUNCTION("GoogleTranslate(C193, ""en"", ""ro"")"),"Vreme Severă")</f>
        <v>Vreme Severă</v>
      </c>
      <c r="AZ193" s="7" t="str">
        <f>IFERROR(__xludf.DUMMYFUNCTION("GoogleTranslate(C193, ""en"", ""ru"")"),"Суровая погода")</f>
        <v>Суровая погода</v>
      </c>
      <c r="BA193" s="7" t="str">
        <f>IFERROR(__xludf.DUMMYFUNCTION("GoogleTranslate(C193, ""en"", ""sr"")"),"Севере Веатхер")</f>
        <v>Севере Веатхер</v>
      </c>
      <c r="BB193" s="7" t="str">
        <f>IFERROR(__xludf.DUMMYFUNCTION("GoogleTranslate(C193, ""en"", ""si"")"),"දරුණු කාලගුණය")</f>
        <v>දරුණු කාලගුණය</v>
      </c>
      <c r="BC193" s="7" t="str">
        <f>IFERROR(__xludf.DUMMYFUNCTION("GoogleTranslate(C193, ""en"", ""sk"")"),"Nepriaznivé počasie")</f>
        <v>Nepriaznivé počasie</v>
      </c>
      <c r="BD193" s="7" t="str">
        <f>IFERROR(__xludf.DUMMYFUNCTION("GoogleTranslate(C193, ""en"", ""sl"")"),"Hudo vreme")</f>
        <v>Hudo vreme</v>
      </c>
      <c r="BE193" s="7" t="str">
        <f>IFERROR(__xludf.DUMMYFUNCTION("GoogleTranslate(C193, ""en"", ""es"")"),"Clima severo")</f>
        <v>Clima severo</v>
      </c>
      <c r="BF193" s="7" t="str">
        <f>IFERROR(__xludf.DUMMYFUNCTION("GoogleTranslate(C193, ""en"", ""sw"")"),"Hali ya hewa kali")</f>
        <v>Hali ya hewa kali</v>
      </c>
      <c r="BG193" s="7" t="str">
        <f>IFERROR(__xludf.DUMMYFUNCTION("GoogleTranslate(C193, ""en"", ""sv"")"),"Strängt väder")</f>
        <v>Strängt väder</v>
      </c>
      <c r="BH193" s="7" t="str">
        <f>IFERROR(__xludf.DUMMYFUNCTION("GoogleTranslate(C193, ""en"", ""te"")"),"తీవ్రమైన వాతావరణం")</f>
        <v>తీవ్రమైన వాతావరణం</v>
      </c>
      <c r="BI193" s="7" t="str">
        <f>IFERROR(__xludf.DUMMYFUNCTION("GoogleTranslate(C193, ""en"", ""th"")"),"สภาพอากาศเลวร้าย")</f>
        <v>สภาพอากาศเลวร้าย</v>
      </c>
      <c r="BJ193" s="7" t="str">
        <f>IFERROR(__xludf.DUMMYFUNCTION("GoogleTranslate(C193, ""en"", ""tr"")"),"Şiddetli Hava")</f>
        <v>Şiddetli Hava</v>
      </c>
      <c r="BK193" s="7" t="str">
        <f>IFERROR(__xludf.DUMMYFUNCTION("GoogleTranslate(C193, ""en"", ""uk"")"),"Сувора погода")</f>
        <v>Сувора погода</v>
      </c>
      <c r="BL193" s="7" t="str">
        <f>IFERROR(__xludf.DUMMYFUNCTION("GoogleTranslate(C193, ""en"", ""zu"")"),"Isimo Sezulu Esibi")</f>
        <v>Isimo Sezulu Esibi</v>
      </c>
    </row>
    <row r="194">
      <c r="A194" s="5" t="str">
        <f t="shared" si="1"/>
        <v>Terms_of_Use</v>
      </c>
      <c r="B194" s="6" t="s">
        <v>247</v>
      </c>
      <c r="C194" s="5" t="str">
        <f t="shared" si="2"/>
        <v>Terms of Use</v>
      </c>
      <c r="D194" s="7" t="str">
        <f>IFERROR(__xludf.DUMMYFUNCTION("GoogleTranslate(C194, ""en"", ""es"")"),"Condiciones de uso")</f>
        <v>Condiciones de uso</v>
      </c>
      <c r="E194" s="7" t="str">
        <f>IFERROR(__xludf.DUMMYFUNCTION("GoogleTranslate(C194, ""en"", ""ar"")"),"شروط الاستخدام")</f>
        <v>شروط الاستخدام</v>
      </c>
      <c r="F194" s="7" t="str">
        <f>IFERROR(__xludf.DUMMYFUNCTION("GoogleTranslate(C194, ""en"", ""hy"")"),"Օգտագործման պայմաններ")</f>
        <v>Օգտագործման պայմաններ</v>
      </c>
      <c r="G194" s="7" t="str">
        <f>IFERROR(__xludf.DUMMYFUNCTION("GoogleTranslate(C194, ""en"", ""vi"")"),"Điều khoản sử dụng")</f>
        <v>Điều khoản sử dụng</v>
      </c>
      <c r="H194" s="7" t="str">
        <f>IFERROR(__xludf.DUMMYFUNCTION("GoogleTranslate(C194, ""en"", ""az"")"),"İstifadə şərtləri")</f>
        <v>İstifadə şərtləri</v>
      </c>
      <c r="I194" s="7" t="str">
        <f>IFERROR(__xludf.DUMMYFUNCTION("GoogleTranslate(C194, ""en"", ""eu"")"),"Erabilera-baldintzak")</f>
        <v>Erabilera-baldintzak</v>
      </c>
      <c r="J194" s="7" t="str">
        <f>IFERROR(__xludf.DUMMYFUNCTION("GoogleTranslate(C194, ""en"", ""be"")"),"Умовы выкарыстання")</f>
        <v>Умовы выкарыстання</v>
      </c>
      <c r="K194" s="7" t="str">
        <f>IFERROR(__xludf.DUMMYFUNCTION("GoogleTranslate(C194, ""en"", ""bn"")"),"ব্যবহারের শর্তাবলী")</f>
        <v>ব্যবহারের শর্তাবলী</v>
      </c>
      <c r="L194" s="7" t="str">
        <f>IFERROR(__xludf.DUMMYFUNCTION("GoogleTranslate(C194, ""en"", ""bg"")"),"Условия за ползване")</f>
        <v>Условия за ползване</v>
      </c>
      <c r="M194" s="7" t="str">
        <f>IFERROR(__xludf.DUMMYFUNCTION("GoogleTranslate(C194, ""en"", ""my"")"),"သတ်မှတ်ချက်များ")</f>
        <v>သတ်မှတ်ချက်များ</v>
      </c>
      <c r="N194" s="7" t="str">
        <f>IFERROR(__xludf.DUMMYFUNCTION("GoogleTranslate(C194, ""en"", ""ca"")"),"Condicions d'ús")</f>
        <v>Condicions d'ús</v>
      </c>
      <c r="O194" s="7" t="str">
        <f>IFERROR(__xludf.DUMMYFUNCTION("GoogleTranslate(C194, ""en"", ""zh-cn"")"),"使用条款")</f>
        <v>使用条款</v>
      </c>
      <c r="P194" s="7" t="str">
        <f>IFERROR(__xludf.DUMMYFUNCTION("GoogleTranslate(C194, ""en"", ""zh-TW"")"),"使用條款")</f>
        <v>使用條款</v>
      </c>
      <c r="Q194" s="7" t="str">
        <f>IFERROR(__xludf.DUMMYFUNCTION("GoogleTranslate(C194, ""en"", ""hr"")"),"Uvjeti korištenja")</f>
        <v>Uvjeti korištenja</v>
      </c>
      <c r="R194" s="7" t="str">
        <f>IFERROR(__xludf.DUMMYFUNCTION("GoogleTranslate(C194, ""en"", ""cs"")"),"Podmínky použití")</f>
        <v>Podmínky použití</v>
      </c>
      <c r="S194" s="7" t="str">
        <f>IFERROR(__xludf.DUMMYFUNCTION("GoogleTranslate(C194, ""en"", ""da"")"),"Vilkår for brug")</f>
        <v>Vilkår for brug</v>
      </c>
      <c r="T194" s="7" t="str">
        <f>IFERROR(__xludf.DUMMYFUNCTION("GoogleTranslate(C194, ""en"", ""nl"")"),"Gebruiksvoorwaarden")</f>
        <v>Gebruiksvoorwaarden</v>
      </c>
      <c r="U194" s="7" t="str">
        <f>IFERROR(__xludf.DUMMYFUNCTION("GoogleTranslate(C194, ""en"", ""et"")"),"Kasutustingimused")</f>
        <v>Kasutustingimused</v>
      </c>
      <c r="V194" s="5" t="str">
        <f t="shared" si="3"/>
        <v>Terms of Use</v>
      </c>
      <c r="W194" s="7" t="str">
        <f>IFERROR(__xludf.DUMMYFUNCTION("GoogleTranslate(C194, ""en"", ""fi"")"),"Käyttöehdot")</f>
        <v>Käyttöehdot</v>
      </c>
      <c r="X194" s="7" t="str">
        <f>IFERROR(__xludf.DUMMYFUNCTION("GoogleTranslate(C194, ""en"", ""fr"")"),"Conditions d'utilisation")</f>
        <v>Conditions d'utilisation</v>
      </c>
      <c r="Y194" s="7" t="str">
        <f>IFERROR(__xludf.DUMMYFUNCTION("GoogleTranslate(C194, ""en"", ""de"")"),"Nutzungsbedingungen")</f>
        <v>Nutzungsbedingungen</v>
      </c>
      <c r="Z194" s="7" t="str">
        <f>IFERROR(__xludf.DUMMYFUNCTION("GoogleTranslate(C194, ""en"", ""el"")"),"Όροι Χρήσης")</f>
        <v>Όροι Χρήσης</v>
      </c>
      <c r="AA194" s="7" t="str">
        <f>IFERROR(__xludf.DUMMYFUNCTION("GoogleTranslate(C194, ""en"", ""iw"")"),"תנאי שימוש")</f>
        <v>תנאי שימוש</v>
      </c>
      <c r="AB194" s="7" t="str">
        <f>IFERROR(__xludf.DUMMYFUNCTION("GoogleTranslate(C194, ""en"", ""hi"")"),"उपयोग की शर्तें")</f>
        <v>उपयोग की शर्तें</v>
      </c>
      <c r="AC194" s="7" t="str">
        <f>IFERROR(__xludf.DUMMYFUNCTION("GoogleTranslate(C194, ""en"", ""hu"")"),"Felhasználási feltételek")</f>
        <v>Felhasználási feltételek</v>
      </c>
      <c r="AD194" s="7" t="str">
        <f>IFERROR(__xludf.DUMMYFUNCTION("GoogleTranslate(C194, ""en"", ""is"")"),"Notkunarskilmálar")</f>
        <v>Notkunarskilmálar</v>
      </c>
      <c r="AE194" s="7" t="str">
        <f>IFERROR(__xludf.DUMMYFUNCTION("GoogleTranslate(C194, ""en"", ""id"")"),"Ketentuan Penggunaan")</f>
        <v>Ketentuan Penggunaan</v>
      </c>
      <c r="AF194" s="7" t="str">
        <f>IFERROR(__xludf.DUMMYFUNCTION("GoogleTranslate(C194, ""en"", ""in"")"),"Ketentuan Penggunaan")</f>
        <v>Ketentuan Penggunaan</v>
      </c>
      <c r="AG194" s="7" t="str">
        <f>IFERROR(__xludf.DUMMYFUNCTION("GoogleTranslate(C194, ""en"", ""it"")"),"Termini di utilizzo")</f>
        <v>Termini di utilizzo</v>
      </c>
      <c r="AH194" s="7" t="str">
        <f>IFERROR(__xludf.DUMMYFUNCTION("GoogleTranslate(C194, ""en"", ""ja"")"),"利用規約")</f>
        <v>利用規約</v>
      </c>
      <c r="AI194" s="7" t="str">
        <f>IFERROR(__xludf.DUMMYFUNCTION("GoogleTranslate(C194, ""en"", ""kn"")"),"ಬಳಕೆಯ ನಿಯಮಗಳು")</f>
        <v>ಬಳಕೆಯ ನಿಯಮಗಳು</v>
      </c>
      <c r="AJ194" s="7" t="str">
        <f>IFERROR(__xludf.DUMMYFUNCTION("GoogleTranslate(C194, ""en"", ""km"")"),"ល័ក្ខខ័ណ្ឌនៃការប្រើប្រាស់")</f>
        <v>ល័ក្ខខ័ណ្ឌនៃការប្រើប្រាស់</v>
      </c>
      <c r="AK194" s="7" t="str">
        <f>IFERROR(__xludf.DUMMYFUNCTION("GoogleTranslate(C194, ""en"", ""ko"")"),"이용약관")</f>
        <v>이용약관</v>
      </c>
      <c r="AL194" s="7" t="str">
        <f>IFERROR(__xludf.DUMMYFUNCTION("GoogleTranslate(C194, ""en"", ""lo"")"),"ເງື່ອນໄຂການນໍາໃຊ້")</f>
        <v>ເງື່ອນໄຂການນໍາໃຊ້</v>
      </c>
      <c r="AM194" s="7" t="str">
        <f>IFERROR(__xludf.DUMMYFUNCTION("GoogleTranslate(C194, ""en"", ""lv"")"),"Lietošanas noteikumi")</f>
        <v>Lietošanas noteikumi</v>
      </c>
      <c r="AN194" s="7" t="str">
        <f>IFERROR(__xludf.DUMMYFUNCTION("GoogleTranslate(C194, ""en"", ""lt"")"),"Naudojimo sąlygos")</f>
        <v>Naudojimo sąlygos</v>
      </c>
      <c r="AO194" s="7" t="str">
        <f>IFERROR(__xludf.DUMMYFUNCTION("GoogleTranslate(C194, ""en"", ""mk"")"),"Услови за користење")</f>
        <v>Услови за користење</v>
      </c>
      <c r="AP194" s="7" t="str">
        <f>IFERROR(__xludf.DUMMYFUNCTION("GoogleTranslate(C194, ""en"", ""ms"")"),"Syarat Penggunaan")</f>
        <v>Syarat Penggunaan</v>
      </c>
      <c r="AQ194" s="7" t="str">
        <f>IFERROR(__xludf.DUMMYFUNCTION("GoogleTranslate(C194, ""en"", ""ml"")"),"ഉപയോഗ നിബന്ധനകൾ")</f>
        <v>ഉപയോഗ നിബന്ധനകൾ</v>
      </c>
      <c r="AR194" s="7" t="str">
        <f>IFERROR(__xludf.DUMMYFUNCTION("GoogleTranslate(C194, ""en"", ""mr"")"),"वापराच्या अटी")</f>
        <v>वापराच्या अटी</v>
      </c>
      <c r="AS194" s="7" t="str">
        <f>IFERROR(__xludf.DUMMYFUNCTION("GoogleTranslate(C194, ""en"", ""mn"")"),"Хэрэглэх нөхцөл")</f>
        <v>Хэрэглэх нөхцөл</v>
      </c>
      <c r="AT194" s="7" t="str">
        <f>IFERROR(__xludf.DUMMYFUNCTION("GoogleTranslate(C194, ""en"", ""ne"")"),"प्रयोगका सर्तहरू")</f>
        <v>प्रयोगका सर्तहरू</v>
      </c>
      <c r="AU194" s="7" t="str">
        <f>IFERROR(__xludf.DUMMYFUNCTION("GoogleTranslate(C194, ""en"", ""nb"")"),"Vilkår for bruk")</f>
        <v>Vilkår for bruk</v>
      </c>
      <c r="AV194" s="7" t="str">
        <f>IFERROR(__xludf.DUMMYFUNCTION("GoogleTranslate(C194, ""en"", ""fa"")"),"شرایط استفاده")</f>
        <v>شرایط استفاده</v>
      </c>
      <c r="AW194" s="7" t="str">
        <f>IFERROR(__xludf.DUMMYFUNCTION("GoogleTranslate(C194, ""en"", ""pl"")"),"Warunki użytkowania")</f>
        <v>Warunki użytkowania</v>
      </c>
      <c r="AX194" s="7" t="str">
        <f>IFERROR(__xludf.DUMMYFUNCTION("GoogleTranslate(C194, ""en"", ""pt"")"),"Termos de Uso")</f>
        <v>Termos de Uso</v>
      </c>
      <c r="AY194" s="7" t="str">
        <f>IFERROR(__xludf.DUMMYFUNCTION("GoogleTranslate(C194, ""en"", ""ro"")"),"Termeni de utilizare")</f>
        <v>Termeni de utilizare</v>
      </c>
      <c r="AZ194" s="7" t="str">
        <f>IFERROR(__xludf.DUMMYFUNCTION("GoogleTranslate(C194, ""en"", ""ru"")"),"Условия эксплуатации")</f>
        <v>Условия эксплуатации</v>
      </c>
      <c r="BA194" s="7" t="str">
        <f>IFERROR(__xludf.DUMMYFUNCTION("GoogleTranslate(C194, ""en"", ""sr"")"),"Услови коришћења")</f>
        <v>Услови коришћења</v>
      </c>
      <c r="BB194" s="7" t="str">
        <f>IFERROR(__xludf.DUMMYFUNCTION("GoogleTranslate(C194, ""en"", ""si"")"),"භාවිත නියම")</f>
        <v>භාවිත නියම</v>
      </c>
      <c r="BC194" s="7" t="str">
        <f>IFERROR(__xludf.DUMMYFUNCTION("GoogleTranslate(C194, ""en"", ""sk"")"),"Podmienky používania")</f>
        <v>Podmienky používania</v>
      </c>
      <c r="BD194" s="7" t="str">
        <f>IFERROR(__xludf.DUMMYFUNCTION("GoogleTranslate(C194, ""en"", ""sl"")"),"Pogoji uporabe")</f>
        <v>Pogoji uporabe</v>
      </c>
      <c r="BE194" s="7" t="str">
        <f>IFERROR(__xludf.DUMMYFUNCTION("GoogleTranslate(C194, ""en"", ""es"")"),"Condiciones de uso")</f>
        <v>Condiciones de uso</v>
      </c>
      <c r="BF194" s="7" t="str">
        <f>IFERROR(__xludf.DUMMYFUNCTION("GoogleTranslate(C194, ""en"", ""sw"")"),"Masharti ya Matumizi")</f>
        <v>Masharti ya Matumizi</v>
      </c>
      <c r="BG194" s="7" t="str">
        <f>IFERROR(__xludf.DUMMYFUNCTION("GoogleTranslate(C194, ""en"", ""sv"")"),"Användarvillkor")</f>
        <v>Användarvillkor</v>
      </c>
      <c r="BH194" s="7" t="str">
        <f>IFERROR(__xludf.DUMMYFUNCTION("GoogleTranslate(C194, ""en"", ""te"")"),"ఉపయోగ నిబంధనలు")</f>
        <v>ఉపయోగ నిబంధనలు</v>
      </c>
      <c r="BI194" s="7" t="str">
        <f>IFERROR(__xludf.DUMMYFUNCTION("GoogleTranslate(C194, ""en"", ""th"")"),"เงื่อนไขการใช้งาน")</f>
        <v>เงื่อนไขการใช้งาน</v>
      </c>
      <c r="BJ194" s="7" t="str">
        <f>IFERROR(__xludf.DUMMYFUNCTION("GoogleTranslate(C194, ""en"", ""tr"")"),"Kullanım Koşulları")</f>
        <v>Kullanım Koşulları</v>
      </c>
      <c r="BK194" s="7" t="str">
        <f>IFERROR(__xludf.DUMMYFUNCTION("GoogleTranslate(C194, ""en"", ""uk"")"),"Умови використання")</f>
        <v>Умови використання</v>
      </c>
      <c r="BL194" s="7" t="str">
        <f>IFERROR(__xludf.DUMMYFUNCTION("GoogleTranslate(C194, ""en"", ""zu"")"),"Imigomo Yokusebenzisa")</f>
        <v>Imigomo Yokusebenzisa</v>
      </c>
    </row>
    <row r="195">
      <c r="A195" s="5" t="str">
        <f t="shared" si="1"/>
        <v>Privacy_Policy</v>
      </c>
      <c r="B195" s="6" t="s">
        <v>248</v>
      </c>
      <c r="C195" s="5" t="str">
        <f t="shared" si="2"/>
        <v>Privacy Policy</v>
      </c>
      <c r="D195" s="7" t="str">
        <f>IFERROR(__xludf.DUMMYFUNCTION("GoogleTranslate(C195, ""en"", ""es"")"),"política de privacidad")</f>
        <v>política de privacidad</v>
      </c>
      <c r="E195" s="7" t="str">
        <f>IFERROR(__xludf.DUMMYFUNCTION("GoogleTranslate(C195, ""en"", ""ar"")"),"سياسة الخصوصية")</f>
        <v>سياسة الخصوصية</v>
      </c>
      <c r="F195" s="7" t="str">
        <f>IFERROR(__xludf.DUMMYFUNCTION("GoogleTranslate(C195, ""en"", ""hy"")"),"Գաղտնիության քաղաքականություն")</f>
        <v>Գաղտնիության քաղաքականություն</v>
      </c>
      <c r="G195" s="7" t="str">
        <f>IFERROR(__xludf.DUMMYFUNCTION("GoogleTranslate(C195, ""en"", ""vi"")"),"Chính sách bảo mật")</f>
        <v>Chính sách bảo mật</v>
      </c>
      <c r="H195" s="7" t="str">
        <f>IFERROR(__xludf.DUMMYFUNCTION("GoogleTranslate(C195, ""en"", ""az"")"),"Məxfilik Siyasəti")</f>
        <v>Məxfilik Siyasəti</v>
      </c>
      <c r="I195" s="7" t="str">
        <f>IFERROR(__xludf.DUMMYFUNCTION("GoogleTranslate(C195, ""en"", ""eu"")"),"Pribatutasun politika")</f>
        <v>Pribatutasun politika</v>
      </c>
      <c r="J195" s="7" t="str">
        <f>IFERROR(__xludf.DUMMYFUNCTION("GoogleTranslate(C195, ""en"", ""be"")"),"Палітыка прыватнасці")</f>
        <v>Палітыка прыватнасці</v>
      </c>
      <c r="K195" s="7" t="str">
        <f>IFERROR(__xludf.DUMMYFUNCTION("GoogleTranslate(C195, ""en"", ""bn"")"),"গোপনীয়তা নীতি")</f>
        <v>গোপনীয়তা নীতি</v>
      </c>
      <c r="L195" s="7" t="str">
        <f>IFERROR(__xludf.DUMMYFUNCTION("GoogleTranslate(C195, ""en"", ""bg"")"),"Политика за поверителност")</f>
        <v>Политика за поверителност</v>
      </c>
      <c r="M195" s="7" t="str">
        <f>IFERROR(__xludf.DUMMYFUNCTION("GoogleTranslate(C195, ""en"", ""my"")"),"ကိုယ်ရေးအချက်အလက်မူဝါဒ")</f>
        <v>ကိုယ်ရေးအချက်အလက်မူဝါဒ</v>
      </c>
      <c r="N195" s="7" t="str">
        <f>IFERROR(__xludf.DUMMYFUNCTION("GoogleTranslate(C195, ""en"", ""ca"")"),"Política de privadesa")</f>
        <v>Política de privadesa</v>
      </c>
      <c r="O195" s="7" t="str">
        <f>IFERROR(__xludf.DUMMYFUNCTION("GoogleTranslate(C195, ""en"", ""zh-cn"")"),"隐私政策")</f>
        <v>隐私政策</v>
      </c>
      <c r="P195" s="7" t="str">
        <f>IFERROR(__xludf.DUMMYFUNCTION("GoogleTranslate(C195, ""en"", ""zh-TW"")"),"隱私權政策")</f>
        <v>隱私權政策</v>
      </c>
      <c r="Q195" s="7" t="str">
        <f>IFERROR(__xludf.DUMMYFUNCTION("GoogleTranslate(C195, ""en"", ""hr"")"),"Politika privatnosti")</f>
        <v>Politika privatnosti</v>
      </c>
      <c r="R195" s="7" t="str">
        <f>IFERROR(__xludf.DUMMYFUNCTION("GoogleTranslate(C195, ""en"", ""cs"")"),"Zásady ochrany osobních údajů")</f>
        <v>Zásady ochrany osobních údajů</v>
      </c>
      <c r="S195" s="7" t="str">
        <f>IFERROR(__xludf.DUMMYFUNCTION("GoogleTranslate(C195, ""en"", ""da"")"),"Privatlivspolitik")</f>
        <v>Privatlivspolitik</v>
      </c>
      <c r="T195" s="7" t="str">
        <f>IFERROR(__xludf.DUMMYFUNCTION("GoogleTranslate(C195, ""en"", ""nl"")"),"Privacybeleid")</f>
        <v>Privacybeleid</v>
      </c>
      <c r="U195" s="7" t="str">
        <f>IFERROR(__xludf.DUMMYFUNCTION("GoogleTranslate(C195, ""en"", ""et"")"),"Privaatsuspoliitika")</f>
        <v>Privaatsuspoliitika</v>
      </c>
      <c r="V195" s="5" t="str">
        <f t="shared" si="3"/>
        <v>Privacy Policy</v>
      </c>
      <c r="W195" s="7" t="str">
        <f>IFERROR(__xludf.DUMMYFUNCTION("GoogleTranslate(C195, ""en"", ""fi"")"),"Tietosuojakäytäntö")</f>
        <v>Tietosuojakäytäntö</v>
      </c>
      <c r="X195" s="7" t="str">
        <f>IFERROR(__xludf.DUMMYFUNCTION("GoogleTranslate(C195, ""en"", ""fr"")"),"politique de confidentialité")</f>
        <v>politique de confidentialité</v>
      </c>
      <c r="Y195" s="7" t="str">
        <f>IFERROR(__xludf.DUMMYFUNCTION("GoogleTranslate(C195, ""en"", ""de"")"),"Datenschutzrichtlinie")</f>
        <v>Datenschutzrichtlinie</v>
      </c>
      <c r="Z195" s="7" t="str">
        <f>IFERROR(__xludf.DUMMYFUNCTION("GoogleTranslate(C195, ""en"", ""el"")"),"Πολιτική Απορρήτου")</f>
        <v>Πολιτική Απορρήτου</v>
      </c>
      <c r="AA195" s="7" t="str">
        <f>IFERROR(__xludf.DUMMYFUNCTION("GoogleTranslate(C195, ""en"", ""iw"")"),"מדיניות פרטיות")</f>
        <v>מדיניות פרטיות</v>
      </c>
      <c r="AB195" s="7" t="str">
        <f>IFERROR(__xludf.DUMMYFUNCTION("GoogleTranslate(C195, ""en"", ""hi"")"),"गोपनीयता नीति")</f>
        <v>गोपनीयता नीति</v>
      </c>
      <c r="AC195" s="7" t="str">
        <f>IFERROR(__xludf.DUMMYFUNCTION("GoogleTranslate(C195, ""en"", ""hu"")"),"Adatvédelmi szabályzat")</f>
        <v>Adatvédelmi szabályzat</v>
      </c>
      <c r="AD195" s="7" t="str">
        <f>IFERROR(__xludf.DUMMYFUNCTION("GoogleTranslate(C195, ""en"", ""is"")"),"Persónuverndarstefna")</f>
        <v>Persónuverndarstefna</v>
      </c>
      <c r="AE195" s="7" t="str">
        <f>IFERROR(__xludf.DUMMYFUNCTION("GoogleTranslate(C195, ""en"", ""id"")"),"Kebijakan Privasi")</f>
        <v>Kebijakan Privasi</v>
      </c>
      <c r="AF195" s="7" t="str">
        <f>IFERROR(__xludf.DUMMYFUNCTION("GoogleTranslate(C195, ""en"", ""in"")"),"Kebijakan Privasi")</f>
        <v>Kebijakan Privasi</v>
      </c>
      <c r="AG195" s="7" t="str">
        <f>IFERROR(__xludf.DUMMYFUNCTION("GoogleTranslate(C195, ""en"", ""it"")"),"politica sulla riservatezza")</f>
        <v>politica sulla riservatezza</v>
      </c>
      <c r="AH195" s="7" t="str">
        <f>IFERROR(__xludf.DUMMYFUNCTION("GoogleTranslate(C195, ""en"", ""ja"")"),"プライバシーポリシー")</f>
        <v>プライバシーポリシー</v>
      </c>
      <c r="AI195" s="7" t="str">
        <f>IFERROR(__xludf.DUMMYFUNCTION("GoogleTranslate(C195, ""en"", ""kn"")"),"ಗೌಪ್ಯತೆ ನೀತಿ")</f>
        <v>ಗೌಪ್ಯತೆ ನೀತಿ</v>
      </c>
      <c r="AJ195" s="7" t="str">
        <f>IFERROR(__xludf.DUMMYFUNCTION("GoogleTranslate(C195, ""en"", ""km"")"),"គោលការណ៍ឯកជនភាព")</f>
        <v>គោលការណ៍ឯកជនភាព</v>
      </c>
      <c r="AK195" s="7" t="str">
        <f>IFERROR(__xludf.DUMMYFUNCTION("GoogleTranslate(C195, ""en"", ""ko"")"),"개인 정보 보호 정책")</f>
        <v>개인 정보 보호 정책</v>
      </c>
      <c r="AL195" s="7" t="str">
        <f>IFERROR(__xludf.DUMMYFUNCTION("GoogleTranslate(C195, ""en"", ""lo"")"),"ນະໂຍບາຍຄວາມເປັນສ່ວນຕົວ")</f>
        <v>ນະໂຍບາຍຄວາມເປັນສ່ວນຕົວ</v>
      </c>
      <c r="AM195" s="7" t="str">
        <f>IFERROR(__xludf.DUMMYFUNCTION("GoogleTranslate(C195, ""en"", ""lv"")"),"Privātuma politika")</f>
        <v>Privātuma politika</v>
      </c>
      <c r="AN195" s="7" t="str">
        <f>IFERROR(__xludf.DUMMYFUNCTION("GoogleTranslate(C195, ""en"", ""lt"")"),"Privatumo politika")</f>
        <v>Privatumo politika</v>
      </c>
      <c r="AO195" s="7" t="str">
        <f>IFERROR(__xludf.DUMMYFUNCTION("GoogleTranslate(C195, ""en"", ""mk"")"),"Политика за приватност")</f>
        <v>Политика за приватност</v>
      </c>
      <c r="AP195" s="7" t="str">
        <f>IFERROR(__xludf.DUMMYFUNCTION("GoogleTranslate(C195, ""en"", ""ms"")"),"Dasar Privasi")</f>
        <v>Dasar Privasi</v>
      </c>
      <c r="AQ195" s="7" t="str">
        <f>IFERROR(__xludf.DUMMYFUNCTION("GoogleTranslate(C195, ""en"", ""ml"")"),"സ്വകാര്യതാ നയം")</f>
        <v>സ്വകാര്യതാ നയം</v>
      </c>
      <c r="AR195" s="7" t="str">
        <f>IFERROR(__xludf.DUMMYFUNCTION("GoogleTranslate(C195, ""en"", ""mr"")"),"गोपनीयता धोरण")</f>
        <v>गोपनीयता धोरण</v>
      </c>
      <c r="AS195" s="7" t="str">
        <f>IFERROR(__xludf.DUMMYFUNCTION("GoogleTranslate(C195, ""en"", ""mn"")"),"Нууцлалын бодлого")</f>
        <v>Нууцлалын бодлого</v>
      </c>
      <c r="AT195" s="7" t="str">
        <f>IFERROR(__xludf.DUMMYFUNCTION("GoogleTranslate(C195, ""en"", ""ne"")"),"गोपनीयता नीति")</f>
        <v>गोपनीयता नीति</v>
      </c>
      <c r="AU195" s="7" t="str">
        <f>IFERROR(__xludf.DUMMYFUNCTION("GoogleTranslate(C195, ""en"", ""nb"")"),"Personvernerklæring")</f>
        <v>Personvernerklæring</v>
      </c>
      <c r="AV195" s="7" t="str">
        <f>IFERROR(__xludf.DUMMYFUNCTION("GoogleTranslate(C195, ""en"", ""fa"")"),"سیاست حفظ حریم خصوصی")</f>
        <v>سیاست حفظ حریم خصوصی</v>
      </c>
      <c r="AW195" s="7" t="str">
        <f>IFERROR(__xludf.DUMMYFUNCTION("GoogleTranslate(C195, ""en"", ""pl"")"),"Polityka prywatności")</f>
        <v>Polityka prywatności</v>
      </c>
      <c r="AX195" s="7" t="str">
        <f>IFERROR(__xludf.DUMMYFUNCTION("GoogleTranslate(C195, ""en"", ""pt"")"),"política de Privacidade")</f>
        <v>política de Privacidade</v>
      </c>
      <c r="AY195" s="7" t="str">
        <f>IFERROR(__xludf.DUMMYFUNCTION("GoogleTranslate(C195, ""en"", ""ro"")"),"Politica de confidențialitate")</f>
        <v>Politica de confidențialitate</v>
      </c>
      <c r="AZ195" s="7" t="str">
        <f>IFERROR(__xludf.DUMMYFUNCTION("GoogleTranslate(C195, ""en"", ""ru"")"),"политика конфиденциальности")</f>
        <v>политика конфиденциальности</v>
      </c>
      <c r="BA195" s="7" t="str">
        <f>IFERROR(__xludf.DUMMYFUNCTION("GoogleTranslate(C195, ""en"", ""sr"")"),"Политика приватности")</f>
        <v>Политика приватности</v>
      </c>
      <c r="BB195" s="7" t="str">
        <f>IFERROR(__xludf.DUMMYFUNCTION("GoogleTranslate(C195, ""en"", ""si"")"),"රහස්යතා ප්රතිපත්තිය")</f>
        <v>රහස්යතා ප්රතිපත්තිය</v>
      </c>
      <c r="BC195" s="7" t="str">
        <f>IFERROR(__xludf.DUMMYFUNCTION("GoogleTranslate(C195, ""en"", ""sk"")"),"Zásady ochrany osobných údajov")</f>
        <v>Zásady ochrany osobných údajov</v>
      </c>
      <c r="BD195" s="7" t="str">
        <f>IFERROR(__xludf.DUMMYFUNCTION("GoogleTranslate(C195, ""en"", ""sl"")"),"Politika zasebnosti")</f>
        <v>Politika zasebnosti</v>
      </c>
      <c r="BE195" s="7" t="str">
        <f>IFERROR(__xludf.DUMMYFUNCTION("GoogleTranslate(C195, ""en"", ""es"")"),"política de privacidad")</f>
        <v>política de privacidad</v>
      </c>
      <c r="BF195" s="7" t="str">
        <f>IFERROR(__xludf.DUMMYFUNCTION("GoogleTranslate(C195, ""en"", ""sw"")"),"Sera ya Faragha")</f>
        <v>Sera ya Faragha</v>
      </c>
      <c r="BG195" s="7" t="str">
        <f>IFERROR(__xludf.DUMMYFUNCTION("GoogleTranslate(C195, ""en"", ""sv"")"),"Sekretesspolicy")</f>
        <v>Sekretesspolicy</v>
      </c>
      <c r="BH195" s="7" t="str">
        <f>IFERROR(__xludf.DUMMYFUNCTION("GoogleTranslate(C195, ""en"", ""te"")"),"గోప్యతా విధానం")</f>
        <v>గోప్యతా విధానం</v>
      </c>
      <c r="BI195" s="7" t="str">
        <f>IFERROR(__xludf.DUMMYFUNCTION("GoogleTranslate(C195, ""en"", ""th"")"),"นโยบายความเป็นส่วนตัว")</f>
        <v>นโยบายความเป็นส่วนตัว</v>
      </c>
      <c r="BJ195" s="7" t="str">
        <f>IFERROR(__xludf.DUMMYFUNCTION("GoogleTranslate(C195, ""en"", ""tr"")"),"Gizlilik Politikası")</f>
        <v>Gizlilik Politikası</v>
      </c>
      <c r="BK195" s="7" t="str">
        <f>IFERROR(__xludf.DUMMYFUNCTION("GoogleTranslate(C195, ""en"", ""uk"")"),"Політика конфіденційності")</f>
        <v>Політика конфіденційності</v>
      </c>
      <c r="BL195" s="7" t="str">
        <f>IFERROR(__xludf.DUMMYFUNCTION("GoogleTranslate(C195, ""en"", ""zu"")"),"Inqubomgomo yobumfihlo")</f>
        <v>Inqubomgomo yobumfihlo</v>
      </c>
    </row>
    <row r="196">
      <c r="A196" s="5" t="str">
        <f t="shared" si="1"/>
        <v>Cookie_Policy</v>
      </c>
      <c r="B196" s="6" t="s">
        <v>249</v>
      </c>
      <c r="C196" s="5" t="str">
        <f t="shared" si="2"/>
        <v>Cookie Policy</v>
      </c>
      <c r="D196" s="7" t="str">
        <f>IFERROR(__xludf.DUMMYFUNCTION("GoogleTranslate(C196, ""en"", ""es"")"),"Política de cookies")</f>
        <v>Política de cookies</v>
      </c>
      <c r="E196" s="7" t="str">
        <f>IFERROR(__xludf.DUMMYFUNCTION("GoogleTranslate(C196, ""en"", ""ar"")"),"سياسة ملفات تعريف الارتباط")</f>
        <v>سياسة ملفات تعريف الارتباط</v>
      </c>
      <c r="F196" s="7" t="str">
        <f>IFERROR(__xludf.DUMMYFUNCTION("GoogleTranslate(C196, ""en"", ""hy"")"),"Cookie քաղաքականություն")</f>
        <v>Cookie քաղաքականություն</v>
      </c>
      <c r="G196" s="7" t="str">
        <f>IFERROR(__xludf.DUMMYFUNCTION("GoogleTranslate(C196, ""en"", ""vi"")"),"Chính sách cookie")</f>
        <v>Chính sách cookie</v>
      </c>
      <c r="H196" s="7" t="str">
        <f>IFERROR(__xludf.DUMMYFUNCTION("GoogleTranslate(C196, ""en"", ""az"")"),"Kuki Siyasəti")</f>
        <v>Kuki Siyasəti</v>
      </c>
      <c r="I196" s="7" t="str">
        <f>IFERROR(__xludf.DUMMYFUNCTION("GoogleTranslate(C196, ""en"", ""eu"")"),"Cookie politika")</f>
        <v>Cookie politika</v>
      </c>
      <c r="J196" s="7" t="str">
        <f>IFERROR(__xludf.DUMMYFUNCTION("GoogleTranslate(C196, ""en"", ""be"")"),"Палітыка выкарыстання файлаў cookie")</f>
        <v>Палітыка выкарыстання файлаў cookie</v>
      </c>
      <c r="K196" s="7" t="str">
        <f>IFERROR(__xludf.DUMMYFUNCTION("GoogleTranslate(C196, ""en"", ""bn"")"),"কুকি নীতি")</f>
        <v>কুকি নীতি</v>
      </c>
      <c r="L196" s="7" t="str">
        <f>IFERROR(__xludf.DUMMYFUNCTION("GoogleTranslate(C196, ""en"", ""bg"")"),"Политика за бисквитки")</f>
        <v>Политика за бисквитки</v>
      </c>
      <c r="M196" s="7" t="str">
        <f>IFERROR(__xludf.DUMMYFUNCTION("GoogleTranslate(C196, ""en"", ""my"")"),"ကွတ်ကီးမူဝါဒ")</f>
        <v>ကွတ်ကီးမူဝါဒ</v>
      </c>
      <c r="N196" s="7" t="str">
        <f>IFERROR(__xludf.DUMMYFUNCTION("GoogleTranslate(C196, ""en"", ""ca"")"),"Política de cookies")</f>
        <v>Política de cookies</v>
      </c>
      <c r="O196" s="7" t="str">
        <f>IFERROR(__xludf.DUMMYFUNCTION("GoogleTranslate(C196, ""en"", ""zh-cn"")"),"Cookie 政策")</f>
        <v>Cookie 政策</v>
      </c>
      <c r="P196" s="7" t="str">
        <f>IFERROR(__xludf.DUMMYFUNCTION("GoogleTranslate(C196, ""en"", ""zh-TW"")"),"Cookie 政策")</f>
        <v>Cookie 政策</v>
      </c>
      <c r="Q196" s="7" t="str">
        <f>IFERROR(__xludf.DUMMYFUNCTION("GoogleTranslate(C196, ""en"", ""hr"")"),"Politika kolačića")</f>
        <v>Politika kolačića</v>
      </c>
      <c r="R196" s="7" t="str">
        <f>IFERROR(__xludf.DUMMYFUNCTION("GoogleTranslate(C196, ""en"", ""cs"")"),"Zásady používání souborů cookie")</f>
        <v>Zásady používání souborů cookie</v>
      </c>
      <c r="S196" s="7" t="str">
        <f>IFERROR(__xludf.DUMMYFUNCTION("GoogleTranslate(C196, ""en"", ""da"")"),"Cookiepolitik")</f>
        <v>Cookiepolitik</v>
      </c>
      <c r="T196" s="7" t="str">
        <f>IFERROR(__xludf.DUMMYFUNCTION("GoogleTranslate(C196, ""en"", ""nl"")"),"Cookiebeleid")</f>
        <v>Cookiebeleid</v>
      </c>
      <c r="U196" s="7" t="str">
        <f>IFERROR(__xludf.DUMMYFUNCTION("GoogleTranslate(C196, ""en"", ""et"")"),"Küpsiste poliitika")</f>
        <v>Küpsiste poliitika</v>
      </c>
      <c r="V196" s="5" t="str">
        <f t="shared" si="3"/>
        <v>Cookie Policy</v>
      </c>
      <c r="W196" s="7" t="str">
        <f>IFERROR(__xludf.DUMMYFUNCTION("GoogleTranslate(C196, ""en"", ""fi"")"),"Evästekäytäntö")</f>
        <v>Evästekäytäntö</v>
      </c>
      <c r="X196" s="7" t="str">
        <f>IFERROR(__xludf.DUMMYFUNCTION("GoogleTranslate(C196, ""en"", ""fr"")"),"Politique en matière de cookies")</f>
        <v>Politique en matière de cookies</v>
      </c>
      <c r="Y196" s="7" t="str">
        <f>IFERROR(__xludf.DUMMYFUNCTION("GoogleTranslate(C196, ""en"", ""de"")"),"Cookie-Richtlinie")</f>
        <v>Cookie-Richtlinie</v>
      </c>
      <c r="Z196" s="7" t="str">
        <f>IFERROR(__xludf.DUMMYFUNCTION("GoogleTranslate(C196, ""en"", ""el"")"),"Πολιτική cookie")</f>
        <v>Πολιτική cookie</v>
      </c>
      <c r="AA196" s="7" t="str">
        <f>IFERROR(__xludf.DUMMYFUNCTION("GoogleTranslate(C196, ""en"", ""iw"")"),"מדיניות עוגיות")</f>
        <v>מדיניות עוגיות</v>
      </c>
      <c r="AB196" s="7" t="str">
        <f>IFERROR(__xludf.DUMMYFUNCTION("GoogleTranslate(C196, ""en"", ""hi"")"),"कूकी नीति")</f>
        <v>कूकी नीति</v>
      </c>
      <c r="AC196" s="7" t="str">
        <f>IFERROR(__xludf.DUMMYFUNCTION("GoogleTranslate(C196, ""en"", ""hu"")"),"Cookie-szabályzat")</f>
        <v>Cookie-szabályzat</v>
      </c>
      <c r="AD196" s="7" t="str">
        <f>IFERROR(__xludf.DUMMYFUNCTION("GoogleTranslate(C196, ""en"", ""is"")"),"Vafrakökurstefna")</f>
        <v>Vafrakökurstefna</v>
      </c>
      <c r="AE196" s="7" t="str">
        <f>IFERROR(__xludf.DUMMYFUNCTION("GoogleTranslate(C196, ""en"", ""id"")"),"Kebijakan Cookie")</f>
        <v>Kebijakan Cookie</v>
      </c>
      <c r="AF196" s="7" t="str">
        <f>IFERROR(__xludf.DUMMYFUNCTION("GoogleTranslate(C196, ""en"", ""in"")"),"Kebijakan Cookie")</f>
        <v>Kebijakan Cookie</v>
      </c>
      <c r="AG196" s="7" t="str">
        <f>IFERROR(__xludf.DUMMYFUNCTION("GoogleTranslate(C196, ""en"", ""it"")"),"Politica sui cookie")</f>
        <v>Politica sui cookie</v>
      </c>
      <c r="AH196" s="7" t="str">
        <f>IFERROR(__xludf.DUMMYFUNCTION("GoogleTranslate(C196, ""en"", ""ja"")"),"クッキーポリシー")</f>
        <v>クッキーポリシー</v>
      </c>
      <c r="AI196" s="7" t="str">
        <f>IFERROR(__xludf.DUMMYFUNCTION("GoogleTranslate(C196, ""en"", ""kn"")"),"ಕುಕಿ ನೀತಿ")</f>
        <v>ಕುಕಿ ನೀತಿ</v>
      </c>
      <c r="AJ196" s="7" t="str">
        <f>IFERROR(__xludf.DUMMYFUNCTION("GoogleTranslate(C196, ""en"", ""km"")"),"គោលការណ៍ខូឃី")</f>
        <v>គោលការណ៍ខូឃី</v>
      </c>
      <c r="AK196" s="7" t="str">
        <f>IFERROR(__xludf.DUMMYFUNCTION("GoogleTranslate(C196, ""en"", ""ko"")"),"쿠키 정책")</f>
        <v>쿠키 정책</v>
      </c>
      <c r="AL196" s="7" t="str">
        <f>IFERROR(__xludf.DUMMYFUNCTION("GoogleTranslate(C196, ""en"", ""lo"")"),"ນະໂຍບາຍຄຸກກີ")</f>
        <v>ນະໂຍບາຍຄຸກກີ</v>
      </c>
      <c r="AM196" s="7" t="str">
        <f>IFERROR(__xludf.DUMMYFUNCTION("GoogleTranslate(C196, ""en"", ""lv"")"),"Sīkdatņu politika")</f>
        <v>Sīkdatņu politika</v>
      </c>
      <c r="AN196" s="7" t="str">
        <f>IFERROR(__xludf.DUMMYFUNCTION("GoogleTranslate(C196, ""en"", ""lt"")"),"Slapukų politika")</f>
        <v>Slapukų politika</v>
      </c>
      <c r="AO196" s="7" t="str">
        <f>IFERROR(__xludf.DUMMYFUNCTION("GoogleTranslate(C196, ""en"", ""mk"")"),"Политика за колачиња")</f>
        <v>Политика за колачиња</v>
      </c>
      <c r="AP196" s="7" t="str">
        <f>IFERROR(__xludf.DUMMYFUNCTION("GoogleTranslate(C196, ""en"", ""ms"")"),"Dasar Kuki")</f>
        <v>Dasar Kuki</v>
      </c>
      <c r="AQ196" s="7" t="str">
        <f>IFERROR(__xludf.DUMMYFUNCTION("GoogleTranslate(C196, ""en"", ""ml"")"),"കുക്കി നയം")</f>
        <v>കുക്കി നയം</v>
      </c>
      <c r="AR196" s="7" t="str">
        <f>IFERROR(__xludf.DUMMYFUNCTION("GoogleTranslate(C196, ""en"", ""mr"")"),"कुकी धोरण")</f>
        <v>कुकी धोरण</v>
      </c>
      <c r="AS196" s="7" t="str">
        <f>IFERROR(__xludf.DUMMYFUNCTION("GoogleTranslate(C196, ""en"", ""mn"")"),"Күүкийн бодлого")</f>
        <v>Күүкийн бодлого</v>
      </c>
      <c r="AT196" s="7" t="str">
        <f>IFERROR(__xludf.DUMMYFUNCTION("GoogleTranslate(C196, ""en"", ""ne"")"),"कुकी नीति")</f>
        <v>कुकी नीति</v>
      </c>
      <c r="AU196" s="7" t="str">
        <f>IFERROR(__xludf.DUMMYFUNCTION("GoogleTranslate(C196, ""en"", ""nb"")"),"Retningslinjer for informasjonskapsler")</f>
        <v>Retningslinjer for informasjonskapsler</v>
      </c>
      <c r="AV196" s="7" t="str">
        <f>IFERROR(__xludf.DUMMYFUNCTION("GoogleTranslate(C196, ""en"", ""fa"")"),"خط مشی کوکی")</f>
        <v>خط مشی کوکی</v>
      </c>
      <c r="AW196" s="7" t="str">
        <f>IFERROR(__xludf.DUMMYFUNCTION("GoogleTranslate(C196, ""en"", ""pl"")"),"Polityka plików cookie")</f>
        <v>Polityka plików cookie</v>
      </c>
      <c r="AX196" s="7" t="str">
        <f>IFERROR(__xludf.DUMMYFUNCTION("GoogleTranslate(C196, ""en"", ""pt"")"),"Política de Cookies")</f>
        <v>Política de Cookies</v>
      </c>
      <c r="AY196" s="7" t="str">
        <f>IFERROR(__xludf.DUMMYFUNCTION("GoogleTranslate(C196, ""en"", ""ro"")"),"Politica de cookie-uri")</f>
        <v>Politica de cookie-uri</v>
      </c>
      <c r="AZ196" s="7" t="str">
        <f>IFERROR(__xludf.DUMMYFUNCTION("GoogleTranslate(C196, ""en"", ""ru"")"),"Политика использования файлов cookie")</f>
        <v>Политика использования файлов cookie</v>
      </c>
      <c r="BA196" s="7" t="str">
        <f>IFERROR(__xludf.DUMMYFUNCTION("GoogleTranslate(C196, ""en"", ""sr"")"),"Политика колачића")</f>
        <v>Политика колачића</v>
      </c>
      <c r="BB196" s="7" t="str">
        <f>IFERROR(__xludf.DUMMYFUNCTION("GoogleTranslate(C196, ""en"", ""si"")"),"කුකී ප්‍රතිපත්තිය")</f>
        <v>කුකී ප්‍රතිපත්තිය</v>
      </c>
      <c r="BC196" s="7" t="str">
        <f>IFERROR(__xludf.DUMMYFUNCTION("GoogleTranslate(C196, ""en"", ""sk"")"),"Zásady používania súborov cookie")</f>
        <v>Zásady používania súborov cookie</v>
      </c>
      <c r="BD196" s="7" t="str">
        <f>IFERROR(__xludf.DUMMYFUNCTION("GoogleTranslate(C196, ""en"", ""sl"")"),"Politika piškotkov")</f>
        <v>Politika piškotkov</v>
      </c>
      <c r="BE196" s="7" t="str">
        <f>IFERROR(__xludf.DUMMYFUNCTION("GoogleTranslate(C196, ""en"", ""es"")"),"Política de cookies")</f>
        <v>Política de cookies</v>
      </c>
      <c r="BF196" s="7" t="str">
        <f>IFERROR(__xludf.DUMMYFUNCTION("GoogleTranslate(C196, ""en"", ""sw"")"),"Sera ya Vidakuzi")</f>
        <v>Sera ya Vidakuzi</v>
      </c>
      <c r="BG196" s="7" t="str">
        <f>IFERROR(__xludf.DUMMYFUNCTION("GoogleTranslate(C196, ""en"", ""sv"")"),"Cookiepolicy")</f>
        <v>Cookiepolicy</v>
      </c>
      <c r="BH196" s="7" t="str">
        <f>IFERROR(__xludf.DUMMYFUNCTION("GoogleTranslate(C196, ""en"", ""te"")"),"కుకీ విధానం")</f>
        <v>కుకీ విధానం</v>
      </c>
      <c r="BI196" s="7" t="str">
        <f>IFERROR(__xludf.DUMMYFUNCTION("GoogleTranslate(C196, ""en"", ""th"")"),"นโยบายคุกกี้")</f>
        <v>นโยบายคุกกี้</v>
      </c>
      <c r="BJ196" s="7" t="str">
        <f>IFERROR(__xludf.DUMMYFUNCTION("GoogleTranslate(C196, ""en"", ""tr"")"),"Çerez Politikası")</f>
        <v>Çerez Politikası</v>
      </c>
      <c r="BK196" s="7" t="str">
        <f>IFERROR(__xludf.DUMMYFUNCTION("GoogleTranslate(C196, ""en"", ""uk"")"),"Політика використання файлів cookie")</f>
        <v>Політика використання файлів cookie</v>
      </c>
      <c r="BL196" s="7" t="str">
        <f>IFERROR(__xludf.DUMMYFUNCTION("GoogleTranslate(C196, ""en"", ""zu"")"),"Inqubomgomo Yekhukhi")</f>
        <v>Inqubomgomo Yekhukhi</v>
      </c>
    </row>
    <row r="197">
      <c r="A197" s="5" t="str">
        <f t="shared" si="1"/>
        <v>Low</v>
      </c>
      <c r="B197" s="4" t="s">
        <v>106</v>
      </c>
      <c r="C197" s="4" t="s">
        <v>106</v>
      </c>
      <c r="D197" s="7" t="str">
        <f>IFERROR(__xludf.DUMMYFUNCTION("GoogleTranslate(C197, ""en"", ""es"")"),"Bajo")</f>
        <v>Bajo</v>
      </c>
      <c r="E197" s="7" t="str">
        <f>IFERROR(__xludf.DUMMYFUNCTION("GoogleTranslate(C197, ""en"", ""ar"")"),"قليل")</f>
        <v>قليل</v>
      </c>
      <c r="F197" s="7" t="str">
        <f>IFERROR(__xludf.DUMMYFUNCTION("GoogleTranslate(C197, ""en"", ""hy"")"),"Ցածր")</f>
        <v>Ցածր</v>
      </c>
      <c r="G197" s="7" t="str">
        <f>IFERROR(__xludf.DUMMYFUNCTION("GoogleTranslate(C197, ""en"", ""vi"")"),"Thấp")</f>
        <v>Thấp</v>
      </c>
      <c r="H197" s="7" t="str">
        <f>IFERROR(__xludf.DUMMYFUNCTION("GoogleTranslate(C197, ""en"", ""az"")"),"Aşağı")</f>
        <v>Aşağı</v>
      </c>
      <c r="I197" s="7" t="str">
        <f>IFERROR(__xludf.DUMMYFUNCTION("GoogleTranslate(C197, ""en"", ""eu"")"),"Baxua")</f>
        <v>Baxua</v>
      </c>
      <c r="J197" s="7" t="str">
        <f>IFERROR(__xludf.DUMMYFUNCTION("GoogleTranslate(C197, ""en"", ""be"")"),"Нізкі")</f>
        <v>Нізкі</v>
      </c>
      <c r="K197" s="7" t="str">
        <f>IFERROR(__xludf.DUMMYFUNCTION("GoogleTranslate(C197, ""en"", ""bn"")"),"কম")</f>
        <v>কম</v>
      </c>
      <c r="L197" s="7" t="str">
        <f>IFERROR(__xludf.DUMMYFUNCTION("GoogleTranslate(C197, ""en"", ""bg"")"),"ниско")</f>
        <v>ниско</v>
      </c>
      <c r="M197" s="7" t="str">
        <f>IFERROR(__xludf.DUMMYFUNCTION("GoogleTranslate(C197, ""en"", ""my"")"),"နိမ့်သည်။")</f>
        <v>နိမ့်သည်။</v>
      </c>
      <c r="N197" s="7" t="str">
        <f>IFERROR(__xludf.DUMMYFUNCTION("GoogleTranslate(C197, ""en"", ""ca"")"),"Baixa")</f>
        <v>Baixa</v>
      </c>
      <c r="O197" s="7" t="str">
        <f>IFERROR(__xludf.DUMMYFUNCTION("GoogleTranslate(C197, ""en"", ""zh-cn"")"),"低的")</f>
        <v>低的</v>
      </c>
      <c r="P197" s="7" t="str">
        <f>IFERROR(__xludf.DUMMYFUNCTION("GoogleTranslate(C197, ""en"", ""zh-TW"")"),"低的")</f>
        <v>低的</v>
      </c>
      <c r="Q197" s="7" t="str">
        <f>IFERROR(__xludf.DUMMYFUNCTION("GoogleTranslate(C197, ""en"", ""hr"")"),"Niska")</f>
        <v>Niska</v>
      </c>
      <c r="R197" s="7" t="str">
        <f>IFERROR(__xludf.DUMMYFUNCTION("GoogleTranslate(C197, ""en"", ""cs"")"),"Nízký")</f>
        <v>Nízký</v>
      </c>
      <c r="S197" s="7" t="str">
        <f>IFERROR(__xludf.DUMMYFUNCTION("GoogleTranslate(C197, ""en"", ""da"")"),"Lav")</f>
        <v>Lav</v>
      </c>
      <c r="T197" s="7" t="str">
        <f>IFERROR(__xludf.DUMMYFUNCTION("GoogleTranslate(C197, ""en"", ""nl"")"),"Laag")</f>
        <v>Laag</v>
      </c>
      <c r="U197" s="7" t="str">
        <f>IFERROR(__xludf.DUMMYFUNCTION("GoogleTranslate(C197, ""en"", ""et"")"),"Madal")</f>
        <v>Madal</v>
      </c>
      <c r="V197" s="5" t="str">
        <f t="shared" si="3"/>
        <v>Low</v>
      </c>
      <c r="W197" s="7" t="str">
        <f>IFERROR(__xludf.DUMMYFUNCTION("GoogleTranslate(C197, ""en"", ""fi"")"),"Matala")</f>
        <v>Matala</v>
      </c>
      <c r="X197" s="7" t="str">
        <f>IFERROR(__xludf.DUMMYFUNCTION("GoogleTranslate(C197, ""en"", ""fr"")"),"Faible")</f>
        <v>Faible</v>
      </c>
      <c r="Y197" s="7" t="str">
        <f>IFERROR(__xludf.DUMMYFUNCTION("GoogleTranslate(C197, ""en"", ""de"")"),"Niedrig")</f>
        <v>Niedrig</v>
      </c>
      <c r="Z197" s="7" t="str">
        <f>IFERROR(__xludf.DUMMYFUNCTION("GoogleTranslate(C197, ""en"", ""el"")"),"Χαμηλός")</f>
        <v>Χαμηλός</v>
      </c>
      <c r="AA197" s="7" t="str">
        <f>IFERROR(__xludf.DUMMYFUNCTION("GoogleTranslate(C197, ""en"", ""iw"")"),"נָמוּך")</f>
        <v>נָמוּך</v>
      </c>
      <c r="AB197" s="7" t="str">
        <f>IFERROR(__xludf.DUMMYFUNCTION("GoogleTranslate(C197, ""en"", ""hi"")"),"कम")</f>
        <v>कम</v>
      </c>
      <c r="AC197" s="7" t="str">
        <f>IFERROR(__xludf.DUMMYFUNCTION("GoogleTranslate(C197, ""en"", ""hu"")"),"Alacsony")</f>
        <v>Alacsony</v>
      </c>
      <c r="AD197" s="7" t="str">
        <f>IFERROR(__xludf.DUMMYFUNCTION("GoogleTranslate(C197, ""en"", ""is"")"),"Lágt")</f>
        <v>Lágt</v>
      </c>
      <c r="AE197" s="7" t="str">
        <f>IFERROR(__xludf.DUMMYFUNCTION("GoogleTranslate(C197, ""en"", ""id"")"),"Rendah")</f>
        <v>Rendah</v>
      </c>
      <c r="AF197" s="7" t="str">
        <f>IFERROR(__xludf.DUMMYFUNCTION("GoogleTranslate(C197, ""en"", ""in"")"),"Rendah")</f>
        <v>Rendah</v>
      </c>
      <c r="AG197" s="7" t="str">
        <f>IFERROR(__xludf.DUMMYFUNCTION("GoogleTranslate(C197, ""en"", ""it"")"),"Basso")</f>
        <v>Basso</v>
      </c>
      <c r="AH197" s="7" t="str">
        <f>IFERROR(__xludf.DUMMYFUNCTION("GoogleTranslate(C197, ""en"", ""ja"")"),"低い")</f>
        <v>低い</v>
      </c>
      <c r="AI197" s="7" t="str">
        <f>IFERROR(__xludf.DUMMYFUNCTION("GoogleTranslate(C197, ""en"", ""kn"")"),"ಕಡಿಮೆ")</f>
        <v>ಕಡಿಮೆ</v>
      </c>
      <c r="AJ197" s="7" t="str">
        <f>IFERROR(__xludf.DUMMYFUNCTION("GoogleTranslate(C197, ""en"", ""km"")"),"ទាប")</f>
        <v>ទាប</v>
      </c>
      <c r="AK197" s="7" t="str">
        <f>IFERROR(__xludf.DUMMYFUNCTION("GoogleTranslate(C197, ""en"", ""ko"")"),"낮은")</f>
        <v>낮은</v>
      </c>
      <c r="AL197" s="7" t="str">
        <f>IFERROR(__xludf.DUMMYFUNCTION("GoogleTranslate(C197, ""en"", ""lo"")"),"ຕໍ່າ")</f>
        <v>ຕໍ່າ</v>
      </c>
      <c r="AM197" s="7" t="str">
        <f>IFERROR(__xludf.DUMMYFUNCTION("GoogleTranslate(C197, ""en"", ""lv"")"),"Zems")</f>
        <v>Zems</v>
      </c>
      <c r="AN197" s="7" t="str">
        <f>IFERROR(__xludf.DUMMYFUNCTION("GoogleTranslate(C197, ""en"", ""lt"")"),"Žemas")</f>
        <v>Žemas</v>
      </c>
      <c r="AO197" s="7" t="str">
        <f>IFERROR(__xludf.DUMMYFUNCTION("GoogleTranslate(C197, ""en"", ""mk"")"),"Ниско")</f>
        <v>Ниско</v>
      </c>
      <c r="AP197" s="7" t="str">
        <f>IFERROR(__xludf.DUMMYFUNCTION("GoogleTranslate(C197, ""en"", ""ms"")"),"rendah")</f>
        <v>rendah</v>
      </c>
      <c r="AQ197" s="7" t="str">
        <f>IFERROR(__xludf.DUMMYFUNCTION("GoogleTranslate(C197, ""en"", ""ml"")"),"താഴ്ന്നത്")</f>
        <v>താഴ്ന്നത്</v>
      </c>
      <c r="AR197" s="7" t="str">
        <f>IFERROR(__xludf.DUMMYFUNCTION("GoogleTranslate(C197, ""en"", ""mr"")"),"कमी")</f>
        <v>कमी</v>
      </c>
      <c r="AS197" s="7" t="str">
        <f>IFERROR(__xludf.DUMMYFUNCTION("GoogleTranslate(C197, ""en"", ""mn"")"),"Бага")</f>
        <v>Бага</v>
      </c>
      <c r="AT197" s="7" t="str">
        <f>IFERROR(__xludf.DUMMYFUNCTION("GoogleTranslate(C197, ""en"", ""ne"")"),"कम")</f>
        <v>कम</v>
      </c>
      <c r="AU197" s="7" t="str">
        <f>IFERROR(__xludf.DUMMYFUNCTION("GoogleTranslate(C197, ""en"", ""nb"")"),"Lav")</f>
        <v>Lav</v>
      </c>
      <c r="AV197" s="7" t="str">
        <f>IFERROR(__xludf.DUMMYFUNCTION("GoogleTranslate(C197, ""en"", ""fa"")"),"پایین")</f>
        <v>پایین</v>
      </c>
      <c r="AW197" s="7" t="str">
        <f>IFERROR(__xludf.DUMMYFUNCTION("GoogleTranslate(C197, ""en"", ""pl"")"),"Niski")</f>
        <v>Niski</v>
      </c>
      <c r="AX197" s="7" t="str">
        <f>IFERROR(__xludf.DUMMYFUNCTION("GoogleTranslate(C197, ""en"", ""pt"")"),"Baixo")</f>
        <v>Baixo</v>
      </c>
      <c r="AY197" s="7" t="str">
        <f>IFERROR(__xludf.DUMMYFUNCTION("GoogleTranslate(C197, ""en"", ""ro"")"),"Scăzut")</f>
        <v>Scăzut</v>
      </c>
      <c r="AZ197" s="7" t="str">
        <f>IFERROR(__xludf.DUMMYFUNCTION("GoogleTranslate(C197, ""en"", ""ru"")"),"Низкий")</f>
        <v>Низкий</v>
      </c>
      <c r="BA197" s="7" t="str">
        <f>IFERROR(__xludf.DUMMYFUNCTION("GoogleTranslate(C197, ""en"", ""sr"")"),"Ниско")</f>
        <v>Ниско</v>
      </c>
      <c r="BB197" s="7" t="str">
        <f>IFERROR(__xludf.DUMMYFUNCTION("GoogleTranslate(C197, ""en"", ""si"")"),"අඩුයි")</f>
        <v>අඩුයි</v>
      </c>
      <c r="BC197" s="7" t="str">
        <f>IFERROR(__xludf.DUMMYFUNCTION("GoogleTranslate(C197, ""en"", ""sk"")"),"Nízka")</f>
        <v>Nízka</v>
      </c>
      <c r="BD197" s="7" t="str">
        <f>IFERROR(__xludf.DUMMYFUNCTION("GoogleTranslate(C197, ""en"", ""sl"")"),"Nizka")</f>
        <v>Nizka</v>
      </c>
      <c r="BE197" s="7" t="str">
        <f>IFERROR(__xludf.DUMMYFUNCTION("GoogleTranslate(C197, ""en"", ""es"")"),"Bajo")</f>
        <v>Bajo</v>
      </c>
      <c r="BF197" s="7" t="str">
        <f>IFERROR(__xludf.DUMMYFUNCTION("GoogleTranslate(C197, ""en"", ""sw"")"),"Chini")</f>
        <v>Chini</v>
      </c>
      <c r="BG197" s="7" t="str">
        <f>IFERROR(__xludf.DUMMYFUNCTION("GoogleTranslate(C197, ""en"", ""sv"")"),"Låg")</f>
        <v>Låg</v>
      </c>
      <c r="BH197" s="7" t="str">
        <f>IFERROR(__xludf.DUMMYFUNCTION("GoogleTranslate(C197, ""en"", ""te"")"),"తక్కువ")</f>
        <v>తక్కువ</v>
      </c>
      <c r="BI197" s="7" t="str">
        <f>IFERROR(__xludf.DUMMYFUNCTION("GoogleTranslate(C197, ""en"", ""th"")"),"ต่ำ")</f>
        <v>ต่ำ</v>
      </c>
      <c r="BJ197" s="7" t="str">
        <f>IFERROR(__xludf.DUMMYFUNCTION("GoogleTranslate(C197, ""en"", ""tr"")"),"Düşük")</f>
        <v>Düşük</v>
      </c>
      <c r="BK197" s="7" t="str">
        <f>IFERROR(__xludf.DUMMYFUNCTION("GoogleTranslate(C197, ""en"", ""uk"")"),"Низький")</f>
        <v>Низький</v>
      </c>
      <c r="BL197" s="7" t="str">
        <f>IFERROR(__xludf.DUMMYFUNCTION("GoogleTranslate(C197, ""en"", ""zu"")"),"Phansi")</f>
        <v>Phansi</v>
      </c>
    </row>
    <row r="198">
      <c r="A198" s="5" t="str">
        <f t="shared" si="1"/>
        <v>Moderate</v>
      </c>
      <c r="B198" s="4" t="s">
        <v>182</v>
      </c>
      <c r="C198" s="4" t="s">
        <v>182</v>
      </c>
      <c r="D198" s="7" t="str">
        <f>IFERROR(__xludf.DUMMYFUNCTION("GoogleTranslate(C198, ""en"", ""es"")"),"Moderado")</f>
        <v>Moderado</v>
      </c>
      <c r="E198" s="7" t="str">
        <f>IFERROR(__xludf.DUMMYFUNCTION("GoogleTranslate(C198, ""en"", ""ar"")"),"معتدل")</f>
        <v>معتدل</v>
      </c>
      <c r="F198" s="7" t="str">
        <f>IFERROR(__xludf.DUMMYFUNCTION("GoogleTranslate(C198, ""en"", ""hy"")"),"Չափավոր")</f>
        <v>Չափավոր</v>
      </c>
      <c r="G198" s="7" t="str">
        <f>IFERROR(__xludf.DUMMYFUNCTION("GoogleTranslate(C198, ""en"", ""vi"")"),"Vừa phải")</f>
        <v>Vừa phải</v>
      </c>
      <c r="H198" s="7" t="str">
        <f>IFERROR(__xludf.DUMMYFUNCTION("GoogleTranslate(C198, ""en"", ""az"")"),"Orta")</f>
        <v>Orta</v>
      </c>
      <c r="I198" s="7" t="str">
        <f>IFERROR(__xludf.DUMMYFUNCTION("GoogleTranslate(C198, ""en"", ""eu"")"),"Moderatua")</f>
        <v>Moderatua</v>
      </c>
      <c r="J198" s="7" t="str">
        <f>IFERROR(__xludf.DUMMYFUNCTION("GoogleTranslate(C198, ""en"", ""be"")"),"Умераны")</f>
        <v>Умераны</v>
      </c>
      <c r="K198" s="7" t="str">
        <f>IFERROR(__xludf.DUMMYFUNCTION("GoogleTranslate(C198, ""en"", ""bn"")"),"পরিমিত")</f>
        <v>পরিমিত</v>
      </c>
      <c r="L198" s="7" t="str">
        <f>IFERROR(__xludf.DUMMYFUNCTION("GoogleTranslate(C198, ""en"", ""bg"")"),"Умерен")</f>
        <v>Умерен</v>
      </c>
      <c r="M198" s="7" t="str">
        <f>IFERROR(__xludf.DUMMYFUNCTION("GoogleTranslate(C198, ""en"", ""my"")"),"တော်ရုံတန်ရုံ")</f>
        <v>တော်ရုံတန်ရုံ</v>
      </c>
      <c r="N198" s="7" t="str">
        <f>IFERROR(__xludf.DUMMYFUNCTION("GoogleTranslate(C198, ""en"", ""ca"")"),"Moderat")</f>
        <v>Moderat</v>
      </c>
      <c r="O198" s="7" t="str">
        <f>IFERROR(__xludf.DUMMYFUNCTION("GoogleTranslate(C198, ""en"", ""zh-cn"")"),"缓和")</f>
        <v>缓和</v>
      </c>
      <c r="P198" s="7" t="str">
        <f>IFERROR(__xludf.DUMMYFUNCTION("GoogleTranslate(C198, ""en"", ""zh-TW"")"),"緩和")</f>
        <v>緩和</v>
      </c>
      <c r="Q198" s="7" t="str">
        <f>IFERROR(__xludf.DUMMYFUNCTION("GoogleTranslate(C198, ""en"", ""hr"")"),"Umjereno")</f>
        <v>Umjereno</v>
      </c>
      <c r="R198" s="7" t="str">
        <f>IFERROR(__xludf.DUMMYFUNCTION("GoogleTranslate(C198, ""en"", ""cs"")"),"Mírný")</f>
        <v>Mírný</v>
      </c>
      <c r="S198" s="7" t="str">
        <f>IFERROR(__xludf.DUMMYFUNCTION("GoogleTranslate(C198, ""en"", ""da"")"),"Moderat")</f>
        <v>Moderat</v>
      </c>
      <c r="T198" s="7" t="str">
        <f>IFERROR(__xludf.DUMMYFUNCTION("GoogleTranslate(C198, ""en"", ""nl"")"),"Gematigd")</f>
        <v>Gematigd</v>
      </c>
      <c r="U198" s="7" t="str">
        <f>IFERROR(__xludf.DUMMYFUNCTION("GoogleTranslate(C198, ""en"", ""et"")"),"Mõõdukas")</f>
        <v>Mõõdukas</v>
      </c>
      <c r="V198" s="5" t="str">
        <f t="shared" si="3"/>
        <v>Moderate</v>
      </c>
      <c r="W198" s="7" t="str">
        <f>IFERROR(__xludf.DUMMYFUNCTION("GoogleTranslate(C198, ""en"", ""fi"")"),"Kohtalainen")</f>
        <v>Kohtalainen</v>
      </c>
      <c r="X198" s="7" t="str">
        <f>IFERROR(__xludf.DUMMYFUNCTION("GoogleTranslate(C198, ""en"", ""fr"")"),"Modéré")</f>
        <v>Modéré</v>
      </c>
      <c r="Y198" s="7" t="str">
        <f>IFERROR(__xludf.DUMMYFUNCTION("GoogleTranslate(C198, ""en"", ""de"")"),"Mäßig")</f>
        <v>Mäßig</v>
      </c>
      <c r="Z198" s="7" t="str">
        <f>IFERROR(__xludf.DUMMYFUNCTION("GoogleTranslate(C198, ""en"", ""el"")"),"Μέτριος")</f>
        <v>Μέτριος</v>
      </c>
      <c r="AA198" s="7" t="str">
        <f>IFERROR(__xludf.DUMMYFUNCTION("GoogleTranslate(C198, ""en"", ""iw"")"),"לְמַתֵן")</f>
        <v>לְמַתֵן</v>
      </c>
      <c r="AB198" s="7" t="str">
        <f>IFERROR(__xludf.DUMMYFUNCTION("GoogleTranslate(C198, ""en"", ""hi"")"),"मध्यम")</f>
        <v>मध्यम</v>
      </c>
      <c r="AC198" s="7" t="str">
        <f>IFERROR(__xludf.DUMMYFUNCTION("GoogleTranslate(C198, ""en"", ""hu"")"),"Mérsékelt")</f>
        <v>Mérsékelt</v>
      </c>
      <c r="AD198" s="7" t="str">
        <f>IFERROR(__xludf.DUMMYFUNCTION("GoogleTranslate(C198, ""en"", ""is"")"),"Í meðallagi")</f>
        <v>Í meðallagi</v>
      </c>
      <c r="AE198" s="7" t="str">
        <f>IFERROR(__xludf.DUMMYFUNCTION("GoogleTranslate(C198, ""en"", ""id"")"),"Sedang")</f>
        <v>Sedang</v>
      </c>
      <c r="AF198" s="7" t="str">
        <f>IFERROR(__xludf.DUMMYFUNCTION("GoogleTranslate(C198, ""en"", ""in"")"),"Sedang")</f>
        <v>Sedang</v>
      </c>
      <c r="AG198" s="7" t="str">
        <f>IFERROR(__xludf.DUMMYFUNCTION("GoogleTranslate(C198, ""en"", ""it"")"),"Moderare")</f>
        <v>Moderare</v>
      </c>
      <c r="AH198" s="7" t="str">
        <f>IFERROR(__xludf.DUMMYFUNCTION("GoogleTranslate(C198, ""en"", ""ja"")"),"適度")</f>
        <v>適度</v>
      </c>
      <c r="AI198" s="7" t="str">
        <f>IFERROR(__xludf.DUMMYFUNCTION("GoogleTranslate(C198, ""en"", ""kn"")"),"ಮಧ್ಯಮ")</f>
        <v>ಮಧ್ಯಮ</v>
      </c>
      <c r="AJ198" s="7" t="str">
        <f>IFERROR(__xludf.DUMMYFUNCTION("GoogleTranslate(C198, ""en"", ""km"")"),"មធ្យម")</f>
        <v>មធ្យម</v>
      </c>
      <c r="AK198" s="7" t="str">
        <f>IFERROR(__xludf.DUMMYFUNCTION("GoogleTranslate(C198, ""en"", ""ko"")"),"보통의")</f>
        <v>보통의</v>
      </c>
      <c r="AL198" s="7" t="str">
        <f>IFERROR(__xludf.DUMMYFUNCTION("GoogleTranslate(C198, ""en"", ""lo"")"),"ປານກາງ")</f>
        <v>ປານກາງ</v>
      </c>
      <c r="AM198" s="7" t="str">
        <f>IFERROR(__xludf.DUMMYFUNCTION("GoogleTranslate(C198, ""en"", ""lv"")"),"Mērens")</f>
        <v>Mērens</v>
      </c>
      <c r="AN198" s="7" t="str">
        <f>IFERROR(__xludf.DUMMYFUNCTION("GoogleTranslate(C198, ""en"", ""lt"")"),"Vidutinis")</f>
        <v>Vidutinis</v>
      </c>
      <c r="AO198" s="7" t="str">
        <f>IFERROR(__xludf.DUMMYFUNCTION("GoogleTranslate(C198, ""en"", ""mk"")"),"Умерено")</f>
        <v>Умерено</v>
      </c>
      <c r="AP198" s="7" t="str">
        <f>IFERROR(__xludf.DUMMYFUNCTION("GoogleTranslate(C198, ""en"", ""ms"")"),"Sederhana")</f>
        <v>Sederhana</v>
      </c>
      <c r="AQ198" s="7" t="str">
        <f>IFERROR(__xludf.DUMMYFUNCTION("GoogleTranslate(C198, ""en"", ""ml"")"),"മിതത്വം")</f>
        <v>മിതത്വം</v>
      </c>
      <c r="AR198" s="7" t="str">
        <f>IFERROR(__xludf.DUMMYFUNCTION("GoogleTranslate(C198, ""en"", ""mr"")"),"मध्यम")</f>
        <v>मध्यम</v>
      </c>
      <c r="AS198" s="7" t="str">
        <f>IFERROR(__xludf.DUMMYFUNCTION("GoogleTranslate(C198, ""en"", ""mn"")"),"Дунд зэрэг")</f>
        <v>Дунд зэрэг</v>
      </c>
      <c r="AT198" s="7" t="str">
        <f>IFERROR(__xludf.DUMMYFUNCTION("GoogleTranslate(C198, ""en"", ""ne"")"),"मध्यम")</f>
        <v>मध्यम</v>
      </c>
      <c r="AU198" s="7" t="str">
        <f>IFERROR(__xludf.DUMMYFUNCTION("GoogleTranslate(C198, ""en"", ""nb"")"),"Moderat")</f>
        <v>Moderat</v>
      </c>
      <c r="AV198" s="7" t="str">
        <f>IFERROR(__xludf.DUMMYFUNCTION("GoogleTranslate(C198, ""en"", ""fa"")"),"متوسط")</f>
        <v>متوسط</v>
      </c>
      <c r="AW198" s="7" t="str">
        <f>IFERROR(__xludf.DUMMYFUNCTION("GoogleTranslate(C198, ""en"", ""pl"")"),"Umiarkowany")</f>
        <v>Umiarkowany</v>
      </c>
      <c r="AX198" s="7" t="str">
        <f>IFERROR(__xludf.DUMMYFUNCTION("GoogleTranslate(C198, ""en"", ""pt"")"),"Moderado")</f>
        <v>Moderado</v>
      </c>
      <c r="AY198" s="7" t="str">
        <f>IFERROR(__xludf.DUMMYFUNCTION("GoogleTranslate(C198, ""en"", ""ro"")"),"Moderat")</f>
        <v>Moderat</v>
      </c>
      <c r="AZ198" s="7" t="str">
        <f>IFERROR(__xludf.DUMMYFUNCTION("GoogleTranslate(C198, ""en"", ""ru"")"),"Умеренный")</f>
        <v>Умеренный</v>
      </c>
      <c r="BA198" s="7" t="str">
        <f>IFERROR(__xludf.DUMMYFUNCTION("GoogleTranslate(C198, ""en"", ""sr"")"),"Умерено")</f>
        <v>Умерено</v>
      </c>
      <c r="BB198" s="7" t="str">
        <f>IFERROR(__xludf.DUMMYFUNCTION("GoogleTranslate(C198, ""en"", ""si"")"),"මධ්යස්ථ")</f>
        <v>මධ්යස්ථ</v>
      </c>
      <c r="BC198" s="7" t="str">
        <f>IFERROR(__xludf.DUMMYFUNCTION("GoogleTranslate(C198, ""en"", ""sk"")"),"Mierne")</f>
        <v>Mierne</v>
      </c>
      <c r="BD198" s="7" t="str">
        <f>IFERROR(__xludf.DUMMYFUNCTION("GoogleTranslate(C198, ""en"", ""sl"")"),"Zmerno")</f>
        <v>Zmerno</v>
      </c>
      <c r="BE198" s="7" t="str">
        <f>IFERROR(__xludf.DUMMYFUNCTION("GoogleTranslate(C198, ""en"", ""es"")"),"Moderado")</f>
        <v>Moderado</v>
      </c>
      <c r="BF198" s="7" t="str">
        <f>IFERROR(__xludf.DUMMYFUNCTION("GoogleTranslate(C198, ""en"", ""sw"")"),"Wastani")</f>
        <v>Wastani</v>
      </c>
      <c r="BG198" s="7" t="str">
        <f>IFERROR(__xludf.DUMMYFUNCTION("GoogleTranslate(C198, ""en"", ""sv"")"),"Måttlig")</f>
        <v>Måttlig</v>
      </c>
      <c r="BH198" s="7" t="str">
        <f>IFERROR(__xludf.DUMMYFUNCTION("GoogleTranslate(C198, ""en"", ""te"")"),"మితమైన")</f>
        <v>మితమైన</v>
      </c>
      <c r="BI198" s="7" t="str">
        <f>IFERROR(__xludf.DUMMYFUNCTION("GoogleTranslate(C198, ""en"", ""th"")"),"ปานกลาง")</f>
        <v>ปานกลาง</v>
      </c>
      <c r="BJ198" s="7" t="str">
        <f>IFERROR(__xludf.DUMMYFUNCTION("GoogleTranslate(C198, ""en"", ""tr"")"),"Ilıman")</f>
        <v>Ilıman</v>
      </c>
      <c r="BK198" s="7" t="str">
        <f>IFERROR(__xludf.DUMMYFUNCTION("GoogleTranslate(C198, ""en"", ""uk"")"),"Помірний")</f>
        <v>Помірний</v>
      </c>
      <c r="BL198" s="7" t="str">
        <f>IFERROR(__xludf.DUMMYFUNCTION("GoogleTranslate(C198, ""en"", ""zu"")"),"Kuphakathi")</f>
        <v>Kuphakathi</v>
      </c>
    </row>
    <row r="199">
      <c r="A199" s="5" t="str">
        <f t="shared" si="1"/>
        <v>High</v>
      </c>
      <c r="B199" s="4" t="s">
        <v>107</v>
      </c>
      <c r="C199" s="4" t="s">
        <v>107</v>
      </c>
      <c r="D199" s="7" t="str">
        <f>IFERROR(__xludf.DUMMYFUNCTION("GoogleTranslate(C199, ""en"", ""es"")"),"Alto")</f>
        <v>Alto</v>
      </c>
      <c r="E199" s="7" t="str">
        <f>IFERROR(__xludf.DUMMYFUNCTION("GoogleTranslate(C199, ""en"", ""ar"")"),"عالي")</f>
        <v>عالي</v>
      </c>
      <c r="F199" s="7" t="str">
        <f>IFERROR(__xludf.DUMMYFUNCTION("GoogleTranslate(C199, ""en"", ""hy"")"),"Բարձր")</f>
        <v>Բարձր</v>
      </c>
      <c r="G199" s="7" t="str">
        <f>IFERROR(__xludf.DUMMYFUNCTION("GoogleTranslate(C199, ""en"", ""vi"")"),"Cao")</f>
        <v>Cao</v>
      </c>
      <c r="H199" s="7" t="str">
        <f>IFERROR(__xludf.DUMMYFUNCTION("GoogleTranslate(C199, ""en"", ""az"")"),"Yüksək")</f>
        <v>Yüksək</v>
      </c>
      <c r="I199" s="7" t="str">
        <f>IFERROR(__xludf.DUMMYFUNCTION("GoogleTranslate(C199, ""en"", ""eu"")"),"Alta")</f>
        <v>Alta</v>
      </c>
      <c r="J199" s="7" t="str">
        <f>IFERROR(__xludf.DUMMYFUNCTION("GoogleTranslate(C199, ""en"", ""be"")"),"Высокі")</f>
        <v>Высокі</v>
      </c>
      <c r="K199" s="7" t="str">
        <f>IFERROR(__xludf.DUMMYFUNCTION("GoogleTranslate(C199, ""en"", ""bn"")"),"উচ্চ")</f>
        <v>উচ্চ</v>
      </c>
      <c r="L199" s="7" t="str">
        <f>IFERROR(__xludf.DUMMYFUNCTION("GoogleTranslate(C199, ""en"", ""bg"")"),"високо")</f>
        <v>високо</v>
      </c>
      <c r="M199" s="7" t="str">
        <f>IFERROR(__xludf.DUMMYFUNCTION("GoogleTranslate(C199, ""en"", ""my"")"),"မြင့်သည်။")</f>
        <v>မြင့်သည်။</v>
      </c>
      <c r="N199" s="7" t="str">
        <f>IFERROR(__xludf.DUMMYFUNCTION("GoogleTranslate(C199, ""en"", ""ca"")"),"Alt")</f>
        <v>Alt</v>
      </c>
      <c r="O199" s="7" t="str">
        <f>IFERROR(__xludf.DUMMYFUNCTION("GoogleTranslate(C199, ""en"", ""zh-cn"")"),"高的")</f>
        <v>高的</v>
      </c>
      <c r="P199" s="7" t="str">
        <f>IFERROR(__xludf.DUMMYFUNCTION("GoogleTranslate(C199, ""en"", ""zh-TW"")"),"高的")</f>
        <v>高的</v>
      </c>
      <c r="Q199" s="7" t="str">
        <f>IFERROR(__xludf.DUMMYFUNCTION("GoogleTranslate(C199, ""en"", ""hr"")"),"visoko")</f>
        <v>visoko</v>
      </c>
      <c r="R199" s="7" t="str">
        <f>IFERROR(__xludf.DUMMYFUNCTION("GoogleTranslate(C199, ""en"", ""cs"")"),"Vysoký")</f>
        <v>Vysoký</v>
      </c>
      <c r="S199" s="7" t="str">
        <f>IFERROR(__xludf.DUMMYFUNCTION("GoogleTranslate(C199, ""en"", ""da"")"),"Høj")</f>
        <v>Høj</v>
      </c>
      <c r="T199" s="7" t="str">
        <f>IFERROR(__xludf.DUMMYFUNCTION("GoogleTranslate(C199, ""en"", ""nl"")"),"Hoog")</f>
        <v>Hoog</v>
      </c>
      <c r="U199" s="7" t="str">
        <f>IFERROR(__xludf.DUMMYFUNCTION("GoogleTranslate(C199, ""en"", ""et"")"),"Kõrge")</f>
        <v>Kõrge</v>
      </c>
      <c r="V199" s="5" t="str">
        <f t="shared" si="3"/>
        <v>High</v>
      </c>
      <c r="W199" s="7" t="str">
        <f>IFERROR(__xludf.DUMMYFUNCTION("GoogleTranslate(C199, ""en"", ""fi"")"),"Korkea")</f>
        <v>Korkea</v>
      </c>
      <c r="X199" s="7" t="str">
        <f>IFERROR(__xludf.DUMMYFUNCTION("GoogleTranslate(C199, ""en"", ""fr"")"),"Haut")</f>
        <v>Haut</v>
      </c>
      <c r="Y199" s="7" t="str">
        <f>IFERROR(__xludf.DUMMYFUNCTION("GoogleTranslate(C199, ""en"", ""de"")"),"Hoch")</f>
        <v>Hoch</v>
      </c>
      <c r="Z199" s="7" t="str">
        <f>IFERROR(__xludf.DUMMYFUNCTION("GoogleTranslate(C199, ""en"", ""el"")"),"Ψηλά")</f>
        <v>Ψηλά</v>
      </c>
      <c r="AA199" s="7" t="str">
        <f>IFERROR(__xludf.DUMMYFUNCTION("GoogleTranslate(C199, ""en"", ""iw"")"),"גָבוֹהַ")</f>
        <v>גָבוֹהַ</v>
      </c>
      <c r="AB199" s="7" t="str">
        <f>IFERROR(__xludf.DUMMYFUNCTION("GoogleTranslate(C199, ""en"", ""hi"")"),"उच्च")</f>
        <v>उच्च</v>
      </c>
      <c r="AC199" s="7" t="str">
        <f>IFERROR(__xludf.DUMMYFUNCTION("GoogleTranslate(C199, ""en"", ""hu"")"),"Magas")</f>
        <v>Magas</v>
      </c>
      <c r="AD199" s="7" t="str">
        <f>IFERROR(__xludf.DUMMYFUNCTION("GoogleTranslate(C199, ""en"", ""is"")"),"Hátt")</f>
        <v>Hátt</v>
      </c>
      <c r="AE199" s="7" t="str">
        <f>IFERROR(__xludf.DUMMYFUNCTION("GoogleTranslate(C199, ""en"", ""id"")"),"Tinggi")</f>
        <v>Tinggi</v>
      </c>
      <c r="AF199" s="7" t="str">
        <f>IFERROR(__xludf.DUMMYFUNCTION("GoogleTranslate(C199, ""en"", ""in"")"),"Tinggi")</f>
        <v>Tinggi</v>
      </c>
      <c r="AG199" s="7" t="str">
        <f>IFERROR(__xludf.DUMMYFUNCTION("GoogleTranslate(C199, ""en"", ""it"")"),"Alto")</f>
        <v>Alto</v>
      </c>
      <c r="AH199" s="7" t="str">
        <f>IFERROR(__xludf.DUMMYFUNCTION("GoogleTranslate(C199, ""en"", ""ja"")"),"高い")</f>
        <v>高い</v>
      </c>
      <c r="AI199" s="7" t="str">
        <f>IFERROR(__xludf.DUMMYFUNCTION("GoogleTranslate(C199, ""en"", ""kn"")"),"ಹೆಚ್ಚು")</f>
        <v>ಹೆಚ್ಚು</v>
      </c>
      <c r="AJ199" s="7" t="str">
        <f>IFERROR(__xludf.DUMMYFUNCTION("GoogleTranslate(C199, ""en"", ""km"")"),"ខ្ពស់។")</f>
        <v>ខ្ពស់។</v>
      </c>
      <c r="AK199" s="7" t="str">
        <f>IFERROR(__xludf.DUMMYFUNCTION("GoogleTranslate(C199, ""en"", ""ko"")"),"높은")</f>
        <v>높은</v>
      </c>
      <c r="AL199" s="7" t="str">
        <f>IFERROR(__xludf.DUMMYFUNCTION("GoogleTranslate(C199, ""en"", ""lo"")"),"ສູງ")</f>
        <v>ສູງ</v>
      </c>
      <c r="AM199" s="7" t="str">
        <f>IFERROR(__xludf.DUMMYFUNCTION("GoogleTranslate(C199, ""en"", ""lv"")"),"Augsts")</f>
        <v>Augsts</v>
      </c>
      <c r="AN199" s="7" t="str">
        <f>IFERROR(__xludf.DUMMYFUNCTION("GoogleTranslate(C199, ""en"", ""lt"")"),"Aukštas")</f>
        <v>Aukštas</v>
      </c>
      <c r="AO199" s="7" t="str">
        <f>IFERROR(__xludf.DUMMYFUNCTION("GoogleTranslate(C199, ""en"", ""mk"")"),"Високо")</f>
        <v>Високо</v>
      </c>
      <c r="AP199" s="7" t="str">
        <f>IFERROR(__xludf.DUMMYFUNCTION("GoogleTranslate(C199, ""en"", ""ms"")"),"tinggi")</f>
        <v>tinggi</v>
      </c>
      <c r="AQ199" s="7" t="str">
        <f>IFERROR(__xludf.DUMMYFUNCTION("GoogleTranslate(C199, ""en"", ""ml"")"),"ഉയർന്നത്")</f>
        <v>ഉയർന്നത്</v>
      </c>
      <c r="AR199" s="7" t="str">
        <f>IFERROR(__xludf.DUMMYFUNCTION("GoogleTranslate(C199, ""en"", ""mr"")"),"उच्च")</f>
        <v>उच्च</v>
      </c>
      <c r="AS199" s="7" t="str">
        <f>IFERROR(__xludf.DUMMYFUNCTION("GoogleTranslate(C199, ""en"", ""mn"")"),"Өндөр")</f>
        <v>Өндөр</v>
      </c>
      <c r="AT199" s="7" t="str">
        <f>IFERROR(__xludf.DUMMYFUNCTION("GoogleTranslate(C199, ""en"", ""ne"")"),"उच्च")</f>
        <v>उच्च</v>
      </c>
      <c r="AU199" s="7" t="str">
        <f>IFERROR(__xludf.DUMMYFUNCTION("GoogleTranslate(C199, ""en"", ""nb"")"),"Høy")</f>
        <v>Høy</v>
      </c>
      <c r="AV199" s="7" t="str">
        <f>IFERROR(__xludf.DUMMYFUNCTION("GoogleTranslate(C199, ""en"", ""fa"")"),"بالا")</f>
        <v>بالا</v>
      </c>
      <c r="AW199" s="7" t="str">
        <f>IFERROR(__xludf.DUMMYFUNCTION("GoogleTranslate(C199, ""en"", ""pl"")"),"Wysoki")</f>
        <v>Wysoki</v>
      </c>
      <c r="AX199" s="7" t="str">
        <f>IFERROR(__xludf.DUMMYFUNCTION("GoogleTranslate(C199, ""en"", ""pt"")"),"Alto")</f>
        <v>Alto</v>
      </c>
      <c r="AY199" s="7" t="str">
        <f>IFERROR(__xludf.DUMMYFUNCTION("GoogleTranslate(C199, ""en"", ""ro"")"),"Ridicat")</f>
        <v>Ridicat</v>
      </c>
      <c r="AZ199" s="7" t="str">
        <f>IFERROR(__xludf.DUMMYFUNCTION("GoogleTranslate(C199, ""en"", ""ru"")"),"Высокий")</f>
        <v>Высокий</v>
      </c>
      <c r="BA199" s="7" t="str">
        <f>IFERROR(__xludf.DUMMYFUNCTION("GoogleTranslate(C199, ""en"", ""sr"")"),"Високо")</f>
        <v>Високо</v>
      </c>
      <c r="BB199" s="7" t="str">
        <f>IFERROR(__xludf.DUMMYFUNCTION("GoogleTranslate(C199, ""en"", ""si"")"),"ඉහළ")</f>
        <v>ඉහළ</v>
      </c>
      <c r="BC199" s="7" t="str">
        <f>IFERROR(__xludf.DUMMYFUNCTION("GoogleTranslate(C199, ""en"", ""sk"")"),"Vysoká")</f>
        <v>Vysoká</v>
      </c>
      <c r="BD199" s="7" t="str">
        <f>IFERROR(__xludf.DUMMYFUNCTION("GoogleTranslate(C199, ""en"", ""sl"")"),"visoko")</f>
        <v>visoko</v>
      </c>
      <c r="BE199" s="7" t="str">
        <f>IFERROR(__xludf.DUMMYFUNCTION("GoogleTranslate(C199, ""en"", ""es"")"),"Alto")</f>
        <v>Alto</v>
      </c>
      <c r="BF199" s="7" t="str">
        <f>IFERROR(__xludf.DUMMYFUNCTION("GoogleTranslate(C199, ""en"", ""sw"")"),"Juu")</f>
        <v>Juu</v>
      </c>
      <c r="BG199" s="7" t="str">
        <f>IFERROR(__xludf.DUMMYFUNCTION("GoogleTranslate(C199, ""en"", ""sv"")"),"Hög")</f>
        <v>Hög</v>
      </c>
      <c r="BH199" s="7" t="str">
        <f>IFERROR(__xludf.DUMMYFUNCTION("GoogleTranslate(C199, ""en"", ""te"")"),"అధిక")</f>
        <v>అధిక</v>
      </c>
      <c r="BI199" s="7" t="str">
        <f>IFERROR(__xludf.DUMMYFUNCTION("GoogleTranslate(C199, ""en"", ""th"")"),"สูง")</f>
        <v>สูง</v>
      </c>
      <c r="BJ199" s="7" t="str">
        <f>IFERROR(__xludf.DUMMYFUNCTION("GoogleTranslate(C199, ""en"", ""tr"")"),"Yüksek")</f>
        <v>Yüksek</v>
      </c>
      <c r="BK199" s="7" t="str">
        <f>IFERROR(__xludf.DUMMYFUNCTION("GoogleTranslate(C199, ""en"", ""uk"")"),"Високий")</f>
        <v>Високий</v>
      </c>
      <c r="BL199" s="7" t="str">
        <f>IFERROR(__xludf.DUMMYFUNCTION("GoogleTranslate(C199, ""en"", ""zu"")"),"Phezulu")</f>
        <v>Phezulu</v>
      </c>
    </row>
    <row r="200">
      <c r="A200" s="5" t="str">
        <f t="shared" si="1"/>
        <v>Very_High</v>
      </c>
      <c r="B200" s="4" t="s">
        <v>250</v>
      </c>
      <c r="C200" s="4" t="s">
        <v>250</v>
      </c>
      <c r="D200" s="7" t="str">
        <f>IFERROR(__xludf.DUMMYFUNCTION("GoogleTranslate(C200, ""en"", ""es"")"),"muy alto")</f>
        <v>muy alto</v>
      </c>
      <c r="E200" s="7" t="str">
        <f>IFERROR(__xludf.DUMMYFUNCTION("GoogleTranslate(C200, ""en"", ""ar"")"),"عالية جدًا")</f>
        <v>عالية جدًا</v>
      </c>
      <c r="F200" s="7" t="str">
        <f>IFERROR(__xludf.DUMMYFUNCTION("GoogleTranslate(C200, ""en"", ""hy"")"),"Շատ բարձր")</f>
        <v>Շատ բարձր</v>
      </c>
      <c r="G200" s="7" t="str">
        <f>IFERROR(__xludf.DUMMYFUNCTION("GoogleTranslate(C200, ""en"", ""vi"")"),"Rất cao")</f>
        <v>Rất cao</v>
      </c>
      <c r="H200" s="7" t="str">
        <f>IFERROR(__xludf.DUMMYFUNCTION("GoogleTranslate(C200, ""en"", ""az"")"),"Çox Yüksək")</f>
        <v>Çox Yüksək</v>
      </c>
      <c r="I200" s="7" t="str">
        <f>IFERROR(__xludf.DUMMYFUNCTION("GoogleTranslate(C200, ""en"", ""eu"")"),"Oso altua")</f>
        <v>Oso altua</v>
      </c>
      <c r="J200" s="7" t="str">
        <f>IFERROR(__xludf.DUMMYFUNCTION("GoogleTranslate(C200, ""en"", ""be"")"),"Вельмі высокі")</f>
        <v>Вельмі высокі</v>
      </c>
      <c r="K200" s="7" t="str">
        <f>IFERROR(__xludf.DUMMYFUNCTION("GoogleTranslate(C200, ""en"", ""bn"")"),"খুব উচ্চ")</f>
        <v>খুব উচ্চ</v>
      </c>
      <c r="L200" s="7" t="str">
        <f>IFERROR(__xludf.DUMMYFUNCTION("GoogleTranslate(C200, ""en"", ""bg"")"),"Много високо")</f>
        <v>Много високо</v>
      </c>
      <c r="M200" s="7" t="str">
        <f>IFERROR(__xludf.DUMMYFUNCTION("GoogleTranslate(C200, ""en"", ""my"")"),"အရမ်းမြင့်တယ်။")</f>
        <v>အရမ်းမြင့်တယ်။</v>
      </c>
      <c r="N200" s="7" t="str">
        <f>IFERROR(__xludf.DUMMYFUNCTION("GoogleTranslate(C200, ""en"", ""ca"")"),"Molt alt")</f>
        <v>Molt alt</v>
      </c>
      <c r="O200" s="7" t="str">
        <f>IFERROR(__xludf.DUMMYFUNCTION("GoogleTranslate(C200, ""en"", ""zh-cn"")"),"非常高")</f>
        <v>非常高</v>
      </c>
      <c r="P200" s="7" t="str">
        <f>IFERROR(__xludf.DUMMYFUNCTION("GoogleTranslate(C200, ""en"", ""zh-TW"")"),"非常高")</f>
        <v>非常高</v>
      </c>
      <c r="Q200" s="7" t="str">
        <f>IFERROR(__xludf.DUMMYFUNCTION("GoogleTranslate(C200, ""en"", ""hr"")"),"Vrlo visoko")</f>
        <v>Vrlo visoko</v>
      </c>
      <c r="R200" s="7" t="str">
        <f>IFERROR(__xludf.DUMMYFUNCTION("GoogleTranslate(C200, ""en"", ""cs"")"),"Velmi vysoká")</f>
        <v>Velmi vysoká</v>
      </c>
      <c r="S200" s="7" t="str">
        <f>IFERROR(__xludf.DUMMYFUNCTION("GoogleTranslate(C200, ""en"", ""da"")"),"Meget høj")</f>
        <v>Meget høj</v>
      </c>
      <c r="T200" s="7" t="str">
        <f>IFERROR(__xludf.DUMMYFUNCTION("GoogleTranslate(C200, ""en"", ""nl"")"),"Zeer hoog")</f>
        <v>Zeer hoog</v>
      </c>
      <c r="U200" s="7" t="str">
        <f>IFERROR(__xludf.DUMMYFUNCTION("GoogleTranslate(C200, ""en"", ""et"")"),"Väga kõrge")</f>
        <v>Väga kõrge</v>
      </c>
      <c r="V200" s="5" t="str">
        <f t="shared" si="3"/>
        <v>Very High</v>
      </c>
      <c r="W200" s="7" t="str">
        <f>IFERROR(__xludf.DUMMYFUNCTION("GoogleTranslate(C200, ""en"", ""fi"")"),"Erittäin korkea")</f>
        <v>Erittäin korkea</v>
      </c>
      <c r="X200" s="7" t="str">
        <f>IFERROR(__xludf.DUMMYFUNCTION("GoogleTranslate(C200, ""en"", ""fr"")"),"Très élevé")</f>
        <v>Très élevé</v>
      </c>
      <c r="Y200" s="7" t="str">
        <f>IFERROR(__xludf.DUMMYFUNCTION("GoogleTranslate(C200, ""en"", ""de"")"),"Sehr hoch")</f>
        <v>Sehr hoch</v>
      </c>
      <c r="Z200" s="7" t="str">
        <f>IFERROR(__xludf.DUMMYFUNCTION("GoogleTranslate(C200, ""en"", ""el"")"),"Πολύ ψηλά")</f>
        <v>Πολύ ψηλά</v>
      </c>
      <c r="AA200" s="7" t="str">
        <f>IFERROR(__xludf.DUMMYFUNCTION("GoogleTranslate(C200, ""en"", ""iw"")"),"גבוה מאוד")</f>
        <v>גבוה מאוד</v>
      </c>
      <c r="AB200" s="7" t="str">
        <f>IFERROR(__xludf.DUMMYFUNCTION("GoogleTranslate(C200, ""en"", ""hi"")"),"बहुत ऊँचा")</f>
        <v>बहुत ऊँचा</v>
      </c>
      <c r="AC200" s="7" t="str">
        <f>IFERROR(__xludf.DUMMYFUNCTION("GoogleTranslate(C200, ""en"", ""hu"")"),"Nagyon magas")</f>
        <v>Nagyon magas</v>
      </c>
      <c r="AD200" s="7" t="str">
        <f>IFERROR(__xludf.DUMMYFUNCTION("GoogleTranslate(C200, ""en"", ""is"")"),"Mjög hár")</f>
        <v>Mjög hár</v>
      </c>
      <c r="AE200" s="7" t="str">
        <f>IFERROR(__xludf.DUMMYFUNCTION("GoogleTranslate(C200, ""en"", ""id"")"),"Sangat Tinggi")</f>
        <v>Sangat Tinggi</v>
      </c>
      <c r="AF200" s="7" t="str">
        <f>IFERROR(__xludf.DUMMYFUNCTION("GoogleTranslate(C200, ""en"", ""in"")"),"Sangat Tinggi")</f>
        <v>Sangat Tinggi</v>
      </c>
      <c r="AG200" s="7" t="str">
        <f>IFERROR(__xludf.DUMMYFUNCTION("GoogleTranslate(C200, ""en"", ""it"")"),"Molto alto")</f>
        <v>Molto alto</v>
      </c>
      <c r="AH200" s="7" t="str">
        <f>IFERROR(__xludf.DUMMYFUNCTION("GoogleTranslate(C200, ""en"", ""ja"")"),"非常に高い")</f>
        <v>非常に高い</v>
      </c>
      <c r="AI200" s="7" t="str">
        <f>IFERROR(__xludf.DUMMYFUNCTION("GoogleTranslate(C200, ""en"", ""kn"")"),"ಅತಿ ಹೆಚ್ಚು")</f>
        <v>ಅತಿ ಹೆಚ್ಚು</v>
      </c>
      <c r="AJ200" s="7" t="str">
        <f>IFERROR(__xludf.DUMMYFUNCTION("GoogleTranslate(C200, ""en"", ""km"")"),"ខ្ពស់ណាស់។")</f>
        <v>ខ្ពស់ណាស់។</v>
      </c>
      <c r="AK200" s="7" t="str">
        <f>IFERROR(__xludf.DUMMYFUNCTION("GoogleTranslate(C200, ""en"", ""ko"")"),"매우 높음")</f>
        <v>매우 높음</v>
      </c>
      <c r="AL200" s="7" t="str">
        <f>IFERROR(__xludf.DUMMYFUNCTION("GoogleTranslate(C200, ""en"", ""lo"")"),"ສູງຫຼາຍ")</f>
        <v>ສູງຫຼາຍ</v>
      </c>
      <c r="AM200" s="7" t="str">
        <f>IFERROR(__xludf.DUMMYFUNCTION("GoogleTranslate(C200, ""en"", ""lv"")"),"Ļoti augsts")</f>
        <v>Ļoti augsts</v>
      </c>
      <c r="AN200" s="7" t="str">
        <f>IFERROR(__xludf.DUMMYFUNCTION("GoogleTranslate(C200, ""en"", ""lt"")"),"Labai Aukštas")</f>
        <v>Labai Aukštas</v>
      </c>
      <c r="AO200" s="7" t="str">
        <f>IFERROR(__xludf.DUMMYFUNCTION("GoogleTranslate(C200, ""en"", ""mk"")"),"Многу високо")</f>
        <v>Многу високо</v>
      </c>
      <c r="AP200" s="7" t="str">
        <f>IFERROR(__xludf.DUMMYFUNCTION("GoogleTranslate(C200, ""en"", ""ms"")"),"Sangat Tinggi")</f>
        <v>Sangat Tinggi</v>
      </c>
      <c r="AQ200" s="7" t="str">
        <f>IFERROR(__xludf.DUMMYFUNCTION("GoogleTranslate(C200, ""en"", ""ml"")"),"വളരെ ഉയർന്നത്")</f>
        <v>വളരെ ഉയർന്നത്</v>
      </c>
      <c r="AR200" s="7" t="str">
        <f>IFERROR(__xludf.DUMMYFUNCTION("GoogleTranslate(C200, ""en"", ""mr"")"),"खूप उच्च")</f>
        <v>खूप उच्च</v>
      </c>
      <c r="AS200" s="7" t="str">
        <f>IFERROR(__xludf.DUMMYFUNCTION("GoogleTranslate(C200, ""en"", ""mn"")"),"Маш өндөр")</f>
        <v>Маш өндөр</v>
      </c>
      <c r="AT200" s="7" t="str">
        <f>IFERROR(__xludf.DUMMYFUNCTION("GoogleTranslate(C200, ""en"", ""ne"")"),"अति उच्च")</f>
        <v>अति उच्च</v>
      </c>
      <c r="AU200" s="7" t="str">
        <f>IFERROR(__xludf.DUMMYFUNCTION("GoogleTranslate(C200, ""en"", ""nb"")"),"Veldig høy")</f>
        <v>Veldig høy</v>
      </c>
      <c r="AV200" s="7" t="str">
        <f>IFERROR(__xludf.DUMMYFUNCTION("GoogleTranslate(C200, ""en"", ""fa"")"),"بسیار بالا")</f>
        <v>بسیار بالا</v>
      </c>
      <c r="AW200" s="7" t="str">
        <f>IFERROR(__xludf.DUMMYFUNCTION("GoogleTranslate(C200, ""en"", ""pl"")"),"Bardzo wysoki")</f>
        <v>Bardzo wysoki</v>
      </c>
      <c r="AX200" s="7" t="str">
        <f>IFERROR(__xludf.DUMMYFUNCTION("GoogleTranslate(C200, ""en"", ""pt"")"),"Muito alto")</f>
        <v>Muito alto</v>
      </c>
      <c r="AY200" s="7" t="str">
        <f>IFERROR(__xludf.DUMMYFUNCTION("GoogleTranslate(C200, ""en"", ""ro"")"),"Foarte sus")</f>
        <v>Foarte sus</v>
      </c>
      <c r="AZ200" s="7" t="str">
        <f>IFERROR(__xludf.DUMMYFUNCTION("GoogleTranslate(C200, ""en"", ""ru"")"),"Очень высокий")</f>
        <v>Очень высокий</v>
      </c>
      <c r="BA200" s="7" t="str">
        <f>IFERROR(__xludf.DUMMYFUNCTION("GoogleTranslate(C200, ""en"", ""sr"")"),"Врло високо")</f>
        <v>Врло високо</v>
      </c>
      <c r="BB200" s="7" t="str">
        <f>IFERROR(__xludf.DUMMYFUNCTION("GoogleTranslate(C200, ""en"", ""si"")"),"ඉතා උසස්")</f>
        <v>ඉතා උසස්</v>
      </c>
      <c r="BC200" s="7" t="str">
        <f>IFERROR(__xludf.DUMMYFUNCTION("GoogleTranslate(C200, ""en"", ""sk"")"),"Veľmi vysoká")</f>
        <v>Veľmi vysoká</v>
      </c>
      <c r="BD200" s="7" t="str">
        <f>IFERROR(__xludf.DUMMYFUNCTION("GoogleTranslate(C200, ""en"", ""sl"")"),"Zelo visoko")</f>
        <v>Zelo visoko</v>
      </c>
      <c r="BE200" s="7" t="str">
        <f>IFERROR(__xludf.DUMMYFUNCTION("GoogleTranslate(C200, ""en"", ""es"")"),"muy alto")</f>
        <v>muy alto</v>
      </c>
      <c r="BF200" s="7" t="str">
        <f>IFERROR(__xludf.DUMMYFUNCTION("GoogleTranslate(C200, ""en"", ""sw"")"),"Juu Sana")</f>
        <v>Juu Sana</v>
      </c>
      <c r="BG200" s="7" t="str">
        <f>IFERROR(__xludf.DUMMYFUNCTION("GoogleTranslate(C200, ""en"", ""sv"")"),"Mycket hög")</f>
        <v>Mycket hög</v>
      </c>
      <c r="BH200" s="7" t="str">
        <f>IFERROR(__xludf.DUMMYFUNCTION("GoogleTranslate(C200, ""en"", ""te"")"),"చాలా ఎక్కువ")</f>
        <v>చాలా ఎక్కువ</v>
      </c>
      <c r="BI200" s="7" t="str">
        <f>IFERROR(__xludf.DUMMYFUNCTION("GoogleTranslate(C200, ""en"", ""th"")"),"สูงมาก")</f>
        <v>สูงมาก</v>
      </c>
      <c r="BJ200" s="7" t="str">
        <f>IFERROR(__xludf.DUMMYFUNCTION("GoogleTranslate(C200, ""en"", ""tr"")"),"Çok Yüksek")</f>
        <v>Çok Yüksek</v>
      </c>
      <c r="BK200" s="7" t="str">
        <f>IFERROR(__xludf.DUMMYFUNCTION("GoogleTranslate(C200, ""en"", ""uk"")"),"Дуже висока")</f>
        <v>Дуже висока</v>
      </c>
      <c r="BL200" s="7" t="str">
        <f>IFERROR(__xludf.DUMMYFUNCTION("GoogleTranslate(C200, ""en"", ""zu"")"),"Phezulu kakhulu")</f>
        <v>Phezulu kakhulu</v>
      </c>
    </row>
    <row r="201">
      <c r="A201" s="5" t="str">
        <f t="shared" si="1"/>
        <v>Extreme</v>
      </c>
      <c r="B201" s="4" t="s">
        <v>251</v>
      </c>
      <c r="C201" s="4" t="s">
        <v>251</v>
      </c>
      <c r="D201" s="7" t="str">
        <f>IFERROR(__xludf.DUMMYFUNCTION("GoogleTranslate(C201, ""en"", ""es"")"),"Extremo")</f>
        <v>Extremo</v>
      </c>
      <c r="E201" s="7" t="str">
        <f>IFERROR(__xludf.DUMMYFUNCTION("GoogleTranslate(C201, ""en"", ""ar"")"),"أقصى")</f>
        <v>أقصى</v>
      </c>
      <c r="F201" s="7" t="str">
        <f>IFERROR(__xludf.DUMMYFUNCTION("GoogleTranslate(C201, ""en"", ""hy"")"),"Ծայրահեղ")</f>
        <v>Ծայրահեղ</v>
      </c>
      <c r="G201" s="7" t="str">
        <f>IFERROR(__xludf.DUMMYFUNCTION("GoogleTranslate(C201, ""en"", ""vi"")"),"Vô cùng")</f>
        <v>Vô cùng</v>
      </c>
      <c r="H201" s="7" t="str">
        <f>IFERROR(__xludf.DUMMYFUNCTION("GoogleTranslate(C201, ""en"", ""az"")"),"Ekstremal")</f>
        <v>Ekstremal</v>
      </c>
      <c r="I201" s="7" t="str">
        <f>IFERROR(__xludf.DUMMYFUNCTION("GoogleTranslate(C201, ""en"", ""eu"")"),"Muturrekoa")</f>
        <v>Muturrekoa</v>
      </c>
      <c r="J201" s="7" t="str">
        <f>IFERROR(__xludf.DUMMYFUNCTION("GoogleTranslate(C201, ""en"", ""be"")"),"Экстрым")</f>
        <v>Экстрым</v>
      </c>
      <c r="K201" s="7" t="str">
        <f>IFERROR(__xludf.DUMMYFUNCTION("GoogleTranslate(C201, ""en"", ""bn"")"),"চরম")</f>
        <v>চরম</v>
      </c>
      <c r="L201" s="7" t="str">
        <f>IFERROR(__xludf.DUMMYFUNCTION("GoogleTranslate(C201, ""en"", ""bg"")"),"Екстремен")</f>
        <v>Екстремен</v>
      </c>
      <c r="M201" s="7" t="str">
        <f>IFERROR(__xludf.DUMMYFUNCTION("GoogleTranslate(C201, ""en"", ""my"")"),"အလွန်အကျူး")</f>
        <v>အလွန်အကျူး</v>
      </c>
      <c r="N201" s="7" t="str">
        <f>IFERROR(__xludf.DUMMYFUNCTION("GoogleTranslate(C201, ""en"", ""ca"")"),"Extrem")</f>
        <v>Extrem</v>
      </c>
      <c r="O201" s="7" t="str">
        <f>IFERROR(__xludf.DUMMYFUNCTION("GoogleTranslate(C201, ""en"", ""zh-cn"")"),"极端")</f>
        <v>极端</v>
      </c>
      <c r="P201" s="7" t="str">
        <f>IFERROR(__xludf.DUMMYFUNCTION("GoogleTranslate(C201, ""en"", ""zh-TW"")"),"極端")</f>
        <v>極端</v>
      </c>
      <c r="Q201" s="7" t="str">
        <f>IFERROR(__xludf.DUMMYFUNCTION("GoogleTranslate(C201, ""en"", ""hr"")"),"Ekstremno")</f>
        <v>Ekstremno</v>
      </c>
      <c r="R201" s="7" t="str">
        <f>IFERROR(__xludf.DUMMYFUNCTION("GoogleTranslate(C201, ""en"", ""cs"")"),"Extrémní")</f>
        <v>Extrémní</v>
      </c>
      <c r="S201" s="7" t="str">
        <f>IFERROR(__xludf.DUMMYFUNCTION("GoogleTranslate(C201, ""en"", ""da"")"),"Ekstrem")</f>
        <v>Ekstrem</v>
      </c>
      <c r="T201" s="7" t="str">
        <f>IFERROR(__xludf.DUMMYFUNCTION("GoogleTranslate(C201, ""en"", ""nl"")"),"Extreem")</f>
        <v>Extreem</v>
      </c>
      <c r="U201" s="7" t="str">
        <f>IFERROR(__xludf.DUMMYFUNCTION("GoogleTranslate(C201, ""en"", ""et"")"),"Ekstreemne")</f>
        <v>Ekstreemne</v>
      </c>
      <c r="V201" s="5" t="str">
        <f t="shared" si="3"/>
        <v>Extreme</v>
      </c>
      <c r="W201" s="7" t="str">
        <f>IFERROR(__xludf.DUMMYFUNCTION("GoogleTranslate(C201, ""en"", ""fi"")"),"Äärimmäistä")</f>
        <v>Äärimmäistä</v>
      </c>
      <c r="X201" s="7" t="str">
        <f>IFERROR(__xludf.DUMMYFUNCTION("GoogleTranslate(C201, ""en"", ""fr"")"),"Extrême")</f>
        <v>Extrême</v>
      </c>
      <c r="Y201" s="7" t="str">
        <f>IFERROR(__xludf.DUMMYFUNCTION("GoogleTranslate(C201, ""en"", ""de"")"),"Extrem")</f>
        <v>Extrem</v>
      </c>
      <c r="Z201" s="7" t="str">
        <f>IFERROR(__xludf.DUMMYFUNCTION("GoogleTranslate(C201, ""en"", ""el"")"),"Ακρο")</f>
        <v>Ακρο</v>
      </c>
      <c r="AA201" s="7" t="str">
        <f>IFERROR(__xludf.DUMMYFUNCTION("GoogleTranslate(C201, ""en"", ""iw"")"),"קיצוני")</f>
        <v>קיצוני</v>
      </c>
      <c r="AB201" s="7" t="str">
        <f>IFERROR(__xludf.DUMMYFUNCTION("GoogleTranslate(C201, ""en"", ""hi"")"),"चरम")</f>
        <v>चरम</v>
      </c>
      <c r="AC201" s="7" t="str">
        <f>IFERROR(__xludf.DUMMYFUNCTION("GoogleTranslate(C201, ""en"", ""hu"")"),"Szélső")</f>
        <v>Szélső</v>
      </c>
      <c r="AD201" s="7" t="str">
        <f>IFERROR(__xludf.DUMMYFUNCTION("GoogleTranslate(C201, ""en"", ""is"")"),"Öfgafullt")</f>
        <v>Öfgafullt</v>
      </c>
      <c r="AE201" s="7" t="str">
        <f>IFERROR(__xludf.DUMMYFUNCTION("GoogleTranslate(C201, ""en"", ""id"")"),"Ekstrim")</f>
        <v>Ekstrim</v>
      </c>
      <c r="AF201" s="7" t="str">
        <f>IFERROR(__xludf.DUMMYFUNCTION("GoogleTranslate(C201, ""en"", ""in"")"),"Ekstrim")</f>
        <v>Ekstrim</v>
      </c>
      <c r="AG201" s="7" t="str">
        <f>IFERROR(__xludf.DUMMYFUNCTION("GoogleTranslate(C201, ""en"", ""it"")"),"Estremo")</f>
        <v>Estremo</v>
      </c>
      <c r="AH201" s="7" t="str">
        <f>IFERROR(__xludf.DUMMYFUNCTION("GoogleTranslate(C201, ""en"", ""ja"")"),"過激")</f>
        <v>過激</v>
      </c>
      <c r="AI201" s="7" t="str">
        <f>IFERROR(__xludf.DUMMYFUNCTION("GoogleTranslate(C201, ""en"", ""kn"")"),"ವಿಪರೀತ")</f>
        <v>ವಿಪರೀತ</v>
      </c>
      <c r="AJ201" s="7" t="str">
        <f>IFERROR(__xludf.DUMMYFUNCTION("GoogleTranslate(C201, ""en"", ""km"")"),"ខ្លាំង")</f>
        <v>ខ្លាំង</v>
      </c>
      <c r="AK201" s="7" t="str">
        <f>IFERROR(__xludf.DUMMYFUNCTION("GoogleTranslate(C201, ""en"", ""ko"")"),"극심한")</f>
        <v>극심한</v>
      </c>
      <c r="AL201" s="7" t="str">
        <f>IFERROR(__xludf.DUMMYFUNCTION("GoogleTranslate(C201, ""en"", ""lo"")"),"ທີ່ສຸດ")</f>
        <v>ທີ່ສຸດ</v>
      </c>
      <c r="AM201" s="7" t="str">
        <f>IFERROR(__xludf.DUMMYFUNCTION("GoogleTranslate(C201, ""en"", ""lv"")"),"Ekstrēmi")</f>
        <v>Ekstrēmi</v>
      </c>
      <c r="AN201" s="7" t="str">
        <f>IFERROR(__xludf.DUMMYFUNCTION("GoogleTranslate(C201, ""en"", ""lt"")"),"Ekstremalus")</f>
        <v>Ekstremalus</v>
      </c>
      <c r="AO201" s="7" t="str">
        <f>IFERROR(__xludf.DUMMYFUNCTION("GoogleTranslate(C201, ""en"", ""mk"")"),"Екстремни")</f>
        <v>Екстремни</v>
      </c>
      <c r="AP201" s="7" t="str">
        <f>IFERROR(__xludf.DUMMYFUNCTION("GoogleTranslate(C201, ""en"", ""ms"")"),"melampau")</f>
        <v>melampau</v>
      </c>
      <c r="AQ201" s="7" t="str">
        <f>IFERROR(__xludf.DUMMYFUNCTION("GoogleTranslate(C201, ""en"", ""ml"")"),"അങ്ങേയറ്റം")</f>
        <v>അങ്ങേയറ്റം</v>
      </c>
      <c r="AR201" s="7" t="str">
        <f>IFERROR(__xludf.DUMMYFUNCTION("GoogleTranslate(C201, ""en"", ""mr"")"),"अत्यंत")</f>
        <v>अत्यंत</v>
      </c>
      <c r="AS201" s="7" t="str">
        <f>IFERROR(__xludf.DUMMYFUNCTION("GoogleTranslate(C201, ""en"", ""mn"")"),"Хэт их")</f>
        <v>Хэт их</v>
      </c>
      <c r="AT201" s="7" t="str">
        <f>IFERROR(__xludf.DUMMYFUNCTION("GoogleTranslate(C201, ""en"", ""ne"")"),"चरम")</f>
        <v>चरम</v>
      </c>
      <c r="AU201" s="7" t="str">
        <f>IFERROR(__xludf.DUMMYFUNCTION("GoogleTranslate(C201, ""en"", ""nb"")"),"Ekstrem")</f>
        <v>Ekstrem</v>
      </c>
      <c r="AV201" s="7" t="str">
        <f>IFERROR(__xludf.DUMMYFUNCTION("GoogleTranslate(C201, ""en"", ""fa"")"),"افراطی")</f>
        <v>افراطی</v>
      </c>
      <c r="AW201" s="7" t="str">
        <f>IFERROR(__xludf.DUMMYFUNCTION("GoogleTranslate(C201, ""en"", ""pl"")"),"Skrajny")</f>
        <v>Skrajny</v>
      </c>
      <c r="AX201" s="7" t="str">
        <f>IFERROR(__xludf.DUMMYFUNCTION("GoogleTranslate(C201, ""en"", ""pt"")"),"Extremo")</f>
        <v>Extremo</v>
      </c>
      <c r="AY201" s="7" t="str">
        <f>IFERROR(__xludf.DUMMYFUNCTION("GoogleTranslate(C201, ""en"", ""ro"")"),"Extrem")</f>
        <v>Extrem</v>
      </c>
      <c r="AZ201" s="7" t="str">
        <f>IFERROR(__xludf.DUMMYFUNCTION("GoogleTranslate(C201, ""en"", ""ru"")"),"Экстрим")</f>
        <v>Экстрим</v>
      </c>
      <c r="BA201" s="7" t="str">
        <f>IFERROR(__xludf.DUMMYFUNCTION("GoogleTranslate(C201, ""en"", ""sr"")"),"Екстремно")</f>
        <v>Екстремно</v>
      </c>
      <c r="BB201" s="7" t="str">
        <f>IFERROR(__xludf.DUMMYFUNCTION("GoogleTranslate(C201, ""en"", ""si"")"),"අන්ත")</f>
        <v>අන්ත</v>
      </c>
      <c r="BC201" s="7" t="str">
        <f>IFERROR(__xludf.DUMMYFUNCTION("GoogleTranslate(C201, ""en"", ""sk"")"),"Extrémne")</f>
        <v>Extrémne</v>
      </c>
      <c r="BD201" s="7" t="str">
        <f>IFERROR(__xludf.DUMMYFUNCTION("GoogleTranslate(C201, ""en"", ""sl"")"),"Ekstremno")</f>
        <v>Ekstremno</v>
      </c>
      <c r="BE201" s="7" t="str">
        <f>IFERROR(__xludf.DUMMYFUNCTION("GoogleTranslate(C201, ""en"", ""es"")"),"Extremo")</f>
        <v>Extremo</v>
      </c>
      <c r="BF201" s="7" t="str">
        <f>IFERROR(__xludf.DUMMYFUNCTION("GoogleTranslate(C201, ""en"", ""sw"")"),"Uliokithiri")</f>
        <v>Uliokithiri</v>
      </c>
      <c r="BG201" s="7" t="str">
        <f>IFERROR(__xludf.DUMMYFUNCTION("GoogleTranslate(C201, ""en"", ""sv"")"),"Extrem")</f>
        <v>Extrem</v>
      </c>
      <c r="BH201" s="7" t="str">
        <f>IFERROR(__xludf.DUMMYFUNCTION("GoogleTranslate(C201, ""en"", ""te"")"),"విపరీతమైనది")</f>
        <v>విపరీతమైనది</v>
      </c>
      <c r="BI201" s="7" t="str">
        <f>IFERROR(__xludf.DUMMYFUNCTION("GoogleTranslate(C201, ""en"", ""th"")"),"สุดขีด")</f>
        <v>สุดขีด</v>
      </c>
      <c r="BJ201" s="7" t="str">
        <f>IFERROR(__xludf.DUMMYFUNCTION("GoogleTranslate(C201, ""en"", ""tr"")"),"Aşırı")</f>
        <v>Aşırı</v>
      </c>
      <c r="BK201" s="7" t="str">
        <f>IFERROR(__xludf.DUMMYFUNCTION("GoogleTranslate(C201, ""en"", ""uk"")"),"Екстрім")</f>
        <v>Екстрім</v>
      </c>
      <c r="BL201" s="7" t="str">
        <f>IFERROR(__xludf.DUMMYFUNCTION("GoogleTranslate(C201, ""en"", ""zu"")"),"Okudlulele")</f>
        <v>Okudlulele</v>
      </c>
    </row>
    <row r="202">
      <c r="A202" s="5" t="str">
        <f t="shared" si="1"/>
        <v>Air_quality_is_acceptable._However,_there_may_be_a_risk_for_some_people,_particularly_those_who_are_unusually_sensitive_to_air_pollution.</v>
      </c>
      <c r="B202" s="4" t="s">
        <v>196</v>
      </c>
      <c r="C202" s="4" t="s">
        <v>196</v>
      </c>
      <c r="D202" s="7" t="str">
        <f>IFERROR(__xludf.DUMMYFUNCTION("GoogleTranslate(C202,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E202" s="7" t="str">
        <f>IFERROR(__xludf.DUMMYFUNCTION("GoogleTranslate(C202, ""en"", ""ar"")"),"جودة الهواء مقبولة. ومع ذلك، قد يكون هناك خطر بالنسبة لبعض الأشخاص، وخاصة أولئك الذين لديهم حساسية غير عادية لتلوث الهواء.")</f>
        <v>جودة الهواء مقبولة. ومع ذلك، قد يكون هناك خطر بالنسبة لبعض الأشخاص، وخاصة أولئك الذين لديهم حساسية غير عادية لتلوث الهواء.</v>
      </c>
      <c r="F202" s="7" t="str">
        <f>IFERROR(__xludf.DUMMYFUNCTION("GoogleTranslate(C202, ""en"", ""hy"")"),"Օդի որակը ընդունելի է։ Այնուամենայնիվ, որոշ մարդկանց համար կարող է վտանգ լինել, հատկապես նրանց համար, ովքեր անսովոր զգայուն են օդի աղտոտվածության նկատմամբ:")</f>
        <v>Օդի որակը ընդունելի է։ Այնուամենայնիվ, որոշ մարդկանց համար կարող է վտանգ լինել, հատկապես նրանց համար, ովքեր անսովոր զգայուն են օդի աղտոտվածության նկատմամբ:</v>
      </c>
      <c r="G202" s="7" t="str">
        <f>IFERROR(__xludf.DUMMYFUNCTION("GoogleTranslate(C202, ""en"", ""vi"")"),"Chất lượng không khí ở mức chấp nhận được. Tuy nhiên, có thể có rủi ro đối với một số người, đặc biệt là những người nhạy cảm bất thường với ô nhiễm không khí.")</f>
        <v>Chất lượng không khí ở mức chấp nhận được. Tuy nhiên, có thể có rủi ro đối với một số người, đặc biệt là những người nhạy cảm bất thường với ô nhiễm không khí.</v>
      </c>
      <c r="H202" s="7" t="str">
        <f>IFERROR(__xludf.DUMMYFUNCTION("GoogleTranslate(C202, ""en"", ""az"")"),"Hava keyfiyyəti məqbuldur. Bununla belə, bəzi insanlar, xüsusən də havanın çirklənməsinə qeyri-adi dərəcədə həssas olanlar üçün risk ola bilər.")</f>
        <v>Hava keyfiyyəti məqbuldur. Bununla belə, bəzi insanlar, xüsusən də havanın çirklənməsinə qeyri-adi dərəcədə həssas olanlar üçün risk ola bilər.</v>
      </c>
      <c r="I202" s="7" t="str">
        <f>IFERROR(__xludf.DUMMYFUNCTION("GoogleTranslate(C202, ""en"", ""eu"")"),"Airearen kalitatea onargarria da. Hala ere, arriskua egon daiteke pertsona batzuentzat, batez ere airearen kutsadurarekin ohiz sentikorrak direnentzat.")</f>
        <v>Airearen kalitatea onargarria da. Hala ere, arriskua egon daiteke pertsona batzuentzat, batez ere airearen kutsadurarekin ohiz sentikorrak direnentzat.</v>
      </c>
      <c r="J202" s="7" t="str">
        <f>IFERROR(__xludf.DUMMYFUNCTION("GoogleTranslate(C202, ""en"", ""be"")"),"Якасць паветра прымальная. Аднак для некаторых людзей, асабліва для тых, хто надзвычай адчувальны да забруджвання паветра, можа быць рызыка.")</f>
        <v>Якасць паветра прымальная. Аднак для некаторых людзей, асабліва для тых, хто надзвычай адчувальны да забруджвання паветра, можа быць рызыка.</v>
      </c>
      <c r="K202" s="7" t="str">
        <f>IFERROR(__xludf.DUMMYFUNCTION("GoogleTranslate(C202, ""en"", ""bn"")"),"বায়ুর মান গ্রহণযোগ্য। যাইহোক, কিছু লোকের জন্য ঝুঁকি থাকতে পারে, বিশেষ করে যারা বায়ু দূষণের প্রতি অস্বাভাবিকভাবে সংবেদনশীল।")</f>
        <v>বায়ুর মান গ্রহণযোগ্য। যাইহোক, কিছু লোকের জন্য ঝুঁকি থাকতে পারে, বিশেষ করে যারা বায়ু দূষণের প্রতি অস্বাভাবিকভাবে সংবেদনশীল।</v>
      </c>
      <c r="L202" s="7" t="str">
        <f>IFERROR(__xludf.DUMMYFUNCTION("GoogleTranslate(C202, ""en"", ""bg"")"),"Качеството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f>
        <v>Качеството на въздуха е приемливо. Въпреки това, може да има риск за някои хора, особено тези, които са необичайно чувствителни към замърсяването на въздуха.</v>
      </c>
      <c r="M202" s="7" t="str">
        <f>IFERROR(__xludf.DUMMYFUNCTION("GoogleTranslate(C202, ""en"", ""my"")"),"လေထုအရည်အသွေးသည် လက်ခံနိုင်ဖွယ်ရှိသည်။ သို့ရာတွင်၊ အထူးသဖြင့် လေထုညစ်ညမ်းမှုကို ထူးထူးခြားခြား အာရုံမခံနိုင်သော လူအချို့အတွက် အန္တရာယ်ရှိနိုင်သည်။")</f>
        <v>လေထုအရည်အသွေးသည် လက်ခံနိုင်ဖွယ်ရှိသည်။ သို့ရာတွင်၊ အထူးသဖြင့် လေထုညစ်ညမ်းမှုကို ထူးထူးခြားခြား အာရုံမခံနိုင်သော လူအချို့အတွက် အန္တရာယ်ရှိနိုင်သည်။</v>
      </c>
      <c r="N202" s="7" t="str">
        <f>IFERROR(__xludf.DUMMYFUNCTION("GoogleTranslate(C202, ""en"", ""ca"")"),"La qualitat de l'aire és acceptable. Tanmateix, hi pot haver un risc per a algunes persones, especialment aquelles que són inusualment sensibles a la contaminació de l'aire.")</f>
        <v>La qualitat de l'aire és acceptable. Tanmateix, hi pot haver un risc per a algunes persones, especialment aquelles que són inusualment sensibles a la contaminació de l'aire.</v>
      </c>
      <c r="O202" s="7" t="str">
        <f>IFERROR(__xludf.DUMMYFUNCTION("GoogleTranslate(C202, ""en"", ""zh-cn"")"),"空气质量可以接受。然而，对于某些人来说，尤其是对空气污染异常敏感的人来说，可能存在风险。")</f>
        <v>空气质量可以接受。然而，对于某些人来说，尤其是对空气污染异常敏感的人来说，可能存在风险。</v>
      </c>
      <c r="P202" s="7" t="str">
        <f>IFERROR(__xludf.DUMMYFUNCTION("GoogleTranslate(C202, ""en"", ""zh-TW"")"),"空氣品質可以接受。然而，對於某些人來說，尤其是對空氣污染異常敏感的人來說，可能會有風險。")</f>
        <v>空氣品質可以接受。然而，對於某些人來說，尤其是對空氣污染異常敏感的人來說，可能會有風險。</v>
      </c>
      <c r="Q202" s="7" t="str">
        <f>IFERROR(__xludf.DUMMYFUNCTION("GoogleTranslate(C202, ""en"", ""hr"")"),"Kvaliteta zraka je prihvatljiva. Međutim, može postojati rizik za neke ljude, osobito one koji su neobično osjetljivi na onečišćenje zraka.")</f>
        <v>Kvaliteta zraka je prihvatljiva. Međutim, može postojati rizik za neke ljude, osobito one koji su neobično osjetljivi na onečišćenje zraka.</v>
      </c>
      <c r="R202" s="7" t="str">
        <f>IFERROR(__xludf.DUMMYFUNCTION("GoogleTranslate(C202, ""en"", ""cs"")"),"Kvalita vzduchu je přijatelná. Pro některé lidi však může existovat riziko, zejména pro ty, kteří jsou neobvykle citliví na znečištění ovzduší.")</f>
        <v>Kvalita vzduchu je přijatelná. Pro některé lidi však může existovat riziko, zejména pro ty, kteří jsou neobvykle citliví na znečištění ovzduší.</v>
      </c>
      <c r="S202" s="7" t="str">
        <f>IFERROR(__xludf.DUMMYFUNCTION("GoogleTranslate(C202, ""en"", ""da"")"),"Luftkvaliteten er acceptabel. Der kan dog være en risiko for nogle mennesker, især dem, der er usædvanligt følsomme over for luftforurening.")</f>
        <v>Luftkvaliteten er acceptabel. Der kan dog være en risiko for nogle mennesker, især dem, der er usædvanligt følsomme over for luftforurening.</v>
      </c>
      <c r="T202" s="7" t="str">
        <f>IFERROR(__xludf.DUMMYFUNCTION("GoogleTranslate(C202, ""en"", ""nl"")"),"De luchtkwaliteit is acceptabel. Voor sommige mensen kan er echter een risico bestaan, vooral voor degenen die buitengewoon gevoelig zijn voor luchtverontreiniging.")</f>
        <v>De luchtkwaliteit is acceptabel. Voor sommige mensen kan er echter een risico bestaan, vooral voor degenen die buitengewoon gevoelig zijn voor luchtverontreiniging.</v>
      </c>
      <c r="U202" s="7" t="str">
        <f>IFERROR(__xludf.DUMMYFUNCTION("GoogleTranslate(C202, ""en"", ""et"")"),"Õhukvaliteet on vastuvõetav. Siiski võib see ohustada mõningaid inimesi, eriti neid, kes on õhusaaste suhtes ebatavaliselt tundlikud.")</f>
        <v>Õhukvaliteet on vastuvõetav. Siiski võib see ohustada mõningaid inimesi, eriti neid, kes on õhusaaste suhtes ebatavaliselt tundlikud.</v>
      </c>
      <c r="V202" s="5" t="str">
        <f t="shared" si="3"/>
        <v>Air quality is acceptable. However, there may be a risk for some people, particularly those who are unusually sensitive to air pollution.</v>
      </c>
      <c r="W202" s="7" t="str">
        <f>IFERROR(__xludf.DUMMYFUNCTION("GoogleTranslate(C202, ""en"", ""fi"")"),"Ilmanlaatu on hyväksyttävä. Joillekin ihmisille, erityisesti niille, jotka ovat epätavallisen herkkiä ilmansaasteille, saattaa kuitenkin olla riski.")</f>
        <v>Ilmanlaatu on hyväksyttävä. Joillekin ihmisille, erityisesti niille, jotka ovat epätavallisen herkkiä ilmansaasteille, saattaa kuitenkin olla riski.</v>
      </c>
      <c r="X202" s="7" t="str">
        <f>IFERROR(__xludf.DUMMYFUNCTION("GoogleTranslate(C202, ""en"", ""fr"")"),"La qualité de l'air est acceptable. Cependant, il peut exister un risque pour certaines personnes, en particulier celles qui sont particulièrement sensibles à la pollution atmosphérique.")</f>
        <v>La qualité de l'air est acceptable. Cependant, il peut exister un risque pour certaines personnes, en particulier celles qui sont particulièrement sensibles à la pollution atmosphérique.</v>
      </c>
      <c r="Y202" s="7" t="str">
        <f>IFERROR(__xludf.DUMMYFUNCTION("GoogleTranslate(C202, ""en"", ""de"")"),"Die Luftqualität ist akzeptabel. Für einige Menschen kann jedoch ein Risiko bestehen, insbesondere für diejenigen, die ungewöhnlich empfindlich auf Luftverschmutzung reagieren.")</f>
        <v>Die Luftqualität ist akzeptabel. Für einige Menschen kann jedoch ein Risiko bestehen, insbesondere für diejenigen, die ungewöhnlich empfindlich auf Luftverschmutzung reagieren.</v>
      </c>
      <c r="Z202" s="7" t="str">
        <f>IFERROR(__xludf.DUMMYFUNCTION("GoogleTranslate(C202, ""en"", ""el"")"),"Η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f>
        <v>Η ποιότητα του αέρα είναι αποδεκτή. Ωστόσο, μπορεί να υπάρχει κίνδυνος για μερικούς ανθρώπους, ιδιαίτερα εκείνους που είναι ασυνήθιστα ευαίσθητοι στην ατμοσφαιρική ρύπανση.</v>
      </c>
      <c r="AA202" s="7" t="str">
        <f>IFERROR(__xludf.DUMMYFUNCTION("GoogleTranslate(C202, ""en"", ""iw"")"),"איכות האוויר מקובלת. עם זאת, עשוי להיות סיכון עבור אנשים מסוימים, במיוחד אלה הרגישים בצורה יוצאת דופן לזיהום אוויר.")</f>
        <v>איכות האוויר מקובלת. עם זאת, עשוי להיות סיכון עבור אנשים מסוימים, במיוחד אלה הרגישים בצורה יוצאת דופן לזיהום אוויר.</v>
      </c>
      <c r="AB202" s="7" t="str">
        <f>IFERROR(__xludf.DUMMYFUNCTION("GoogleTranslate(C202, ""en"", ""hi"")"),"वायु गुणवत्ता स्वीकार्य है. हालाँकि, कुछ लोगों के लिए जोखिम हो सकता है, विशेषकर उन लोगों के लिए जो वायु प्रदूषण के प्रति असामान्य रूप से संवेदनशील हैं।")</f>
        <v>वायु गुणवत्ता स्वीकार्य है. हालाँकि, कुछ लोगों के लिए जोखिम हो सकता है, विशेषकर उन लोगों के लिए जो वायु प्रदूषण के प्रति असामान्य रूप से संवेदनशील हैं।</v>
      </c>
      <c r="AC202" s="7" t="str">
        <f>IFERROR(__xludf.DUMMYFUNCTION("GoogleTranslate(C202, ""en"", ""hu"")"),"A levegő minősége elfogadható. Néhány ember számára azonban fennállhat a kockázat, különösen azok számára, akik szokatlanul érzékenyek a levegőszennyezésre.")</f>
        <v>A levegő minősége elfogadható. Néhány ember számára azonban fennállhat a kockázat, különösen azok számára, akik szokatlanul érzékenyek a levegőszennyezésre.</v>
      </c>
      <c r="AD202" s="7" t="str">
        <f>IFERROR(__xludf.DUMMYFUNCTION("GoogleTranslate(C202, ""en"", ""is"")"),"Loftgæði eru ásættanleg. Hins vegar getur verið hætta fyrir sumt fólk, sérstaklega þá sem eru óvenju viðkvæmir fyrir loftmengun.")</f>
        <v>Loftgæði eru ásættanleg. Hins vegar getur verið hætta fyrir sumt fólk, sérstaklega þá sem eru óvenju viðkvæmir fyrir loftmengun.</v>
      </c>
      <c r="AE202" s="7" t="str">
        <f>IFERROR(__xludf.DUMMYFUNCTION("GoogleTranslate(C202, ""en"", ""id"")"),"Kualitas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F202" s="7" t="str">
        <f>IFERROR(__xludf.DUMMYFUNCTION("GoogleTranslate(C202, ""en"", ""in"")"),"Kualitas udara dapat diterima. Namun, mungkin terdapat risiko bagi sebagian orang, terutama mereka yang sangat sensitif terhadap polusi udara.")</f>
        <v>Kualitas udara dapat diterima. Namun, mungkin terdapat risiko bagi sebagian orang, terutama mereka yang sangat sensitif terhadap polusi udara.</v>
      </c>
      <c r="AG202" s="7" t="str">
        <f>IFERROR(__xludf.DUMMYFUNCTION("GoogleTranslate(C202, ""en"", ""it"")"),"La qualità dell'aria è accettabile. Tuttavia, potrebbe esserci un rischio per alcune persone, in particolare per coloro che sono insolitamente sensibili all’inquinamento atmosferico.")</f>
        <v>La qualità dell'aria è accettabile. Tuttavia, potrebbe esserci un rischio per alcune persone, in particolare per coloro che sono insolitamente sensibili all’inquinamento atmosferico.</v>
      </c>
      <c r="AH202" s="7" t="str">
        <f>IFERROR(__xludf.DUMMYFUNCTION("GoogleTranslate(C202, ""en"", ""ja"")"),"空気の質は許容範囲内です。ただし、一部の人、特に大気汚染に異常に敏感な人にとってはリスクが存在する可能性があります。")</f>
        <v>空気の質は許容範囲内です。ただし、一部の人、特に大気汚染に異常に敏感な人にとってはリスクが存在する可能性があります。</v>
      </c>
      <c r="AI202" s="7" t="str">
        <f>IFERROR(__xludf.DUMMYFUNCTION("GoogleTranslate(C202, ""en"", ""kn"")"),"ಗಾಳಿಯ ಗುಣಮಟ್ಟ ಸ್ವೀಕಾರಾರ್ಹವಾಗಿದೆ. ಆದಾಗ್ಯೂ, ಕೆಲವು ಜನರಿಗೆ, ವಿಶೇಷವಾಗಿ ವಾಯುಮಾಲಿನ್ಯಕ್ಕೆ ಅಸಾಮಾನ್ಯವಾಗಿ ಸಂವೇದನಾಶೀಲರಾಗಿರುವವರಿಗೆ ಅಪಾಯವಿರಬಹುದು.")</f>
        <v>ಗಾಳಿಯ ಗುಣಮಟ್ಟ ಸ್ವೀಕಾರಾರ್ಹವಾಗಿದೆ. ಆದಾಗ್ಯೂ, ಕೆಲವು ಜನರಿಗೆ, ವಿಶೇಷವಾಗಿ ವಾಯುಮಾಲಿನ್ಯಕ್ಕೆ ಅಸಾಮಾನ್ಯವಾಗಿ ಸಂವೇದನಾಶೀಲರಾಗಿರುವವರಿಗೆ ಅಪಾಯವಿರಬಹುದು.</v>
      </c>
      <c r="AJ202" s="7" t="str">
        <f>IFERROR(__xludf.DUMMYFUNCTION("GoogleTranslate(C202, ""en"", ""km"")"),"គុណភាពខ្យល់អាចទទួលយកបាន។ ទោះយ៉ាងណាក៏ដោយ វាអាចមានហានិភ័យសម្រាប់មនុស្សមួយចំនួន ជាពិសេសអ្នកដែលងាយនឹងបំពុលខ្យល់។")</f>
        <v>គុណភាពខ្យល់អាចទទួលយកបាន។ ទោះយ៉ាងណាក៏ដោយ វាអាចមានហានិភ័យសម្រាប់មនុស្សមួយចំនួន ជាពិសេសអ្នកដែលងាយនឹងបំពុលខ្យល់។</v>
      </c>
      <c r="AK202" s="7" t="str">
        <f>IFERROR(__xludf.DUMMYFUNCTION("GoogleTranslate(C202, ""en"", ""ko"")"),"공기질은 괜찮습니다. 그러나 일부 사람들, 특히 대기 오염에 특별히 민감한 사람들에게는 위험이 있을 수 있습니다.")</f>
        <v>공기질은 괜찮습니다. 그러나 일부 사람들, 특히 대기 오염에 특별히 민감한 사람들에게는 위험이 있을 수 있습니다.</v>
      </c>
      <c r="AL202" s="7" t="str">
        <f>IFERROR(__xludf.DUMMYFUNCTION("GoogleTranslate(C202, ""en"", ""lo"")"),"ຄຸນນະພາບອາກາດເປັນທີ່ຍອມຮັບ.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f>
        <v>ຄຸນນະພາບອາກາດເປັນທີ່ຍອມຮັບ. ຢ່າງໃດກໍ່ຕາມ, ອາດຈະມີຄວາມສ່ຽງສໍາລັບບາງຄົນ, ໂດຍສະເພາະຜູ້ທີ່ມີຄວາມຮູ້ສຶກຜິດປົກກະຕິກັບມົນລະພິດທາງອາກາດ.</v>
      </c>
      <c r="AM202" s="7" t="str">
        <f>IFERROR(__xludf.DUMMYFUNCTION("GoogleTranslate(C202, ""en"", ""lv"")"),"Gaisa kvalitāte ir pieņemama. Tomēr dažiem cilvēkiem var būt risks, jo īpaši tiem, kuri ir neparasti jutīgi pret gaisa piesārņojumu.")</f>
        <v>Gaisa kvalitāte ir pieņemama. Tomēr dažiem cilvēkiem var būt risks, jo īpaši tiem, kuri ir neparasti jutīgi pret gaisa piesārņojumu.</v>
      </c>
      <c r="AN202" s="7" t="str">
        <f>IFERROR(__xludf.DUMMYFUNCTION("GoogleTranslate(C202, ""en"", ""lt"")"),"Oro kokybė yra priimtina. Tačiau kai kuriems žmonėms, ypač neįprastai jautriems oro taršai, gali kilti pavojus.")</f>
        <v>Oro kokybė yra priimtina. Tačiau kai kuriems žmonėms, ypač neįprastai jautriems oro taršai, gali kilti pavojus.</v>
      </c>
      <c r="AO202" s="7" t="str">
        <f>IFERROR(__xludf.DUMMYFUNCTION("GoogleTranslate(C202, ""en"", ""mk"")"),"Квалитетот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f>
        <v>Квалитетот на воздухот е прифатлив. Сепак, може да постои ризик за некои луѓе, особено за оние кои се невообичаено чувствителни на загадувањето на воздухот.</v>
      </c>
      <c r="AP202" s="7" t="str">
        <f>IFERROR(__xludf.DUMMYFUNCTION("GoogleTranslate(C202, ""en"", ""ms"")"),"Kualiti udara boleh diterima. Walau bagaimanapun, mungkin terdapat risiko bagi sesetengah orang, terutamanya mereka yang luar biasa sensitif terhadap pencemaran udara.")</f>
        <v>Kualiti udara boleh diterima. Walau bagaimanapun, mungkin terdapat risiko bagi sesetengah orang, terutamanya mereka yang luar biasa sensitif terhadap pencemaran udara.</v>
      </c>
      <c r="AQ202" s="7" t="str">
        <f>IFERROR(__xludf.DUMMYFUNCTION("GoogleTranslate(C202, ""en"", ""ml"")"),"വായുവിൻ്റെ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f>
        <v>വായുവിൻ്റെ ഗുണനിലവാരം സ്വീകാര്യമാണ്. എന്നിരുന്നാലും, ചില ആളുകൾക്ക്, പ്രത്യേകിച്ച് അന്തരീക്ഷ മലിനീകരണത്തോട് അസാധാരണമായി സംവേദനക്ഷമതയുള്ളവർക്ക് അപകടസാധ്യതയുണ്ടായേക്കാം.</v>
      </c>
      <c r="AR202" s="7" t="str">
        <f>IFERROR(__xludf.DUMMYFUNCTION("GoogleTranslate(C202, ""en"", ""mr"")"),"हवेची गुणवत्ता स्वीकार्य आहे. तथापि, काही लोकांसाठी धोका असू शकतो, विशेषत: जे वायू प्रदूषणासाठी असामान्यपणे संवेदनशील असतात.")</f>
        <v>हवेची गुणवत्ता स्वीकार्य आहे. तथापि, काही लोकांसाठी धोका असू शकतो, विशेषत: जे वायू प्रदूषणासाठी असामान्यपणे संवेदनशील असतात.</v>
      </c>
      <c r="AS202" s="7" t="str">
        <f>IFERROR(__xludf.DUMMYFUNCTION("GoogleTranslate(C202, ""en"", ""mn"")"),"Агаарын чанарыг хүлээн зөвшөөрөх боломжтой. Гэсэн хэдий ч зарим хүмүүст, ялангуяа агаарын бохирдолд хэт мэдрэмтгий хүмүүст эрсдэлтэй байж болно.")</f>
        <v>Агаарын чанарыг хүлээн зөвшөөрөх боломжтой. Гэсэн хэдий ч зарим хүмүүст, ялангуяа агаарын бохирдолд хэт мэдрэмтгий хүмүүст эрсдэлтэй байж болно.</v>
      </c>
      <c r="AT202" s="7" t="str">
        <f>IFERROR(__xludf.DUMMYFUNCTION("GoogleTranslate(C202, ""en"", ""ne"")"),"हावा गुणस्तर स्वीकार्य छ। यद्यपि, केही व्यक्तिहरूका लागि जोखिम हुन सक्छ, विशेष गरी जो वायु प्रदूषणप्रति असामान्य रूपमा संवेदनशील हुन्छन्।")</f>
        <v>हावा गुणस्तर स्वीकार्य छ। यद्यपि, केही व्यक्तिहरूका लागि जोखिम हुन सक्छ, विशेष गरी जो वायु प्रदूषणप्रति असामान्य रूपमा संवेदनशील हुन्छन्।</v>
      </c>
      <c r="AU202" s="7" t="str">
        <f>IFERROR(__xludf.DUMMYFUNCTION("GoogleTranslate(C202, ""en"", ""nb"")"),"Luftkvaliteten er akseptabel. Imidlertid kan det være en risiko for noen mennesker, spesielt de som er uvanlig følsomme for luftforurensning.")</f>
        <v>Luftkvaliteten er akseptabel. Imidlertid kan det være en risiko for noen mennesker, spesielt de som er uvanlig følsomme for luftforurensning.</v>
      </c>
      <c r="AV202" s="7" t="str">
        <f>IFERROR(__xludf.DUMMYFUNCTION("GoogleTranslate(C202, ""en"", ""fa"")"),"کیفیت هوا قابل قبول است. با این حال، ممکن است خطری برای برخی از افراد، به ویژه آنهایی که به طور غیرعادی نسبت به آلودگی هوا حساس هستند، وجود داشته باشد.")</f>
        <v>کیفیت هوا قابل قبول است. با این حال، ممکن است خطری برای برخی از افراد، به ویژه آنهایی که به طور غیرعادی نسبت به آلودگی هوا حساس هستند، وجود داشته باشد.</v>
      </c>
      <c r="AW202" s="7" t="str">
        <f>IFERROR(__xludf.DUMMYFUNCTION("GoogleTranslate(C202, ""en"", ""pl"")"),"Jakość powietrza jest akceptowalna. Jednakże może istnieć ryzyko dla niektórych osób, szczególnie tych, które są niezwykle wrażliwe na zanieczyszczenie powietrza.")</f>
        <v>Jakość powietrza jest akceptowalna. Jednakże może istnieć ryzyko dla niektórych osób, szczególnie tych, które są niezwykle wrażliwe na zanieczyszczenie powietrza.</v>
      </c>
      <c r="AX202" s="7" t="str">
        <f>IFERROR(__xludf.DUMMYFUNCTION("GoogleTranslate(C202, ""en"", ""pt"")"),"A qualidade do ar é aceitável. No entanto, pode existir um risco para algumas pessoas, especialmente aquelas que são invulgarmente sensíveis à poluição atmosférica.")</f>
        <v>A qualidade do ar é aceitável. No entanto, pode existir um risco para algumas pessoas, especialmente aquelas que são invulgarmente sensíveis à poluição atmosférica.</v>
      </c>
      <c r="AY202" s="7" t="str">
        <f>IFERROR(__xludf.DUMMYFUNCTION("GoogleTranslate(C202, ""en"", ""ro"")"),"Calitatea aerului este acceptabilă. Cu toate acestea, poate exista un risc pentru unii oameni, în special pentru cei care sunt neobișnuit de sensibili la poluarea aerului.")</f>
        <v>Calitatea aerului este acceptabilă. Cu toate acestea, poate exista un risc pentru unii oameni, în special pentru cei care sunt neobișnuit de sensibili la poluarea aerului.</v>
      </c>
      <c r="AZ202" s="7" t="str">
        <f>IFERROR(__xludf.DUMMYFUNCTION("GoogleTranslate(C202, ""en"", ""ru"")"),"Качество воздуха приемлемое. Однако для некоторых людей, особенно для тех, кто необычайно чувствителен к загрязнению воздуха, может существовать риск.")</f>
        <v>Качество воздуха приемлемое. Однако для некоторых людей, особенно для тех, кто необычайно чувствителен к загрязнению воздуха, может существовать риск.</v>
      </c>
      <c r="BA202" s="7" t="str">
        <f>IFERROR(__xludf.DUMMYFUNCTION("GoogleTranslate(C202, ""en"", ""sr"")"),"Квалитет ваздуха је прихватљив. Међутим, може постојати ризик за неке људе, посебно оне који су необично осетљиви на загађење ваздуха.")</f>
        <v>Квалитет ваздуха је прихватљив. Међутим, може постојати ризик за неке људе, посебно оне који су необично осетљиви на загађење ваздуха.</v>
      </c>
      <c r="BB202" s="7" t="str">
        <f>IFERROR(__xludf.DUMMYFUNCTION("GoogleTranslate(C202, ""en"", ""si"")"),"වාතයේ ගුණාත්මකභාවය පිළිගත හැකි ය. කෙසේ වෙතත්, සමහර පුද්ගලයින්ට, විශේෂයෙන් වායු දූෂණයට අසාමාන්‍ය ලෙස සංවේදී වන අයට අවදානමක් තිබිය හැකිය.")</f>
        <v>වාතයේ ගුණාත්මකභාවය පිළිගත හැකි ය. කෙසේ වෙතත්, සමහර පුද්ගලයින්ට, විශේෂයෙන් වායු දූෂණයට අසාමාන්‍ය ලෙස සංවේදී වන අයට අවදානමක් තිබිය හැකිය.</v>
      </c>
      <c r="BC202" s="7" t="str">
        <f>IFERROR(__xludf.DUMMYFUNCTION("GoogleTranslate(C202, ""en"", ""sk"")"),"Kvalita vzduchu je prijateľná. Pre niektorých ľudí však môže existovať riziko, najmä pre tých, ktorí sú nezvyčajne citliví na znečistenie ovzdušia.")</f>
        <v>Kvalita vzduchu je prijateľná. Pre niektorých ľudí však môže existovať riziko, najmä pre tých, ktorí sú nezvyčajne citliví na znečistenie ovzdušia.</v>
      </c>
      <c r="BD202" s="7" t="str">
        <f>IFERROR(__xludf.DUMMYFUNCTION("GoogleTranslate(C202, ""en"", ""sl"")"),"Kakovost zraka je sprejemljiva. Vendar pa lahko obstaja tveganje za nekatere ljudi, zlasti tiste, ki so neobičajno občutljivi na onesnažen zrak.")</f>
        <v>Kakovost zraka je sprejemljiva. Vendar pa lahko obstaja tveganje za nekatere ljudi, zlasti tiste, ki so neobičajno občutljivi na onesnažen zrak.</v>
      </c>
      <c r="BE202" s="7" t="str">
        <f>IFERROR(__xludf.DUMMYFUNCTION("GoogleTranslate(C202, ""en"", ""es"")"),"La calidad del aire es aceptable. Sin embargo, puede existir un riesgo para algunas personas, particularmente aquellas que son inusualmente sensibles a la contaminación del aire.")</f>
        <v>La calidad del aire es aceptable. Sin embargo, puede existir un riesgo para algunas personas, particularmente aquellas que son inusualmente sensibles a la contaminación del aire.</v>
      </c>
      <c r="BF202" s="7" t="str">
        <f>IFERROR(__xludf.DUMMYFUNCTION("GoogleTranslate(C202, ""en"", ""sw"")"),"Ubora wa hewa unakubalika. Hata hivyo, kunaweza kuwa na hatari kwa baadhi ya watu, hasa wale ambao ni nyeti isivyo kawaida kwa uchafuzi wa hewa.")</f>
        <v>Ubora wa hewa unakubalika. Hata hivyo, kunaweza kuwa na hatari kwa baadhi ya watu, hasa wale ambao ni nyeti isivyo kawaida kwa uchafuzi wa hewa.</v>
      </c>
      <c r="BG202" s="7" t="str">
        <f>IFERROR(__xludf.DUMMYFUNCTION("GoogleTranslate(C202, ""en"", ""sv"")"),"Luftkvaliteten är acceptabel. Det kan dock finnas en risk för vissa människor, särskilt de som är ovanligt känsliga för luftföroreningar.")</f>
        <v>Luftkvaliteten är acceptabel. Det kan dock finnas en risk för vissa människor, särskilt de som är ovanligt känsliga för luftföroreningar.</v>
      </c>
      <c r="BH202" s="7" t="str">
        <f>IFERROR(__xludf.DUMMYFUNCTION("GoogleTranslate(C202, ""en"", ""te"")"),"గాలి నాణ్యత ఆమోదయోగ్యమైనది. అయినప్పటికీ, కొంతమందికి, ముఖ్యంగా వాయు కాలుష్యానికి అసాధారణంగా సున్నితంగా ఉండేవారికి ప్రమాదం ఉండవచ్చు.")</f>
        <v>గాలి నాణ్యత ఆమోదయోగ్యమైనది. అయినప్పటికీ, కొంతమందికి, ముఖ్యంగా వాయు కాలుష్యానికి అసాధారణంగా సున్నితంగా ఉండేవారికి ప్రమాదం ఉండవచ్చు.</v>
      </c>
      <c r="BI202" s="7" t="str">
        <f>IFERROR(__xludf.DUMMYFUNCTION("GoogleTranslate(C202, ""en"", ""th"")"),"คุณภาพอากาศเป็นที่ยอมรับ อย่างไรก็ตาม อาจมีความเสี่ยงสำหรับบางคน โดยเฉพาะผู้ที่มีความไวต่อมลพิษทางอากาศอย่างผิดปกติ")</f>
        <v>คุณภาพอากาศเป็นที่ยอมรับ อย่างไรก็ตาม อาจมีความเสี่ยงสำหรับบางคน โดยเฉพาะผู้ที่มีความไวต่อมลพิษทางอากาศอย่างผิดปกติ</v>
      </c>
      <c r="BJ202" s="7" t="str">
        <f>IFERROR(__xludf.DUMMYFUNCTION("GoogleTranslate(C202, ""en"", ""tr"")"),"Hava kalitesi kabul edilebilir. Ancak bazı insanlar, özellikle de hava kirliliğine karşı alışılmadık derecede hassas olanlar için risk söz konusu olabilir.")</f>
        <v>Hava kalitesi kabul edilebilir. Ancak bazı insanlar, özellikle de hava kirliliğine karşı alışılmadık derecede hassas olanlar için risk söz konusu olabilir.</v>
      </c>
      <c r="BK202" s="7" t="str">
        <f>IFERROR(__xludf.DUMMYFUNCTION("GoogleTranslate(C202, ""en"", ""uk"")"),"Якість повітря прийнятна. Однак для деяких людей, особливо для тих, хто надзвичайно чутливий до забруднення повітря, може бути ризик.")</f>
        <v>Якість повітря прийнятна. Однак для деяких людей, особливо для тих, хто надзвичайно чутливий до забруднення повітря, може бути ризик.</v>
      </c>
      <c r="BL202" s="7" t="str">
        <f>IFERROR(__xludf.DUMMYFUNCTION("GoogleTranslate(C202, ""en"", ""zu"")"),"Ikhwalithi yomoya yamukelekile. Nokho, kungase kube nengozi kwabanye abantu, ikakhulukazi labo abazwela ngokungavamile ukungcoliswa komoya.")</f>
        <v>Ikhwalithi yomoya yamukelekile. Nokho, kungase kube nengozi kwabanye abantu, ikakhulukazi labo abazwela ngokungavamile ukungcoliswa komoya.</v>
      </c>
    </row>
    <row r="203">
      <c r="A203" s="5" t="str">
        <f t="shared" si="1"/>
        <v>Members_of_sensitive_groups_may_experience_health_effects._The_general_public_is_less_likely_to_be_affected.</v>
      </c>
      <c r="B203" s="4" t="s">
        <v>252</v>
      </c>
      <c r="C203" s="4" t="s">
        <v>252</v>
      </c>
      <c r="D203" s="7" t="str">
        <f>IFERROR(__xludf.DUMMYFUNCTION("GoogleTranslate(C203,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E203" s="7" t="str">
        <f>IFERROR(__xludf.DUMMYFUNCTION("GoogleTranslate(C203, ""en"", ""ar"")"),"قد يتعرض أعضاء المجموعات الحساسة لآثار صحية. عامة الناس أقل عرضة للتأثر.")</f>
        <v>قد يتعرض أعضاء المجموعات الحساسة لآثار صحية. عامة الناس أقل عرضة للتأثر.</v>
      </c>
      <c r="F203" s="7" t="str">
        <f>IFERROR(__xludf.DUMMYFUNCTION("GoogleTranslate(C203, ""en"", ""hy"")"),"Զգայուն խմբերի անդամները կարող են ունենալ առողջական ազդեցություն: Լայն հանրությունը ավելի քիչ հավանական է, որ ազդի:")</f>
        <v>Զգայուն խմբերի անդամները կարող են ունենալ առողջական ազդեցություն: Լայն հանրությունը ավելի քիչ հավանական է, որ ազդի:</v>
      </c>
      <c r="G203" s="7" t="str">
        <f>IFERROR(__xludf.DUMMYFUNCTION("GoogleTranslate(C203, ""en"", ""vi"")"),"Thành viên của các nhóm nhạy cảm có thể bị ảnh hưởng sức khỏe. Công chúng ít có khả năng bị ảnh hưởng.")</f>
        <v>Thành viên của các nhóm nhạy cảm có thể bị ảnh hưởng sức khỏe. Công chúng ít có khả năng bị ảnh hưởng.</v>
      </c>
      <c r="H203" s="7" t="str">
        <f>IFERROR(__xludf.DUMMYFUNCTION("GoogleTranslate(C203, ""en"", ""az"")"),"Həssas qrupların üzvləri sağlamlığa təsir göstərə bilər. Ümumi ictimaiyyətin təsirlənmə ehtimalı azdır.")</f>
        <v>Həssas qrupların üzvləri sağlamlığa təsir göstərə bilər. Ümumi ictimaiyyətin təsirlənmə ehtimalı azdır.</v>
      </c>
      <c r="I203" s="7" t="str">
        <f>IFERROR(__xludf.DUMMYFUNCTION("GoogleTranslate(C203, ""en"", ""eu"")"),"Talde sentikorretako kideek osasun-ondorioak izan ditzakete. Publiko orokorrak eragin txikiagoa izango du.")</f>
        <v>Talde sentikorretako kideek osasun-ondorioak izan ditzakete. Publiko orokorrak eragin txikiagoa izango du.</v>
      </c>
      <c r="J203" s="7" t="str">
        <f>IFERROR(__xludf.DUMMYFUNCTION("GoogleTranslate(C203, ""en"", ""be"")"),"Члены адчувальных груп могуць адчуваць наступствы для здароўя. Шырокая грамадскасць будзе менш закранута.")</f>
        <v>Члены адчувальных груп могуць адчуваць наступствы для здароўя. Шырокая грамадскасць будзе менш закранута.</v>
      </c>
      <c r="K203" s="7" t="str">
        <f>IFERROR(__xludf.DUMMYFUNCTION("GoogleTranslate(C203, ""en"", ""bn"")"),"সংবেদনশীল গোষ্ঠীর সদস্যরা স্বাস্থ্যের প্রভাব অনুভব করতে পারে। এতে সাধারণ মানুষ ক্ষতিগ্রস্ত হওয়ার সম্ভাবনা কম।")</f>
        <v>সংবেদনশীল গোষ্ঠীর সদস্যরা স্বাস্থ্যের প্রভাব অনুভব করতে পারে। এতে সাধারণ মানুষ ক্ষতিগ্রস্ত হওয়ার সম্ভাবনা কম।</v>
      </c>
      <c r="L203" s="7" t="str">
        <f>IFERROR(__xludf.DUMMYFUNCTION("GoogleTranslate(C203, ""en"", ""bg"")"),"Членовете на чувствителни групи могат да изпитат последици за здравето. По-малко вероятно е широката общественост да бъде засегната.")</f>
        <v>Членовете на чувствителни групи могат да изпитат последици за здравето. По-малко вероятно е широката общественост да бъде засегната.</v>
      </c>
      <c r="M203" s="7" t="str">
        <f>IFERROR(__xludf.DUMMYFUNCTION("GoogleTranslate(C203, ""en"", ""my"")"),"ထိလွယ်ရှလွယ်သောအဖွဲ့များ၏ အဖွဲ့ဝင်များသည် ကျန်းမာရေးဆိုင်ရာ သက်ရောက်မှုများကို ခံစားရနိုင်သည်။ သာမန်ပြည်သူတွေ ထိခိုက်နိုင်ခြေ နည်းတယ်။")</f>
        <v>ထိလွယ်ရှလွယ်သောအဖွဲ့များ၏ အဖွဲ့ဝင်များသည် ကျန်းမာရေးဆိုင်ရာ သက်ရောက်မှုများကို ခံစားရနိုင်သည်။ သာမန်ပြည်သူတွေ ထိခိုက်နိုင်ခြေ နည်းတယ်။</v>
      </c>
      <c r="N203" s="7" t="str">
        <f>IFERROR(__xludf.DUMMYFUNCTION("GoogleTranslate(C203, ""en"", ""ca"")"),"Els membres de grups sensibles poden experimentar efectes sobre la salut. És menys probable que el públic en general es vegi afectat.")</f>
        <v>Els membres de grups sensibles poden experimentar efectes sobre la salut. És menys probable que el públic en general es vegi afectat.</v>
      </c>
      <c r="O203" s="7" t="str">
        <f>IFERROR(__xludf.DUMMYFUNCTION("GoogleTranslate(C203, ""en"", ""zh-cn"")"),"敏感群体的成员可能会受到健康影响。普通公众受到影响的可能性较小。")</f>
        <v>敏感群体的成员可能会受到健康影响。普通公众受到影响的可能性较小。</v>
      </c>
      <c r="P203" s="7" t="str">
        <f>IFERROR(__xludf.DUMMYFUNCTION("GoogleTranslate(C203, ""en"", ""zh-TW"")"),"敏感群體的成員可能會受到健康影響。一般公眾受到影響的可能性較小。")</f>
        <v>敏感群體的成員可能會受到健康影響。一般公眾受到影響的可能性較小。</v>
      </c>
      <c r="Q203" s="7" t="str">
        <f>IFERROR(__xludf.DUMMYFUNCTION("GoogleTranslate(C203, ""en"", ""hr"")"),"Pripadnici osjetljivih skupina mogu imati zdravstvene posljedice. Manje je vjerojatno da će biti pogođena šira javnost.")</f>
        <v>Pripadnici osjetljivih skupina mogu imati zdravstvene posljedice. Manje je vjerojatno da će biti pogođena šira javnost.</v>
      </c>
      <c r="R203" s="7" t="str">
        <f>IFERROR(__xludf.DUMMYFUNCTION("GoogleTranslate(C203, ""en"", ""cs"")"),"Členové citlivých skupin mohou pociťovat zdravotní účinky. Širší veřejnost je méně pravděpodobně zasažena.")</f>
        <v>Členové citlivých skupin mohou pociťovat zdravotní účinky. Širší veřejnost je méně pravděpodobně zasažena.</v>
      </c>
      <c r="S203" s="7" t="str">
        <f>IFERROR(__xludf.DUMMYFUNCTION("GoogleTranslate(C203, ""en"", ""da"")"),"Medlemmer af følsomme grupper kan opleve sundhedseffekter. Den brede offentlighed er mindre tilbøjelig til at blive berørt.")</f>
        <v>Medlemmer af følsomme grupper kan opleve sundhedseffekter. Den brede offentlighed er mindre tilbøjelig til at blive berørt.</v>
      </c>
      <c r="T203" s="7" t="str">
        <f>IFERROR(__xludf.DUMMYFUNCTION("GoogleTranslate(C203, ""en"", ""nl"")"),"Leden van gevoelige groepen kunnen gezondheidseffecten ervaren. Het grote publiek zal er minder snel last van hebben.")</f>
        <v>Leden van gevoelige groepen kunnen gezondheidseffecten ervaren. Het grote publiek zal er minder snel last van hebben.</v>
      </c>
      <c r="U203" s="7" t="str">
        <f>IFERROR(__xludf.DUMMYFUNCTION("GoogleTranslate(C203, ""en"", ""et"")"),"Tundlike rühmade liikmed võivad kogeda tervisemõjusid. Üldsust mõjutab see vähem tõenäoliselt.")</f>
        <v>Tundlike rühmade liikmed võivad kogeda tervisemõjusid. Üldsust mõjutab see vähem tõenäoliselt.</v>
      </c>
      <c r="V203" s="5" t="str">
        <f t="shared" si="3"/>
        <v>Members of sensitive groups may experience health effects. The general public is less likely to be affected.</v>
      </c>
      <c r="W203" s="7" t="str">
        <f>IFERROR(__xludf.DUMMYFUNCTION("GoogleTranslate(C203, ""en"", ""fi"")"),"Herkkien ryhmien jäsenet voivat kokea terveysvaikutuksia. Suuren yleisön vaikutus on vähemmän todennäköistä.")</f>
        <v>Herkkien ryhmien jäsenet voivat kokea terveysvaikutuksia. Suuren yleisön vaikutus on vähemmän todennäköistä.</v>
      </c>
      <c r="X203" s="7" t="str">
        <f>IFERROR(__xludf.DUMMYFUNCTION("GoogleTranslate(C203, ""en"", ""fr"")"),"Les membres des groupes sensibles peuvent subir des effets sur leur santé. Le grand public est moins susceptible d’être concerné.")</f>
        <v>Les membres des groupes sensibles peuvent subir des effets sur leur santé. Le grand public est moins susceptible d’être concerné.</v>
      </c>
      <c r="Y203" s="7" t="str">
        <f>IFERROR(__xludf.DUMMYFUNCTION("GoogleTranslate(C203, ""en"", ""de"")"),"Bei Angehörigen sensibler Gruppen kann es zu gesundheitlichen Auswirkungen kommen. Die breite Öffentlichkeit dürfte weniger betroffen sein.")</f>
        <v>Bei Angehörigen sensibler Gruppen kann es zu gesundheitlichen Auswirkungen kommen. Die breite Öffentlichkeit dürfte weniger betroffen sein.</v>
      </c>
      <c r="Z203" s="7" t="str">
        <f>IFERROR(__xludf.DUMMYFUNCTION("GoogleTranslate(C203, ""en"", ""el"")"),"Μέλη ευαίσθητων ομάδων μπορεί να παρουσιάσουν επιπτώσεις στην υγεία. Το ευρύ κοινό είναι λιγότερο πιθανό να επηρεαστεί.")</f>
        <v>Μέλη ευαίσθητων ομάδων μπορεί να παρουσιάσουν επιπτώσεις στην υγεία. Το ευρύ κοινό είναι λιγότερο πιθανό να επηρεαστεί.</v>
      </c>
      <c r="AA203" s="7" t="str">
        <f>IFERROR(__xludf.DUMMYFUNCTION("GoogleTranslate(C203, ""en"", ""iw"")"),"חברים בקבוצות רגישות עלולים לחוות השפעות בריאותיות. הציבור הרחב נוטה פחות להיפגע.")</f>
        <v>חברים בקבוצות רגישות עלולים לחוות השפעות בריאותיות. הציבור הרחב נוטה פחות להיפגע.</v>
      </c>
      <c r="AB203" s="7" t="str">
        <f>IFERROR(__xludf.DUMMYFUNCTION("GoogleTranslate(C203, ""en"", ""hi"")"),"संवेदनशील समूहों के सदस्यों को स्वास्थ्य प्रभावों का अनुभव हो सकता है। आम जनता के प्रभावित होने की संभावना कम है.")</f>
        <v>संवेदनशील समूहों के सदस्यों को स्वास्थ्य प्रभावों का अनुभव हो सकता है। आम जनता के प्रभावित होने की संभावना कम है.</v>
      </c>
      <c r="AC203" s="7" t="str">
        <f>IFERROR(__xludf.DUMMYFUNCTION("GoogleTranslate(C203, ""en"", ""hu"")"),"Az érzékeny csoportok tagjai egészségügyi hatásokat tapasztalhatnak. A nagyközönséget kevésbé valószínű, hogy ez érinti.")</f>
        <v>Az érzékeny csoportok tagjai egészségügyi hatásokat tapasztalhatnak. A nagyközönséget kevésbé valószínű, hogy ez érinti.</v>
      </c>
      <c r="AD203" s="7" t="str">
        <f>IFERROR(__xludf.DUMMYFUNCTION("GoogleTranslate(C203, ""en"", ""is"")"),"Meðlimir viðkvæmra hópa geta fundið fyrir heilsufarsáhrifum. Það er ólíklegra að almenningur verði fyrir áhrifum.")</f>
        <v>Meðlimir viðkvæmra hópa geta fundið fyrir heilsufarsáhrifum. Það er ólíklegra að almenningur verði fyrir áhrifum.</v>
      </c>
      <c r="AE203" s="7" t="str">
        <f>IFERROR(__xludf.DUMMYFUNCTION("GoogleTranslate(C203, ""en"", ""id"")"),"Anggota kelompok sensitif mungkin mengalami dampak kesehatan. Masyarakat umum cenderung tidak terkena dampaknya.")</f>
        <v>Anggota kelompok sensitif mungkin mengalami dampak kesehatan. Masyarakat umum cenderung tidak terkena dampaknya.</v>
      </c>
      <c r="AF203" s="7" t="str">
        <f>IFERROR(__xludf.DUMMYFUNCTION("GoogleTranslate(C203, ""en"", ""in"")"),"Anggota kelompok sensitif mungkin mengalami dampak kesehatan. Masyarakat umum cenderung tidak terkena dampaknya.")</f>
        <v>Anggota kelompok sensitif mungkin mengalami dampak kesehatan. Masyarakat umum cenderung tidak terkena dampaknya.</v>
      </c>
      <c r="AG203" s="7" t="str">
        <f>IFERROR(__xludf.DUMMYFUNCTION("GoogleTranslate(C203, ""en"", ""it"")"),"I membri di gruppi sensibili possono sperimentare effetti sulla salute. Il pubblico in generale ha meno probabilità di essere colpito.")</f>
        <v>I membri di gruppi sensibili possono sperimentare effetti sulla salute. Il pubblico in generale ha meno probabilità di essere colpito.</v>
      </c>
      <c r="AH203" s="7" t="str">
        <f>IFERROR(__xludf.DUMMYFUNCTION("GoogleTranslate(C203, ""en"", ""ja"")"),"敏感なグループのメンバーは健康への影響を経験する可能性があります。一般の人は影響を受ける可能性が低いです。")</f>
        <v>敏感なグループのメンバーは健康への影響を経験する可能性があります。一般の人は影響を受ける可能性が低いです。</v>
      </c>
      <c r="AI203" s="7" t="str">
        <f>IFERROR(__xludf.DUMMYFUNCTION("GoogleTranslate(C203, ""en"", ""kn"")"),"ಸೂಕ್ಷ್ಮ ಗುಂಪುಗಳ ಸದಸ್ಯರು ಆರೋಗ್ಯದ ಪರಿಣಾಮಗಳನ್ನು ಅನುಭವಿಸಬಹುದು. ಜನಸಾಮಾನ್ಯರಿಗೆ ತೊಂದರೆಯಾಗುವ ಸಾಧ್ಯತೆ ಕಡಿಮೆ.")</f>
        <v>ಸೂಕ್ಷ್ಮ ಗುಂಪುಗಳ ಸದಸ್ಯರು ಆರೋಗ್ಯದ ಪರಿಣಾಮಗಳನ್ನು ಅನುಭವಿಸಬಹುದು. ಜನಸಾಮಾನ್ಯರಿಗೆ ತೊಂದರೆಯಾಗುವ ಸಾಧ್ಯತೆ ಕಡಿಮೆ.</v>
      </c>
      <c r="AJ203" s="7" t="str">
        <f>IFERROR(__xludf.DUMMYFUNCTION("GoogleTranslate(C203, ""en"", ""km"")"),"សមាជិកនៃក្រុមរសើបអាចជួបប្រទះផលប៉ះពាល់សុខភាព។ សាធារណជន​ទូទៅ​មិន​សូវ​ទទួល​រង​ផល​ប៉ះពាល់​ទេ។")</f>
        <v>សមាជិកនៃក្រុមរសើបអាចជួបប្រទះផលប៉ះពាល់សុខភាព។ សាធារណជន​ទូទៅ​មិន​សូវ​ទទួល​រង​ផល​ប៉ះពាល់​ទេ។</v>
      </c>
      <c r="AK203" s="7" t="str">
        <f>IFERROR(__xludf.DUMMYFUNCTION("GoogleTranslate(C203, ""en"", ""ko"")"),"민감한 그룹의 구성원은 건강에 영향을 미칠 수 있습니다. 일반 대중은 영향을 받을 가능성이 적습니다.")</f>
        <v>민감한 그룹의 구성원은 건강에 영향을 미칠 수 있습니다. 일반 대중은 영향을 받을 가능성이 적습니다.</v>
      </c>
      <c r="AL203" s="7" t="str">
        <f>IFERROR(__xludf.DUMMYFUNCTION("GoogleTranslate(C203, ""en"", ""lo"")"),"ສະມາຊິກຂອງກຸ່ມທີ່ລະອຽດອ່ອນອາດຈະປະສົບຜົນກະທົບດ້ານສຸຂະພາບ. ປະຊາຊົນທົ່ວໄປແມ່ນຫນ້ອຍທີ່ຈະໄດ້ຮັບຜົນກະທົບ.")</f>
        <v>ສະມາຊິກຂອງກຸ່ມທີ່ລະອຽດອ່ອນອາດຈະປະສົບຜົນກະທົບດ້ານສຸຂະພາບ. ປະຊາຊົນທົ່ວໄປແມ່ນຫນ້ອຍທີ່ຈະໄດ້ຮັບຜົນກະທົບ.</v>
      </c>
      <c r="AM203" s="7" t="str">
        <f>IFERROR(__xludf.DUMMYFUNCTION("GoogleTranslate(C203, ""en"", ""lv"")"),"Sensitīvu grupu locekļi var saskarties ar ietekmi uz veselību. Visticamāk, ka sabiedrība tiks ietekmēta mazāk.")</f>
        <v>Sensitīvu grupu locekļi var saskarties ar ietekmi uz veselību. Visticamāk, ka sabiedrība tiks ietekmēta mazāk.</v>
      </c>
      <c r="AN203" s="7" t="str">
        <f>IFERROR(__xludf.DUMMYFUNCTION("GoogleTranslate(C203, ""en"", ""lt"")"),"Jautrių grupių nariai gali patirti poveikį sveikatai. Mažiau tikėtina, kad bus paveikta plačioji visuomenė.")</f>
        <v>Jautrių grupių nariai gali patirti poveikį sveikatai. Mažiau tikėtina, kad bus paveikta plačioji visuomenė.</v>
      </c>
      <c r="AO203" s="7" t="str">
        <f>IFERROR(__xludf.DUMMYFUNCTION("GoogleTranslate(C203, ""en"", ""mk"")"),"Членовите на чувствителните групи може да доживеат здравствени ефекти. Помалку е веројатно општата јавност да биде засегната.")</f>
        <v>Членовите на чувствителните групи може да доживеат здравствени ефекти. Помалку е веројатно општата јавност да биде засегната.</v>
      </c>
      <c r="AP203" s="7" t="str">
        <f>IFERROR(__xludf.DUMMYFUNCTION("GoogleTranslate(C203, ""en"", ""ms"")"),"Ahli kumpulan sensitif mungkin mengalami kesan kesihatan. Orang awam kurang berkemungkinan terjejas.")</f>
        <v>Ahli kumpulan sensitif mungkin mengalami kesan kesihatan. Orang awam kurang berkemungkinan terjejas.</v>
      </c>
      <c r="AQ203" s="7" t="str">
        <f>IFERROR(__xludf.DUMMYFUNCTION("GoogleTranslate(C203, ""en"", ""ml"")"),"സെൻസിറ്റീവ് ഗ്രൂപ്പുകളിലെ അംഗങ്ങൾക്ക് ആരോഗ്യപരമായ പ്രത്യാഘാതങ്ങൾ അനുഭവപ്പെട്ടേക്കാം. സാധാരണക്കാരെ ബാധിക്കാനുള്ള സാധ്യത കുറവാണ്.")</f>
        <v>സെൻസിറ്റീവ് ഗ്രൂപ്പുകളിലെ അംഗങ്ങൾക്ക് ആരോഗ്യപരമായ പ്രത്യാഘാതങ്ങൾ അനുഭവപ്പെട്ടേക്കാം. സാധാരണക്കാരെ ബാധിക്കാനുള്ള സാധ്യത കുറവാണ്.</v>
      </c>
      <c r="AR203" s="7" t="str">
        <f>IFERROR(__xludf.DUMMYFUNCTION("GoogleTranslate(C203, ""en"", ""mr"")"),"संवेदनशील गटातील सदस्यांना आरोग्यावर परिणाम होऊ शकतात. सर्वसामान्यांना याचा फटका बसण्याची शक्यता कमी आहे.")</f>
        <v>संवेदनशील गटातील सदस्यांना आरोग्यावर परिणाम होऊ शकतात. सर्वसामान्यांना याचा फटका बसण्याची शक्यता कमी आहे.</v>
      </c>
      <c r="AS203" s="7" t="str">
        <f>IFERROR(__xludf.DUMMYFUNCTION("GoogleTranslate(C203, ""en"", ""mn"")"),"Эмзэг бүлгийн гишүүд эрүүл мэндэд сөрөг нөлөө үзүүлж болзошгүй. Нийт ард иргэд өртөх магадлал бага байдаг.")</f>
        <v>Эмзэг бүлгийн гишүүд эрүүл мэндэд сөрөг нөлөө үзүүлж болзошгүй. Нийт ард иргэд өртөх магадлал бага байдаг.</v>
      </c>
      <c r="AT203" s="7" t="str">
        <f>IFERROR(__xludf.DUMMYFUNCTION("GoogleTranslate(C203, ""en"", ""ne"")"),"संवेदनशील समूहका सदस्यहरूले स्वास्थ्य प्रभावहरू अनुभव गर्न सक्छन्। सर्वसाधारणलाई भने कम असर परेको छ ।")</f>
        <v>संवेदनशील समूहका सदस्यहरूले स्वास्थ्य प्रभावहरू अनुभव गर्न सक्छन्। सर्वसाधारणलाई भने कम असर परेको छ ।</v>
      </c>
      <c r="AU203" s="7" t="str">
        <f>IFERROR(__xludf.DUMMYFUNCTION("GoogleTranslate(C203, ""en"", ""nb"")"),"Medlemmer av sensitive grupper kan oppleve helseeffekter. Allmennheten er mindre sannsynlig å bli berørt.")</f>
        <v>Medlemmer av sensitive grupper kan oppleve helseeffekter. Allmennheten er mindre sannsynlig å bli berørt.</v>
      </c>
      <c r="AV203" s="7" t="str">
        <f>IFERROR(__xludf.DUMMYFUNCTION("GoogleTranslate(C203, ""en"", ""fa"")"),"اعضای گروه های حساس ممکن است اثرات سلامتی را تجربه کنند. عموم مردم کمتر تحت تأثیر قرار می گیرند.")</f>
        <v>اعضای گروه های حساس ممکن است اثرات سلامتی را تجربه کنند. عموم مردم کمتر تحت تأثیر قرار می گیرند.</v>
      </c>
      <c r="AW203" s="7" t="str">
        <f>IFERROR(__xludf.DUMMYFUNCTION("GoogleTranslate(C203, ""en"", ""pl"")"),"Członkowie grup wrażliwych mogą doświadczyć skutków zdrowotnych. Jest mniejsze prawdopodobieństwo, że wpływ ten będzie dotyczył ogółu społeczeństwa.")</f>
        <v>Członkowie grup wrażliwych mogą doświadczyć skutków zdrowotnych. Jest mniejsze prawdopodobieństwo, że wpływ ten będzie dotyczył ogółu społeczeństwa.</v>
      </c>
      <c r="AX203" s="7" t="str">
        <f>IFERROR(__xludf.DUMMYFUNCTION("GoogleTranslate(C203, ""en"", ""pt"")"),"Membros de grupos sensíveis podem sofrer efeitos na saúde. O público em geral tem menos probabilidade de ser afetado.")</f>
        <v>Membros de grupos sensíveis podem sofrer efeitos na saúde. O público em geral tem menos probabilidade de ser afetado.</v>
      </c>
      <c r="AY203" s="7" t="str">
        <f>IFERROR(__xludf.DUMMYFUNCTION("GoogleTranslate(C203, ""en"", ""ro"")"),"Membrii grupurilor sensibile pot avea efecte asupra sănătății. Publicul larg este mai puțin probabil să fie afectat.")</f>
        <v>Membrii grupurilor sensibile pot avea efecte asupra sănătății. Publicul larg este mai puțin probabil să fie afectat.</v>
      </c>
      <c r="AZ203" s="7" t="str">
        <f>IFERROR(__xludf.DUMMYFUNCTION("GoogleTranslate(C203, ""en"", ""ru"")"),"Члены чувствительных групп могут испытывать последствия для здоровья. Широкая общественность пострадает в меньшей степени.")</f>
        <v>Члены чувствительных групп могут испытывать последствия для здоровья. Широкая общественность пострадает в меньшей степени.</v>
      </c>
      <c r="BA203" s="7" t="str">
        <f>IFERROR(__xludf.DUMMYFUNCTION("GoogleTranslate(C203, ""en"", ""sr"")"),"Припадници осетљивих група могу имати здравствене последице. Мање је вероватно да ће шира јавност бити погођена.")</f>
        <v>Припадници осетљивих група могу имати здравствене последице. Мање је вероватно да ће шира јавност бити погођена.</v>
      </c>
      <c r="BB203" s="7" t="str">
        <f>IFERROR(__xludf.DUMMYFUNCTION("GoogleTranslate(C203, ""en"", ""si"")"),"සංවේදී කණ්ඩායම්වල සාමාජිකයින්ට සෞඛ්ය බලපෑම් ඇති විය හැක. සාමාන්‍ය ජනතාව පීඩාවට පත්වීම අඩුයි.")</f>
        <v>සංවේදී කණ්ඩායම්වල සාමාජිකයින්ට සෞඛ්ය බලපෑම් ඇති විය හැක. සාමාන්‍ය ජනතාව පීඩාවට පත්වීම අඩුයි.</v>
      </c>
      <c r="BC203" s="7" t="str">
        <f>IFERROR(__xludf.DUMMYFUNCTION("GoogleTranslate(C203, ""en"", ""sk"")"),"Členovia citlivých skupín môžu pociťovať zdravotné účinky. Široká verejnosť je menej pravdepodobne ovplyvnená.")</f>
        <v>Členovia citlivých skupín môžu pociťovať zdravotné účinky. Široká verejnosť je menej pravdepodobne ovplyvnená.</v>
      </c>
      <c r="BD203" s="7" t="str">
        <f>IFERROR(__xludf.DUMMYFUNCTION("GoogleTranslate(C203, ""en"", ""sl"")"),"Člani občutljivih skupin lahko občutijo posledice za zdravje. Manj verjetno je, da bo prizadeta splošna javnost.")</f>
        <v>Člani občutljivih skupin lahko občutijo posledice za zdravje. Manj verjetno je, da bo prizadeta splošna javnost.</v>
      </c>
      <c r="BE203" s="7" t="str">
        <f>IFERROR(__xludf.DUMMYFUNCTION("GoogleTranslate(C203,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BF203" s="7" t="str">
        <f>IFERROR(__xludf.DUMMYFUNCTION("GoogleTranslate(C203, ""en"", ""sw"")"),"Washiriki wa vikundi nyeti wanaweza kupata athari za kiafya. Umma kwa ujumla una uwezekano mdogo wa kuathirika.")</f>
        <v>Washiriki wa vikundi nyeti wanaweza kupata athari za kiafya. Umma kwa ujumla una uwezekano mdogo wa kuathirika.</v>
      </c>
      <c r="BG203" s="7" t="str">
        <f>IFERROR(__xludf.DUMMYFUNCTION("GoogleTranslate(C203, ""en"", ""sv"")"),"Medlemmar i känsliga grupper kan uppleva hälsoeffekter. Allmänheten är mindre sannolikt att drabbas.")</f>
        <v>Medlemmar i känsliga grupper kan uppleva hälsoeffekter. Allmänheten är mindre sannolikt att drabbas.</v>
      </c>
      <c r="BH203" s="7" t="str">
        <f>IFERROR(__xludf.DUMMYFUNCTION("GoogleTranslate(C203, ""en"", ""te"")"),"సున్నితమైన సమూహాల సభ్యులు ఆరోగ్య ప్రభావాలను అనుభవించవచ్చు. సామాన్య ప్రజానీకం దీని బారిన పడే అవకాశం తక్కువ.")</f>
        <v>సున్నితమైన సమూహాల సభ్యులు ఆరోగ్య ప్రభావాలను అనుభవించవచ్చు. సామాన్య ప్రజానీకం దీని బారిన పడే అవకాశం తక్కువ.</v>
      </c>
      <c r="BI203" s="7" t="str">
        <f>IFERROR(__xludf.DUMMYFUNCTION("GoogleTranslate(C203, ""en"", ""th"")"),"สมาชิกของกลุ่มที่มีความอ่อนไหวอาจได้รับผลกระทบต่อสุขภาพ ประชาชนทั่วไปมีโอกาสได้รับผลกระทบน้อย")</f>
        <v>สมาชิกของกลุ่มที่มีความอ่อนไหวอาจได้รับผลกระทบต่อสุขภาพ ประชาชนทั่วไปมีโอกาสได้รับผลกระทบน้อย</v>
      </c>
      <c r="BJ203" s="7" t="str">
        <f>IFERROR(__xludf.DUMMYFUNCTION("GoogleTranslate(C203, ""en"", ""tr"")"),"Hassas grupların üyeleri sağlık açısından etkilerle karşılaşabilir. Genel halkın etkilenme olasılığı daha düşüktür.")</f>
        <v>Hassas grupların üyeleri sağlık açısından etkilerle karşılaşabilir. Genel halkın etkilenme olasılığı daha düşüktür.</v>
      </c>
      <c r="BK203" s="7" t="str">
        <f>IFERROR(__xludf.DUMMYFUNCTION("GoogleTranslate(C203, ""en"", ""uk"")"),"Члени чутливих груп можуть мати наслідки для здоров'я. Менш імовірно, що це вплине на населення.")</f>
        <v>Члени чутливих груп можуть мати наслідки для здоров'я. Менш імовірно, що це вплине на населення.</v>
      </c>
      <c r="BL203" s="7" t="str">
        <f>IFERROR(__xludf.DUMMYFUNCTION("GoogleTranslate(C203, ""en"", ""zu"")"),"Amalungu amaqembu azwelayo angase abe nemiphumela yezempilo. Umphakathi jikelele mancane amathuba okuthi uthinteke.")</f>
        <v>Amalungu amaqembu azwelayo angase abe nemiphumela yezempilo. Umphakathi jikelele mancane amathuba okuthi uthinteke.</v>
      </c>
    </row>
    <row r="204">
      <c r="A204" s="5" t="str">
        <f t="shared" si="1"/>
        <v>Some_members_of_the_general_public_may_experience_health_effects;_members_of_sensitive_groups_may_experience_more_serious_health_effects.</v>
      </c>
      <c r="B204" s="4" t="s">
        <v>253</v>
      </c>
      <c r="C204" s="4" t="s">
        <v>253</v>
      </c>
      <c r="D204" s="7" t="str">
        <f>IFERROR(__xludf.DUMMYFUNCTION("GoogleTranslate(C204,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E204" s="7" t="str">
        <f>IFERROR(__xludf.DUMMYFUNCTION("GoogleTranslate(C204, ""en"", ""ar"")"),"قد يتعرض بعض أفراد عامة الناس لآثار صحية؛ قد يتعرض أعضاء المجموعات الحساسة لآثار صحية أكثر خطورة.")</f>
        <v>قد يتعرض بعض أفراد عامة الناس لآثار صحية؛ قد يتعرض أعضاء المجموعات الحساسة لآثار صحية أكثر خطورة.</v>
      </c>
      <c r="F204" s="7" t="str">
        <f>IFERROR(__xludf.DUMMYFUNCTION("GoogleTranslate(C204, ""en"", ""hy"")"),"Հասարակության որոշ անդամներ կարող են զգալ առողջական ազդեցություն. զգայուն խմբերի անդամները կարող են ավելի լուրջ առողջական հետևանքներ ունենալ:")</f>
        <v>Հասարակության որոշ անդամներ կարող են զգալ առողջական ազդեցություն. զգայուն խմբերի անդամները կարող են ավելի լուրջ առողջական հետևանքներ ունենալ:</v>
      </c>
      <c r="G204" s="7" t="str">
        <f>IFERROR(__xludf.DUMMYFUNCTION("GoogleTranslate(C204, ""en"", ""vi"")"),"Một số thành viên của cộng đồng nói chung có thể bị ảnh hưởng về sức khoẻ; thành viên của các nhóm nhạy cảm có thể bị ảnh hưởng sức khỏe nghiêm trọng hơn.")</f>
        <v>Một số thành viên của cộng đồng nói chung có thể bị ảnh hưởng về sức khoẻ; thành viên của các nhóm nhạy cảm có thể bị ảnh hưởng sức khỏe nghiêm trọng hơn.</v>
      </c>
      <c r="H204" s="7" t="str">
        <f>IFERROR(__xludf.DUMMYFUNCTION("GoogleTranslate(C204, ""en"", ""az"")"),"Cəmiyyətin bəzi üzvləri sağlamlığa təsir göstərə bilər; həssas qrupların üzvləri daha ciddi sağlamlıq təsirləri ilə üzləşə bilər.")</f>
        <v>Cəmiyyətin bəzi üzvləri sağlamlığa təsir göstərə bilər; həssas qrupların üzvləri daha ciddi sağlamlıq təsirləri ilə üzləşə bilər.</v>
      </c>
      <c r="I204" s="7" t="str">
        <f>IFERROR(__xludf.DUMMYFUNCTION("GoogleTranslate(C204, ""en"", ""eu"")"),"Publiko orokorreko kide batzuek osasun-ondorioak izan ditzakete; talde sentikorretako kideek osasun-ondorio larriagoak izan ditzakete.")</f>
        <v>Publiko orokorreko kide batzuek osasun-ondorioak izan ditzakete; talde sentikorretako kideek osasun-ondorio larriagoak izan ditzakete.</v>
      </c>
      <c r="J204" s="7" t="str">
        <f>IFERROR(__xludf.DUMMYFUNCTION("GoogleTranslate(C204, ""en"", ""be"")"),"Некаторыя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f>
        <v>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v>
      </c>
      <c r="K204" s="7" t="str">
        <f>IFERROR(__xludf.DUMMYFUNCTION("GoogleTranslate(C204, ""en"", ""bn"")"),"সাধারণ জনগণের কিছু সদস্য স্বাস্থ্যের প্রভাব অনুভব করতে পারে; সংবেদনশীল গোষ্ঠীর সদস্যরা আরও গুরুতর স্বাস্থ্য প্রভাব অনুভব করতে পারে।")</f>
        <v>সাধারণ জনগণের কিছু সদস্য স্বাস্থ্যের প্রভাব অনুভব করতে পারে; সংবেদনশীল গোষ্ঠীর সদস্যরা আরও গুরুতর স্বাস্থ্য প্রভাব অনুভব করতে পারে।</v>
      </c>
      <c r="L204" s="7" t="str">
        <f>IFERROR(__xludf.DUMMYFUNCTION("GoogleTranslate(C204, ""en"", ""bg"")"),"Някои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f>
        <v>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v>
      </c>
      <c r="M204" s="7" t="str">
        <f>IFERROR(__xludf.DUMMYFUNCTION("GoogleTranslate(C204, ""en"", ""my"")"),"သာမန်ပြည်သူအချို့၏ ကျန်းမာရေးဆိုင်ရာ သက်ရောက်မှုများကို ခံစားရနိုင်သည်၊ ထိလွယ်ရှလွယ်သော အဖွဲ့များ၏ အဖွဲ့ဝင်များသည် ပိုမိုပြင်းထန်သော ကျန်းမာရေးဆိုင်ရာ သက်ရောက်မှုများကို ခံစားရနိုင်သည်။")</f>
        <v>သာမန်ပြည်သူအချို့၏ ကျန်းမာရေးဆိုင်ရာ သက်ရောက်မှုများကို ခံစားရနိုင်သည်၊ ထိလွယ်ရှလွယ်သော အဖွဲ့များ၏ အဖွဲ့ဝင်များသည် ပိုမိုပြင်းထန်သော ကျန်းမာရေးဆိုင်ရာ သက်ရောက်မှုများကို ခံစားရနိုင်သည်။</v>
      </c>
      <c r="N204" s="7" t="str">
        <f>IFERROR(__xludf.DUMMYFUNCTION("GoogleTranslate(C204, ""en"", ""ca"")"),"Alguns membres del públic en general poden experimentar efectes sobre la salut; els membres de grups sensibles poden experimentar efectes més greus per a la salut.")</f>
        <v>Alguns membres del públic en general poden experimentar efectes sobre la salut; els membres de grups sensibles poden experimentar efectes més greus per a la salut.</v>
      </c>
      <c r="O204" s="7" t="str">
        <f>IFERROR(__xludf.DUMMYFUNCTION("GoogleTranslate(C204, ""en"", ""zh-cn"")"),"一些公众可能会受到健康影响；敏感群体的成员可能会遭受更严重的健康影响。")</f>
        <v>一些公众可能会受到健康影响；敏感群体的成员可能会遭受更严重的健康影响。</v>
      </c>
      <c r="P204" s="7" t="str">
        <f>IFERROR(__xludf.DUMMYFUNCTION("GoogleTranslate(C204, ""en"", ""zh-TW"")"),"有些公眾可能會受到健康影響；敏感群體的成員可能會遭受更嚴重的健康影響。")</f>
        <v>有些公眾可能會受到健康影響；敏感群體的成員可能會遭受更嚴重的健康影響。</v>
      </c>
      <c r="Q204" s="7" t="str">
        <f>IFERROR(__xludf.DUMMYFUNCTION("GoogleTranslate(C204, ""en"", ""hr"")"),"Neki članovi opće javnosti mogu osjetiti zdravstvene učinke; pripadnici osjetljivih skupina mogu imati ozbiljnije zdravstvene posljedice.")</f>
        <v>Neki članovi opće javnosti mogu osjetiti zdravstvene učinke; pripadnici osjetljivih skupina mogu imati ozbiljnije zdravstvene posljedice.</v>
      </c>
      <c r="R204" s="7" t="str">
        <f>IFERROR(__xludf.DUMMYFUNCTION("GoogleTranslate(C204, ""en"", ""cs"")"),"Někteří členové široké veřejnosti mohou pociťovat zdravotní účinky; členové citlivých skupin mohou pociťovat vážnější zdravotní účinky.")</f>
        <v>Někteří členové široké veřejnosti mohou pociťovat zdravotní účinky; členové citlivých skupin mohou pociťovat vážnější zdravotní účinky.</v>
      </c>
      <c r="S204" s="7" t="str">
        <f>IFERROR(__xludf.DUMMYFUNCTION("GoogleTranslate(C204, ""en"", ""da"")"),"Nogle medlemmer af offentligheden kan opleve sundhedseffekter; medlemmer af følsomme grupper kan opleve mere alvorlige helbredseffekter.")</f>
        <v>Nogle medlemmer af offentligheden kan opleve sundhedseffekter; medlemmer af følsomme grupper kan opleve mere alvorlige helbredseffekter.</v>
      </c>
      <c r="T204" s="7" t="str">
        <f>IFERROR(__xludf.DUMMYFUNCTION("GoogleTranslate(C204, ""en"", ""nl"")"),"Sommige leden van het grote publiek kunnen gezondheidseffecten ervaren; leden van gevoelige groepen kunnen ernstigere gevolgen voor de gezondheid ervaren.")</f>
        <v>Sommige leden van het grote publiek kunnen gezondheidseffecten ervaren; leden van gevoelige groepen kunnen ernstigere gevolgen voor de gezondheid ervaren.</v>
      </c>
      <c r="U204" s="7" t="str">
        <f>IFERROR(__xludf.DUMMYFUNCTION("GoogleTranslate(C204, ""en"", ""et"")"),"Mõned üldsuse liikmed võivad kogeda tervisemõjusid; tundlike rühmade liikmed võivad kogeda tõsisemaid tervisemõjusid.")</f>
        <v>Mõned üldsuse liikmed võivad kogeda tervisemõjusid; tundlike rühmade liikmed võivad kogeda tõsisemaid tervisemõjusid.</v>
      </c>
      <c r="V204" s="5" t="str">
        <f t="shared" si="3"/>
        <v>Some members of the general public may experience health effects; members of sensitive groups may experience more serious health effects.</v>
      </c>
      <c r="W204" s="7" t="str">
        <f>IFERROR(__xludf.DUMMYFUNCTION("GoogleTranslate(C204, ""en"", ""fi"")"),"Jotkut suuren yleisön jäsenet voivat kokea terveysvaikutuksia; herkkien ryhmien jäsenillä voi olla vakavampia terveysvaikutuksia.")</f>
        <v>Jotkut suuren yleisön jäsenet voivat kokea terveysvaikutuksia; herkkien ryhmien jäsenillä voi olla vakavampia terveysvaikutuksia.</v>
      </c>
      <c r="X204" s="7" t="str">
        <f>IFERROR(__xludf.DUMMYFUNCTION("GoogleTranslate(C204, ""en"", ""fr"")"),"Certains membres du grand public peuvent subir des effets sur la santé ; les membres des groupes sensibles peuvent subir des effets plus graves sur leur santé.")</f>
        <v>Certains membres du grand public peuvent subir des effets sur la santé ; les membres des groupes sensibles peuvent subir des effets plus graves sur leur santé.</v>
      </c>
      <c r="Y204" s="7" t="str">
        <f>IFERROR(__xludf.DUMMYFUNCTION("GoogleTranslate(C204, ""en"", ""de"")"),"Bei einigen Mitgliedern der Öffentlichkeit können gesundheitliche Auswirkungen auftreten; Bei Mitgliedern sensibler Gruppen kann es zu schwerwiegenderen gesundheitlichen Auswirkungen kommen.")</f>
        <v>Bei einigen Mitgliedern der Öffentlichkeit können gesundheitliche Auswirkungen auftreten; Bei Mitgliedern sensibler Gruppen kann es zu schwerwiegenderen gesundheitlichen Auswirkungen kommen.</v>
      </c>
      <c r="Z204" s="7" t="str">
        <f>IFERROR(__xludf.DUMMYFUNCTION("GoogleTranslate(C204, ""en"", ""el"")"),"Ορισμένα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f>
        <v>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v>
      </c>
      <c r="AA204" s="7" t="str">
        <f>IFERROR(__xludf.DUMMYFUNCTION("GoogleTranslate(C204, ""en"", ""iw"")"),"חלק מהציבור הרחב עלולים לחוות השפעות בריאותיות; חברי קבוצות רגישות עלולים לחוות השפעות בריאותיות חמורות יותר.")</f>
        <v>חלק מהציבור הרחב עלולים לחוות השפעות בריאותיות; חברי קבוצות רגישות עלולים לחוות השפעות בריאותיות חמורות יותר.</v>
      </c>
      <c r="AB204" s="7" t="str">
        <f>IFERROR(__xludf.DUMMYFUNCTION("GoogleTranslate(C204, ""en"", ""hi"")"),"आम जनता के कुछ सदस्यों को स्वास्थ्य प्रभावों का अनुभव हो सकता है; संवेदनशील समूहों के सदस्यों को अधिक गंभीर स्वास्थ्य प्रभावों का अनुभव हो सकता है।")</f>
        <v>आम जनता के कुछ सदस्यों को स्वास्थ्य प्रभावों का अनुभव हो सकता है; संवेदनशील समूहों के सदस्यों को अधिक गंभीर स्वास्थ्य प्रभावों का अनुभव हो सकता है।</v>
      </c>
      <c r="AC204" s="7" t="str">
        <f>IFERROR(__xludf.DUMMYFUNCTION("GoogleTranslate(C204, ""en"", ""hu"")"),"A lakosság egy része egészségügyi hatásokat tapasztalhat; az érzékeny csoportok tagjai súlyosabb egészségügyi hatásokat tapasztalhatnak.")</f>
        <v>A lakosság egy része egészségügyi hatásokat tapasztalhat; az érzékeny csoportok tagjai súlyosabb egészségügyi hatásokat tapasztalhatnak.</v>
      </c>
      <c r="AD204" s="7" t="str">
        <f>IFERROR(__xludf.DUMMYFUNCTION("GoogleTranslate(C204, ""en"", ""is"")"),"Sumir meðlimir almennings geta fundið fyrir heilsufarsáhrifum; meðlimir viðkvæmra hópa geta fundið fyrir alvarlegri heilsufarsáhrifum.")</f>
        <v>Sumir meðlimir almennings geta fundið fyrir heilsufarsáhrifum; meðlimir viðkvæmra hópa geta fundið fyrir alvarlegri heilsufarsáhrifum.</v>
      </c>
      <c r="AE204" s="7" t="str">
        <f>IFERROR(__xludf.DUMMYFUNCTION("GoogleTranslate(C204, ""en"", ""id"")"),"Beberapa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F204" s="7" t="str">
        <f>IFERROR(__xludf.DUMMYFUNCTION("GoogleTranslate(C204, ""en"", ""in"")"),"Beberapa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G204" s="7" t="str">
        <f>IFERROR(__xludf.DUMMYFUNCTION("GoogleTranslate(C204, ""en"", ""it"")"),"Alcuni membri del pubblico in generale potrebbero sperimentare effetti sulla salute; i membri di gruppi sensibili possono sperimentare effetti sulla salute più gravi.")</f>
        <v>Alcuni membri del pubblico in generale potrebbero sperimentare effetti sulla salute; i membri di gruppi sensibili possono sperimentare effetti sulla salute più gravi.</v>
      </c>
      <c r="AH204" s="7" t="str">
        <f>IFERROR(__xludf.DUMMYFUNCTION("GoogleTranslate(C204, ""en"", ""ja"")"),"一般人の中には健康被害を経験する人もいるかもしれません。敏感なグループのメンバーは、より深刻な健康影響を経験する可能性があります。")</f>
        <v>一般人の中には健康被害を経験する人もいるかもしれません。敏感なグループのメンバーは、より深刻な健康影響を経験する可能性があります。</v>
      </c>
      <c r="AI204" s="7" t="str">
        <f>IFERROR(__xludf.DUMMYFUNCTION("GoogleTranslate(C204, ""en"", ""kn"")"),"ಸಾಮಾನ್ಯ ಜನರ ಕೆಲವು ಸದಸ್ಯರು ಆರೋಗ್ಯದ ಪರಿಣಾಮಗಳನ್ನು ಅನುಭವಿಸಬಹುದು; ಸೂಕ್ಷ್ಮ ಗುಂಪುಗಳ ಸದಸ್ಯರು ಹೆಚ್ಚು ಗಂಭೀರವಾದ ಆರೋಗ್ಯ ಪರಿಣಾಮಗಳನ್ನು ಅನುಭವಿಸಬಹುದು.")</f>
        <v>ಸಾಮಾನ್ಯ ಜನರ ಕೆಲವು ಸದಸ್ಯರು ಆರೋಗ್ಯದ ಪರಿಣಾಮಗಳನ್ನು ಅನುಭವಿಸಬಹುದು; ಸೂಕ್ಷ್ಮ ಗುಂಪುಗಳ ಸದಸ್ಯರು ಹೆಚ್ಚು ಗಂಭೀರವಾದ ಆರೋಗ್ಯ ಪರಿಣಾಮಗಳನ್ನು ಅನುಭವಿಸಬಹುದು.</v>
      </c>
      <c r="AJ204" s="7" t="str">
        <f>IFERROR(__xludf.DUMMYFUNCTION("GoogleTranslate(C204, ""en"", ""km"")"),"សមាជិកមួយចំនួននៃសាធារណជនទូទៅអាចជួបប្រទះផលប៉ះពាល់សុខភាព។ សមាជិកនៃក្រុមរសើបអាចជួបប្រទះផលប៉ះពាល់សុខភាពធ្ងន់ធ្ងរជាងនេះ។")</f>
        <v>សមាជិកមួយចំនួននៃសាធារណជនទូទៅអាចជួបប្រទះផលប៉ះពាល់សុខភាព។ សមាជិកនៃក្រុមរសើបអាចជួបប្រទះផលប៉ះពាល់សុខភាពធ្ងន់ធ្ងរជាងនេះ។</v>
      </c>
      <c r="AK204" s="7" t="str">
        <f>IFERROR(__xludf.DUMMYFUNCTION("GoogleTranslate(C204, ""en"", ""ko"")"),"일반 대중 중 일부는 건강에 영향을 미칠 수 있습니다. 민감한 그룹의 구성원은 건강에 더 심각한 영향을 미칠 수 있습니다.")</f>
        <v>일반 대중 중 일부는 건강에 영향을 미칠 수 있습니다. 민감한 그룹의 구성원은 건강에 더 심각한 영향을 미칠 수 있습니다.</v>
      </c>
      <c r="AL204" s="7" t="str">
        <f>IFERROR(__xludf.DUMMYFUNCTION("GoogleTranslate(C204, ""en"", ""lo"")"),"ສະມາຊິກບາງຄົນຂອງປະຊາຊົນທົ່ວໄປອາດຈະປະສົບຜົນກະທົບດ້ານສຸຂະພາບ;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f>
        <v>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v>
      </c>
      <c r="AM204" s="7" t="str">
        <f>IFERROR(__xludf.DUMMYFUNCTION("GoogleTranslate(C204, ""en"", ""lv"")"),"Dažiem plašas sabiedrības locekļiem var rasties ietekme uz veselību; jutīgu grupu locekļi var izjust nopietnāku ietekmi uz veselību.")</f>
        <v>Dažiem plašas sabiedrības locekļiem var rasties ietekme uz veselību; jutīgu grupu locekļi var izjust nopietnāku ietekmi uz veselību.</v>
      </c>
      <c r="AN204" s="7" t="str">
        <f>IFERROR(__xludf.DUMMYFUNCTION("GoogleTranslate(C204, ""en"", ""lt"")"),"Kai kurie plačiosios visuomenės nariai gali patirti poveikį sveikatai; jautrių grupių nariai gali patirti rimtesnį poveikį sveikatai.")</f>
        <v>Kai kurie plačiosios visuomenės nariai gali patirti poveikį sveikatai; jautrių grupių nariai gali patirti rimtesnį poveikį sveikatai.</v>
      </c>
      <c r="AO204" s="7" t="str">
        <f>IFERROR(__xludf.DUMMYFUNCTION("GoogleTranslate(C204, ""en"", ""mk"")"),"Некои членови на општата јавност може да доживеат здравствени ефекти; членовите на чувствителните групи може да доживеат посериозни здравствени ефекти.")</f>
        <v>Некои членови на општата јавност може да доживеат здравствени ефекти; членовите на чувствителните групи може да доживеат посериозни здравствени ефекти.</v>
      </c>
      <c r="AP204" s="7" t="str">
        <f>IFERROR(__xludf.DUMMYFUNCTION("GoogleTranslate(C204, ""en"", ""ms"")"),"Sesetengah orang awam mungkin mengalami kesan kesihatan; ahli kumpulan sensitif mungkin mengalami kesan kesihatan yang lebih serius.")</f>
        <v>Sesetengah orang awam mungkin mengalami kesan kesihatan; ahli kumpulan sensitif mungkin mengalami kesan kesihatan yang lebih serius.</v>
      </c>
      <c r="AQ204" s="7" t="str">
        <f>IFERROR(__xludf.DUMMYFUNCTION("GoogleTranslate(C204, ""en"", ""ml"")"),"പൊതുജനങ്ങളിൽ ചിലർക്ക് ആരോഗ്യപരമായ പ്രത്യാഘാതങ്ങൾ ഉണ്ടായേക്കാം; സെൻസിറ്റീവ് ഗ്രൂപ്പുകളിലെ അംഗങ്ങൾ കൂടുതൽ ഗുരുതരമായ ആരോഗ്യപ്രശ്നങ്ങൾ അനുഭവിച്ചേക്കാം.")</f>
        <v>പൊതുജനങ്ങളിൽ ചിലർക്ക് ആരോഗ്യപരമായ പ്രത്യാഘാതങ്ങൾ ഉണ്ടായേക്കാം; സെൻസിറ്റീവ് ഗ്രൂപ്പുകളിലെ അംഗങ്ങൾ കൂടുതൽ ഗുരുതരമായ ആരോഗ്യപ്രശ്നങ്ങൾ അനുഭവിച്ചേക്കാം.</v>
      </c>
      <c r="AR204" s="7" t="str">
        <f>IFERROR(__xludf.DUMMYFUNCTION("GoogleTranslate(C204, ""en"", ""mr"")"),"सामान्य लोकांच्या काही सदस्यांना आरोग्यावर परिणाम होऊ शकतात; संवेदनशील गटातील सदस्यांना आरोग्यावर अधिक गंभीर परिणाम होऊ शकतात.")</f>
        <v>सामान्य लोकांच्या काही सदस्यांना आरोग्यावर परिणाम होऊ शकतात; संवेदनशील गटातील सदस्यांना आरोग्यावर अधिक गंभीर परिणाम होऊ शकतात.</v>
      </c>
      <c r="AS204" s="7" t="str">
        <f>IFERROR(__xludf.DUMMYFUNCTION("GoogleTranslate(C204, ""en"", ""mn"")"),"Олон нийтийн зарим гишүүд эрүүл мэндэд сөрөг нөлөө үзүүлж болзошгүй; мэдрэмтгий бүлгийн гишүүд эрүүл мэндэд илүү ноцтой нөлөө үзүүлж болзошгүй.")</f>
        <v>Олон нийтийн зарим гишүүд эрүүл мэндэд сөрөг нөлөө үзүүлж болзошгүй; мэдрэмтгий бүлгийн гишүүд эрүүл мэндэд илүү ноцтой нөлөө үзүүлж болзошгүй.</v>
      </c>
      <c r="AT204" s="7" t="str">
        <f>IFERROR(__xludf.DUMMYFUNCTION("GoogleTranslate(C204, ""en"", ""ne"")"),"सामान्य जनताका केही सदस्यहरूले स्वास्थ्य प्रभावहरू अनुभव गर्न सक्छन्; संवेदनशील समूहका सदस्यहरूले थप गम्भीर स्वास्थ्य प्रभावहरू अनुभव गर्न सक्छन्।")</f>
        <v>सामान्य जनताका केही सदस्यहरूले स्वास्थ्य प्रभावहरू अनुभव गर्न सक्छन्; संवेदनशील समूहका सदस्यहरूले थप गम्भीर स्वास्थ्य प्रभावहरू अनुभव गर्न सक्छन्।</v>
      </c>
      <c r="AU204" s="7" t="str">
        <f>IFERROR(__xludf.DUMMYFUNCTION("GoogleTranslate(C204, ""en"", ""nb"")"),"Noen medlemmer av allmennheten kan oppleve helseeffekter; medlemmer av sensitive grupper kan oppleve mer alvorlige helseeffekter.")</f>
        <v>Noen medlemmer av allmennheten kan oppleve helseeffekter; medlemmer av sensitive grupper kan oppleve mer alvorlige helseeffekter.</v>
      </c>
      <c r="AV204" s="7" t="str">
        <f>IFERROR(__xludf.DUMMYFUNCTION("GoogleTranslate(C204, ""en"", ""fa"")"),"برخی از اعضای عموم ممکن است اثرات سلامتی را تجربه کنند. اعضای گروه های حساس ممکن است اثرات جدی تری بر سلامتی داشته باشند.")</f>
        <v>برخی از اعضای عموم ممکن است اثرات سلامتی را تجربه کنند. اعضای گروه های حساس ممکن است اثرات جدی تری بر سلامتی داشته باشند.</v>
      </c>
      <c r="AW204" s="7" t="str">
        <f>IFERROR(__xludf.DUMMYFUNCTION("GoogleTranslate(C204, ""en"", ""pl"")"),"Niektórzy członkowie społeczeństwa mogą doświadczyć skutków zdrowotnych; członkowie grup wrażliwych mogą doświadczyć poważniejszych skutków zdrowotnych.")</f>
        <v>Niektórzy członkowie społeczeństwa mogą doświadczyć skutków zdrowotnych; członkowie grup wrażliwych mogą doświadczyć poważniejszych skutków zdrowotnych.</v>
      </c>
      <c r="AX204" s="7" t="str">
        <f>IFERROR(__xludf.DUMMYFUNCTION("GoogleTranslate(C204, ""en"", ""pt"")"),"Alguns membros do público em geral podem sofrer efeitos na saúde; membros de grupos sensíveis podem sofrer efeitos mais graves para a saúde.")</f>
        <v>Alguns membros do público em geral podem sofrer efeitos na saúde; membros de grupos sensíveis podem sofrer efeitos mais graves para a saúde.</v>
      </c>
      <c r="AY204" s="7" t="str">
        <f>IFERROR(__xludf.DUMMYFUNCTION("GoogleTranslate(C204, ""en"", ""ro"")"),"Unii membri ai publicului larg pot avea efecte asupra sănătății; membrii grupurilor sensibile pot avea efecte mai grave asupra sănătății.")</f>
        <v>Unii membri ai publicului larg pot avea efecte asupra sănătății; membrii grupurilor sensibile pot avea efecte mai grave asupra sănătății.</v>
      </c>
      <c r="AZ204" s="7" t="str">
        <f>IFERROR(__xludf.DUMMYFUNCTION("GoogleTranslate(C204, ""en"", ""ru"")"),"Некоторые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f>
        <v>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v>
      </c>
      <c r="BA204" s="7" t="str">
        <f>IFERROR(__xludf.DUMMYFUNCTION("GoogleTranslate(C204, ""en"", ""sr"")"),"Неки припадници опште јавности могу имати здравствене последице; припадници осетљивих група могу имати озбиљније здравствене последице.")</f>
        <v>Неки припадници опште јавности могу имати здравствене последице; припадници осетљивих група могу имати озбиљније здравствене последице.</v>
      </c>
      <c r="BB204" s="7" t="str">
        <f>IFERROR(__xludf.DUMMYFUNCTION("GoogleTranslate(C204, ""en"", ""si"")"),"සාමාන්‍ය ජනතාවගේ සමහර සාමාජිකයින්ට සෞඛ්‍ය බලපෑම් ඇති විය හැක; සංවේදී කණ්ඩායම්වල සාමාජිකයින්ට වඩාත් බරපතල සෞඛ්ය බලපෑම් ඇති විය හැක.")</f>
        <v>සාමාන්‍ය ජනතාවගේ සමහර සාමාජිකයින්ට සෞඛ්‍ය බලපෑම් ඇති විය හැක; සංවේදී කණ්ඩායම්වල සාමාජිකයින්ට වඩාත් බරපතල සෞඛ්ය බලපෑම් ඇති විය හැක.</v>
      </c>
      <c r="BC204" s="7" t="str">
        <f>IFERROR(__xludf.DUMMYFUNCTION("GoogleTranslate(C204, ""en"", ""sk"")"),"Niektorí členovia širokej verejnosti môžu pociťovať zdravotné účinky; členovia citlivých skupín môžu pociťovať vážnejšie zdravotné účinky.")</f>
        <v>Niektorí členovia širokej verejnosti môžu pociťovať zdravotné účinky; členovia citlivých skupín môžu pociťovať vážnejšie zdravotné účinky.</v>
      </c>
      <c r="BD204" s="7" t="str">
        <f>IFERROR(__xludf.DUMMYFUNCTION("GoogleTranslate(C204, ""en"", ""sl"")"),"Nekateri člani širše javnosti lahko občutijo zdravstvene posledice; pripadniki občutljivih skupin imajo lahko resnejše posledice za zdravje.")</f>
        <v>Nekateri člani širše javnosti lahko občutijo zdravstvene posledice; pripadniki občutljivih skupin imajo lahko resnejše posledice za zdravje.</v>
      </c>
      <c r="BE204" s="7" t="str">
        <f>IFERROR(__xludf.DUMMYFUNCTION("GoogleTranslate(C204,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BF204" s="7" t="str">
        <f>IFERROR(__xludf.DUMMYFUNCTION("GoogleTranslate(C204, ""en"", ""sw"")"),"Baadhi ya wananchi kwa ujumla wanaweza kupata madhara ya kiafya; wanachama wa makundi nyeti wanaweza kupata madhara makubwa zaidi ya afya.")</f>
        <v>Baadhi ya wananchi kwa ujumla wanaweza kupata madhara ya kiafya; wanachama wa makundi nyeti wanaweza kupata madhara makubwa zaidi ya afya.</v>
      </c>
      <c r="BG204" s="7" t="str">
        <f>IFERROR(__xludf.DUMMYFUNCTION("GoogleTranslate(C204, ""en"", ""sv"")"),"Vissa medlemmar av allmänheten kan uppleva hälsoeffekter; medlemmar i känsliga grupper kan uppleva allvarligare hälsoeffekter.")</f>
        <v>Vissa medlemmar av allmänheten kan uppleva hälsoeffekter; medlemmar i känsliga grupper kan uppleva allvarligare hälsoeffekter.</v>
      </c>
      <c r="BH204" s="7" t="str">
        <f>IFERROR(__xludf.DUMMYFUNCTION("GoogleTranslate(C204, ""en"", ""te"")"),"సాధారణ ప్రజలలోని కొందరు సభ్యులు ఆరోగ్య ప్రభావాలను అనుభవించవచ్చు; సున్నితమైన సమూహాల సభ్యులు మరింత తీవ్రమైన ఆరోగ్య ప్రభావాలను అనుభవించవచ్చు.")</f>
        <v>సాధారణ ప్రజలలోని కొందరు సభ్యులు ఆరోగ్య ప్రభావాలను అనుభవించవచ్చు; సున్నితమైన సమూహాల సభ్యులు మరింత తీవ్రమైన ఆరోగ్య ప్రభావాలను అనుభవించవచ్చు.</v>
      </c>
      <c r="BI204" s="7" t="str">
        <f>IFERROR(__xludf.DUMMYFUNCTION("GoogleTranslate(C204, ""en"", ""th"")"),"ประชาชนทั่วไปบางคนอาจได้รับผลกระทบต่อสุขภาพ สมาชิกของกลุ่มที่มีความอ่อนไหวอาจได้รับผลกระทบต่อสุขภาพที่รุนแรงยิ่งขึ้น")</f>
        <v>ประชาชนทั่วไปบางคนอาจได้รับผลกระทบต่อสุขภาพ สมาชิกของกลุ่มที่มีความอ่อนไหวอาจได้รับผลกระทบต่อสุขภาพที่รุนแรงยิ่งขึ้น</v>
      </c>
      <c r="BJ204" s="7" t="str">
        <f>IFERROR(__xludf.DUMMYFUNCTION("GoogleTranslate(C204, ""en"", ""tr"")"),"Halkın bazı üyeleri sağlıkla ilgili etkilerle karşılaşabilir; hassas grupların üyeleri daha ciddi sağlık etkileriyle karşılaşabilir.")</f>
        <v>Halkın bazı üyeleri sağlıkla ilgili etkilerle karşılaşabilir; hassas grupların üyeleri daha ciddi sağlık etkileriyle karşılaşabilir.</v>
      </c>
      <c r="BK204" s="7" t="str">
        <f>IFERROR(__xludf.DUMMYFUNCTION("GoogleTranslate(C204, ""en"", ""uk"")"),"Деякі представники широкої громадськості можуть відчувати вплив на здоров'я; члени чутливих груп можуть мати більш серйозні наслідки для здоров'я.")</f>
        <v>Деякі представники широкої громадськості можуть відчувати вплив на здоров'я; члени чутливих груп можуть мати більш серйозні наслідки для здоров'я.</v>
      </c>
      <c r="BL204" s="7" t="str">
        <f>IFERROR(__xludf.DUMMYFUNCTION("GoogleTranslate(C204, ""en"", ""zu"")"),"Amanye amalungu omphakathi jikelele angase abe nemiphumela yezempilo; amalungu amaqembu azwelayo angase abe nemiphumela emibi kakhulu yezempilo.")</f>
        <v>Amanye amalungu omphakathi jikelele angase abe nemiphumela yezempilo; amalungu amaqembu azwelayo angase abe nemiphumela emibi kakhulu yezempilo.</v>
      </c>
    </row>
    <row r="205">
      <c r="A205" s="5" t="str">
        <f t="shared" si="1"/>
        <v>Health_alert:_The_risk_of_health_effects_is_increased_for_everyone.</v>
      </c>
      <c r="B205" s="4" t="s">
        <v>254</v>
      </c>
      <c r="C205" s="4" t="s">
        <v>254</v>
      </c>
      <c r="D205" s="7" t="str">
        <f>IFERROR(__xludf.DUMMYFUNCTION("GoogleTranslate(C205, ""en"", ""es"")"),"Alerta sanitaria: El riesgo de efectos sobre la salud aumenta para todos.")</f>
        <v>Alerta sanitaria: El riesgo de efectos sobre la salud aumenta para todos.</v>
      </c>
      <c r="E205" s="7" t="str">
        <f>IFERROR(__xludf.DUMMYFUNCTION("GoogleTranslate(C205, ""en"", ""ar"")"),"تنبيه صحي: يزداد خطر حدوث آثار صحية على الجميع.")</f>
        <v>تنبيه صحي: يزداد خطر حدوث آثار صحية على الجميع.</v>
      </c>
      <c r="F205" s="7" t="str">
        <f>IFERROR(__xludf.DUMMYFUNCTION("GoogleTranslate(C205, ""en"", ""hy"")"),"Առողջության նախազգուշացում. առողջության վրա ազդեցության ռիսկը մեծանում է բոլորի համար:")</f>
        <v>Առողջության նախազգուշացում. առողջության վրա ազդեցության ռիսկը մեծանում է բոլորի համար:</v>
      </c>
      <c r="G205" s="7" t="str">
        <f>IFERROR(__xludf.DUMMYFUNCTION("GoogleTranslate(C205, ""en"", ""vi"")"),"Cảnh báo về sức khỏe: Nguy cơ ảnh hưởng đến sức khỏe ngày càng tăng đối với mọi người.")</f>
        <v>Cảnh báo về sức khỏe: Nguy cơ ảnh hưởng đến sức khỏe ngày càng tăng đối với mọi người.</v>
      </c>
      <c r="H205" s="7" t="str">
        <f>IFERROR(__xludf.DUMMYFUNCTION("GoogleTranslate(C205, ""en"", ""az"")"),"Sağlamlıq xəbərdarlığı: Sağlamlığa təsir riski hər kəs üçün artır.")</f>
        <v>Sağlamlıq xəbərdarlığı: Sağlamlığa təsir riski hər kəs üçün artır.</v>
      </c>
      <c r="I205" s="7" t="str">
        <f>IFERROR(__xludf.DUMMYFUNCTION("GoogleTranslate(C205, ""en"", ""eu"")"),"Osasun alerta: osasun-ondorioak izateko arriskua areagotu egiten da guztiontzat.")</f>
        <v>Osasun alerta: osasun-ondorioak izateko arriskua areagotu egiten da guztiontzat.</v>
      </c>
      <c r="J205" s="7" t="str">
        <f>IFERROR(__xludf.DUMMYFUNCTION("GoogleTranslate(C205, ""en"", ""be"")"),"Папярэджанне пра здароўе: рызыка наступстваў для здароўя павышаецца для ўсіх.")</f>
        <v>Папярэджанне пра здароўе: рызыка наступстваў для здароўя павышаецца для ўсіх.</v>
      </c>
      <c r="K205" s="7" t="str">
        <f>IFERROR(__xludf.DUMMYFUNCTION("GoogleTranslate(C205, ""en"", ""bn"")"),"স্বাস্থ্য সতর্কতা: প্রত্যেকের জন্য স্বাস্থ্যের প্রভাবের ঝুঁকি বেড়ে যায়।")</f>
        <v>স্বাস্থ্য সতর্কতা: প্রত্যেকের জন্য স্বাস্থ্যের প্রভাবের ঝুঁকি বেড়ে যায়।</v>
      </c>
      <c r="L205" s="7" t="str">
        <f>IFERROR(__xludf.DUMMYFUNCTION("GoogleTranslate(C205, ""en"", ""bg"")"),"Здравен сигнал: Рискът от последици за здравето е повишен за всички.")</f>
        <v>Здравен сигнал: Рискът от последици за здравето е повишен за всички.</v>
      </c>
      <c r="M205" s="7" t="str">
        <f>IFERROR(__xludf.DUMMYFUNCTION("GoogleTranslate(C205, ""en"", ""my"")"),"ကျန်းမာရေးသတိပေးချက်- လူတိုင်းအတွက် ကျန်းမာရေးအကျိုးသက်ရောက်မှုအန္တရာယ် တိုးလာပါသည်။")</f>
        <v>ကျန်းမာရေးသတိပေးချက်- လူတိုင်းအတွက် ကျန်းမာရေးအကျိုးသက်ရောက်မှုအန္တရာယ် တိုးလာပါသည်။</v>
      </c>
      <c r="N205" s="7" t="str">
        <f>IFERROR(__xludf.DUMMYFUNCTION("GoogleTranslate(C205, ""en"", ""ca"")"),"Alerta sanitària: augmenta el risc d'efectes sobre la salut per a tothom.")</f>
        <v>Alerta sanitària: augmenta el risc d'efectes sobre la salut per a tothom.</v>
      </c>
      <c r="O205" s="7" t="str">
        <f>IFERROR(__xludf.DUMMYFUNCTION("GoogleTranslate(C205, ""en"", ""zh-cn"")"),"健康警报：每个人的健康影响风险都会增加。")</f>
        <v>健康警报：每个人的健康影响风险都会增加。</v>
      </c>
      <c r="P205" s="7" t="str">
        <f>IFERROR(__xludf.DUMMYFUNCTION("GoogleTranslate(C205, ""en"", ""zh-TW"")"),"健康警報：每個人的健康影響風險都會增加。")</f>
        <v>健康警報：每個人的健康影響風險都會增加。</v>
      </c>
      <c r="Q205" s="7" t="str">
        <f>IFERROR(__xludf.DUMMYFUNCTION("GoogleTranslate(C205, ""en"", ""hr"")"),"Zdravstveno upozorenje: Rizik od zdravstvenih učinaka je povećan za sve.")</f>
        <v>Zdravstveno upozorenje: Rizik od zdravstvenih učinaka je povećan za sve.</v>
      </c>
      <c r="R205" s="7" t="str">
        <f>IFERROR(__xludf.DUMMYFUNCTION("GoogleTranslate(C205, ""en"", ""cs"")"),"Zdravotní upozornění: Riziko zdravotních účinků je pro každého zvýšené.")</f>
        <v>Zdravotní upozornění: Riziko zdravotních účinků je pro každého zvýšené.</v>
      </c>
      <c r="S205" s="7" t="str">
        <f>IFERROR(__xludf.DUMMYFUNCTION("GoogleTranslate(C205, ""en"", ""da"")"),"Sundhedsalarm: Risikoen for helbredspåvirkninger er øget for alle.")</f>
        <v>Sundhedsalarm: Risikoen for helbredspåvirkninger er øget for alle.</v>
      </c>
      <c r="T205" s="7" t="str">
        <f>IFERROR(__xludf.DUMMYFUNCTION("GoogleTranslate(C205, ""en"", ""nl"")"),"Gezondheidswaarschuwing: Het risico op gezondheidseffecten is voor iedereen groter.")</f>
        <v>Gezondheidswaarschuwing: Het risico op gezondheidseffecten is voor iedereen groter.</v>
      </c>
      <c r="U205" s="7" t="str">
        <f>IFERROR(__xludf.DUMMYFUNCTION("GoogleTranslate(C205, ""en"", ""et"")"),"Tervisehoiatus: tervisemõjude oht on kõigi jaoks suurenenud.")</f>
        <v>Tervisehoiatus: tervisemõjude oht on kõigi jaoks suurenenud.</v>
      </c>
      <c r="V205" s="5" t="str">
        <f t="shared" si="3"/>
        <v>Health alert: The risk of health effects is increased for everyone.</v>
      </c>
      <c r="W205" s="7" t="str">
        <f>IFERROR(__xludf.DUMMYFUNCTION("GoogleTranslate(C205, ""en"", ""fi"")"),"Terveysvaroitus: Terveysvaikutusten riski on lisääntynyt kaikilla.")</f>
        <v>Terveysvaroitus: Terveysvaikutusten riski on lisääntynyt kaikilla.</v>
      </c>
      <c r="X205" s="7" t="str">
        <f>IFERROR(__xludf.DUMMYFUNCTION("GoogleTranslate(C205, ""en"", ""fr"")"),"Alerte santé : Le risque d’effets sur la santé est accru pour tout le monde.")</f>
        <v>Alerte santé : Le risque d’effets sur la santé est accru pour tout le monde.</v>
      </c>
      <c r="Y205" s="7" t="str">
        <f>IFERROR(__xludf.DUMMYFUNCTION("GoogleTranslate(C205, ""en"", ""de"")"),"Gesundheitswarnung: Das Risiko gesundheitlicher Auswirkungen ist für alle erhöht.")</f>
        <v>Gesundheitswarnung: Das Risiko gesundheitlicher Auswirkungen ist für alle erhöht.</v>
      </c>
      <c r="Z205" s="7" t="str">
        <f>IFERROR(__xludf.DUMMYFUNCTION("GoogleTranslate(C205, ""en"", ""el"")"),"Προειδοποίηση για την υγεία: Ο κίνδυνος επιπτώσεων στην υγεία είναι αυξημένος για όλους.")</f>
        <v>Προειδοποίηση για την υγεία: Ο κίνδυνος επιπτώσεων στην υγεία είναι αυξημένος για όλους.</v>
      </c>
      <c r="AA205" s="7" t="str">
        <f>IFERROR(__xludf.DUMMYFUNCTION("GoogleTranslate(C205, ""en"", ""iw"")"),"התראת בריאות: הסיכון להשפעות בריאותיות מוגבר עבור כולם.")</f>
        <v>התראת בריאות: הסיכון להשפעות בריאותיות מוגבר עבור כולם.</v>
      </c>
      <c r="AB205" s="7" t="str">
        <f>IFERROR(__xludf.DUMMYFUNCTION("GoogleTranslate(C205, ""en"", ""hi"")"),"स्वास्थ्य चेतावनी: हर किसी के स्वास्थ्य पर प्रभाव पड़ने का खतरा बढ़ गया है।")</f>
        <v>स्वास्थ्य चेतावनी: हर किसी के स्वास्थ्य पर प्रभाव पड़ने का खतरा बढ़ गया है।</v>
      </c>
      <c r="AC205" s="7" t="str">
        <f>IFERROR(__xludf.DUMMYFUNCTION("GoogleTranslate(C205, ""en"", ""hu"")"),"Egészségügyi figyelmeztetés: Az egészségügyi hatások kockázata mindenki számára megnövekedett.")</f>
        <v>Egészségügyi figyelmeztetés: Az egészségügyi hatások kockázata mindenki számára megnövekedett.</v>
      </c>
      <c r="AD205" s="7" t="str">
        <f>IFERROR(__xludf.DUMMYFUNCTION("GoogleTranslate(C205, ""en"", ""is"")"),"Heilsuviðvörun: Hættan á heilsufarsáhrifum er aukin fyrir alla.")</f>
        <v>Heilsuviðvörun: Hættan á heilsufarsáhrifum er aukin fyrir alla.</v>
      </c>
      <c r="AE205" s="7" t="str">
        <f>IFERROR(__xludf.DUMMYFUNCTION("GoogleTranslate(C205, ""en"", ""id"")"),"Peringatan kesehatan: Risiko dampak kesehatan meningkat pada semua orang.")</f>
        <v>Peringatan kesehatan: Risiko dampak kesehatan meningkat pada semua orang.</v>
      </c>
      <c r="AF205" s="7" t="str">
        <f>IFERROR(__xludf.DUMMYFUNCTION("GoogleTranslate(C205, ""en"", ""in"")"),"Peringatan kesehatan: Risiko dampak kesehatan meningkat pada semua orang.")</f>
        <v>Peringatan kesehatan: Risiko dampak kesehatan meningkat pada semua orang.</v>
      </c>
      <c r="AG205" s="7" t="str">
        <f>IFERROR(__xludf.DUMMYFUNCTION("GoogleTranslate(C205, ""en"", ""it"")"),"Avviso sanitario: il rischio di effetti sulla salute aumenta per tutti.")</f>
        <v>Avviso sanitario: il rischio di effetti sulla salute aumenta per tutti.</v>
      </c>
      <c r="AH205" s="7" t="str">
        <f>IFERROR(__xludf.DUMMYFUNCTION("GoogleTranslate(C205, ""en"", ""ja"")"),"健康に関する警告: 健康影響のリスクは誰にとっても高まります。")</f>
        <v>健康に関する警告: 健康影響のリスクは誰にとっても高まります。</v>
      </c>
      <c r="AI205" s="7" t="str">
        <f>IFERROR(__xludf.DUMMYFUNCTION("GoogleTranslate(C205, ""en"", ""kn"")"),"ಆರೋಗ್ಯ ಎಚ್ಚರಿಕೆ: ಆರೋಗ್ಯದ ಪರಿಣಾಮಗಳ ಅಪಾಯವು ಎಲ್ಲರಿಗೂ ಹೆಚ್ಚಾಗುತ್ತದೆ.")</f>
        <v>ಆರೋಗ್ಯ ಎಚ್ಚರಿಕೆ: ಆರೋಗ್ಯದ ಪರಿಣಾಮಗಳ ಅಪಾಯವು ಎಲ್ಲರಿಗೂ ಹೆಚ್ಚಾಗುತ್ತದೆ.</v>
      </c>
      <c r="AJ205" s="7" t="str">
        <f>IFERROR(__xludf.DUMMYFUNCTION("GoogleTranslate(C205, ""en"", ""km"")"),"ការជូនដំណឹងអំពីសុខភាព៖ ហានិភ័យនៃផលប៉ះពាល់សុខភាពត្រូវបានកើនឡើងសម្រាប់មនុស្សគ្រប់គ្នា។")</f>
        <v>ការជូនដំណឹងអំពីសុខភាព៖ ហានិភ័យនៃផលប៉ះពាល់សុខភាពត្រូវបានកើនឡើងសម្រាប់មនុស្សគ្រប់គ្នា។</v>
      </c>
      <c r="AK205" s="7" t="str">
        <f>IFERROR(__xludf.DUMMYFUNCTION("GoogleTranslate(C205, ""en"", ""ko"")"),"건강 경고: 건강에 영향을 미칠 위험은 모든 사람에게 증가합니다.")</f>
        <v>건강 경고: 건강에 영향을 미칠 위험은 모든 사람에게 증가합니다.</v>
      </c>
      <c r="AL205" s="7" t="str">
        <f>IFERROR(__xludf.DUMMYFUNCTION("GoogleTranslate(C205, ""en"", ""lo"")"),"ການເຕືອນໄພສຸຂະພາບ: ຄວາມສ່ຽງຂອງຜົນກະທົບດ້ານສຸຂະພາບແມ່ນເພີ່ມຂຶ້ນສໍາລັບທຸກຄົນ.")</f>
        <v>ການເຕືອນໄພສຸຂະພາບ: ຄວາມສ່ຽງຂອງຜົນກະທົບດ້ານສຸຂະພາບແມ່ນເພີ່ມຂຶ້ນສໍາລັບທຸກຄົນ.</v>
      </c>
      <c r="AM205" s="7" t="str">
        <f>IFERROR(__xludf.DUMMYFUNCTION("GoogleTranslate(C205, ""en"", ""lv"")"),"Brīdinājums par veselību: Ikvienam ir paaugstināts ietekmes uz veselību risks.")</f>
        <v>Brīdinājums par veselību: Ikvienam ir paaugstināts ietekmes uz veselību risks.</v>
      </c>
      <c r="AN205" s="7" t="str">
        <f>IFERROR(__xludf.DUMMYFUNCTION("GoogleTranslate(C205, ""en"", ""lt"")"),"Įspėjimas apie sveikatą: Poveikio sveikatai rizika padidėja visiems.")</f>
        <v>Įspėjimas apie sveikatą: Poveikio sveikatai rizika padidėja visiems.</v>
      </c>
      <c r="AO205" s="7" t="str">
        <f>IFERROR(__xludf.DUMMYFUNCTION("GoogleTranslate(C205, ""en"", ""mk"")"),"Здравствено предупредување: Ризикот од здравствени ефекти е зголемен за секого.")</f>
        <v>Здравствено предупредување: Ризикот од здравствени ефекти е зголемен за секого.</v>
      </c>
      <c r="AP205" s="7" t="str">
        <f>IFERROR(__xludf.DUMMYFUNCTION("GoogleTranslate(C205, ""en"", ""ms"")"),"Amaran kesihatan: Risiko kesan kesihatan meningkat untuk semua orang.")</f>
        <v>Amaran kesihatan: Risiko kesan kesihatan meningkat untuk semua orang.</v>
      </c>
      <c r="AQ205" s="7" t="str">
        <f>IFERROR(__xludf.DUMMYFUNCTION("GoogleTranslate(C205, ""en"", ""ml"")"),"ആരോഗ്യ മുന്നറിയിപ്പ്: ആരോഗ്യപരമായ പ്രത്യാഘാതങ്ങളുടെ സാധ്യത എല്ലാവർക്കും വർധിച്ചിരിക്കുന്നു.")</f>
        <v>ആരോഗ്യ മുന്നറിയിപ്പ്: ആരോഗ്യപരമായ പ്രത്യാഘാതങ്ങളുടെ സാധ്യത എല്ലാവർക്കും വർധിച്ചിരിക്കുന്നു.</v>
      </c>
      <c r="AR205" s="7" t="str">
        <f>IFERROR(__xludf.DUMMYFUNCTION("GoogleTranslate(C205, ""en"", ""mr"")"),"आरोग्य सूचना: प्रत्येकासाठी आरोग्यावर परिणाम होण्याचा धोका वाढला आहे.")</f>
        <v>आरोग्य सूचना: प्रत्येकासाठी आरोग्यावर परिणाम होण्याचा धोका वाढला आहे.</v>
      </c>
      <c r="AS205" s="7" t="str">
        <f>IFERROR(__xludf.DUMMYFUNCTION("GoogleTranslate(C205, ""en"", ""mn"")"),"Эрүүл мэндийн сэрэмжлүүлэг: Эрүүл мэндэд нөлөөлөх эрсдэл хүн бүрийн хувьд нэмэгддэг.")</f>
        <v>Эрүүл мэндийн сэрэмжлүүлэг: Эрүүл мэндэд нөлөөлөх эрсдэл хүн бүрийн хувьд нэмэгддэг.</v>
      </c>
      <c r="AT205" s="7" t="str">
        <f>IFERROR(__xludf.DUMMYFUNCTION("GoogleTranslate(C205, ""en"", ""ne"")"),"स्वास्थ्य सतर्कता: स्वास्थ्य प्रभावहरूको जोखिम सबैको लागि बढेको छ।")</f>
        <v>स्वास्थ्य सतर्कता: स्वास्थ्य प्रभावहरूको जोखिम सबैको लागि बढेको छ।</v>
      </c>
      <c r="AU205" s="7" t="str">
        <f>IFERROR(__xludf.DUMMYFUNCTION("GoogleTranslate(C205, ""en"", ""nb"")"),"Helsevarsling: Risikoen for helseeffekter øker for alle.")</f>
        <v>Helsevarsling: Risikoen for helseeffekter øker for alle.</v>
      </c>
      <c r="AV205" s="7" t="str">
        <f>IFERROR(__xludf.DUMMYFUNCTION("GoogleTranslate(C205, ""en"", ""fa"")"),"هشدار سلامت: خطر عوارض سلامتی برای همه افزایش می یابد.")</f>
        <v>هشدار سلامت: خطر عوارض سلامتی برای همه افزایش می یابد.</v>
      </c>
      <c r="AW205" s="7" t="str">
        <f>IFERROR(__xludf.DUMMYFUNCTION("GoogleTranslate(C205, ""en"", ""pl"")"),"Uwaga zdrowotna: Ryzyko wystąpienia skutków zdrowotnych jest zwiększone u każdego.")</f>
        <v>Uwaga zdrowotna: Ryzyko wystąpienia skutków zdrowotnych jest zwiększone u każdego.</v>
      </c>
      <c r="AX205" s="7" t="str">
        <f>IFERROR(__xludf.DUMMYFUNCTION("GoogleTranslate(C205, ""en"", ""pt"")"),"Alerta de saúde: O risco de efeitos na saúde aumenta para todos.")</f>
        <v>Alerta de saúde: O risco de efeitos na saúde aumenta para todos.</v>
      </c>
      <c r="AY205" s="7" t="str">
        <f>IFERROR(__xludf.DUMMYFUNCTION("GoogleTranslate(C205, ""en"", ""ro"")"),"Alertă de sănătate: Riscul de efecte asupra sănătății este crescut pentru toată lumea.")</f>
        <v>Alertă de sănătate: Riscul de efecte asupra sănătății este crescut pentru toată lumea.</v>
      </c>
      <c r="AZ205" s="7" t="str">
        <f>IFERROR(__xludf.DUMMYFUNCTION("GoogleTranslate(C205, ""en"", ""ru"")"),"Предупреждение о здоровье: риск последствий для здоровья увеличивается для всех.")</f>
        <v>Предупреждение о здоровье: риск последствий для здоровья увеличивается для всех.</v>
      </c>
      <c r="BA205" s="7" t="str">
        <f>IFERROR(__xludf.DUMMYFUNCTION("GoogleTranslate(C205, ""en"", ""sr"")"),"Здравствено упозорење: Ризик од здравствених ефеката је повећан за све.")</f>
        <v>Здравствено упозорење: Ризик од здравствених ефеката је повећан за све.</v>
      </c>
      <c r="BB205" s="7" t="str">
        <f>IFERROR(__xludf.DUMMYFUNCTION("GoogleTranslate(C205, ""en"", ""si"")"),"සෞඛ්‍ය අනතුරු ඇඟවීම: සෞඛ්‍ය බලපෑම් අවදානම සෑම කෙනෙකුටම වැඩි වේ.")</f>
        <v>සෞඛ්‍ය අනතුරු ඇඟවීම: සෞඛ්‍ය බලපෑම් අවදානම සෑම කෙනෙකුටම වැඩි වේ.</v>
      </c>
      <c r="BC205" s="7" t="str">
        <f>IFERROR(__xludf.DUMMYFUNCTION("GoogleTranslate(C205, ""en"", ""sk"")"),"Zdravotné upozornenie: Riziko zdravotných účinkov je zvýšené pre každého.")</f>
        <v>Zdravotné upozornenie: Riziko zdravotných účinkov je zvýšené pre každého.</v>
      </c>
      <c r="BD205" s="7" t="str">
        <f>IFERROR(__xludf.DUMMYFUNCTION("GoogleTranslate(C205, ""en"", ""sl"")"),"Zdravstveno opozorilo: Tveganje za učinke na zdravje je povečano za vse.")</f>
        <v>Zdravstveno opozorilo: Tveganje za učinke na zdravje je povečano za vse.</v>
      </c>
      <c r="BE205" s="7" t="str">
        <f>IFERROR(__xludf.DUMMYFUNCTION("GoogleTranslate(C205, ""en"", ""es"")"),"Alerta sanitaria: El riesgo de efectos sobre la salud aumenta para todos.")</f>
        <v>Alerta sanitaria: El riesgo de efectos sobre la salud aumenta para todos.</v>
      </c>
      <c r="BF205" s="7" t="str">
        <f>IFERROR(__xludf.DUMMYFUNCTION("GoogleTranslate(C205, ""en"", ""sw"")"),"Tahadhari ya kiafya: Hatari ya athari za kiafya huongezeka kwa kila mtu.")</f>
        <v>Tahadhari ya kiafya: Hatari ya athari za kiafya huongezeka kwa kila mtu.</v>
      </c>
      <c r="BG205" s="7" t="str">
        <f>IFERROR(__xludf.DUMMYFUNCTION("GoogleTranslate(C205, ""en"", ""sv"")"),"Hälsovarning: Risken för hälsoeffekter ökar för alla.")</f>
        <v>Hälsovarning: Risken för hälsoeffekter ökar för alla.</v>
      </c>
      <c r="BH205" s="7" t="str">
        <f>IFERROR(__xludf.DUMMYFUNCTION("GoogleTranslate(C205, ""en"", ""te"")"),"ఆరోగ్య హెచ్చరిక: ఆరోగ్య ప్రభావాల ప్రమాదం అందరికీ పెరుగుతుంది.")</f>
        <v>ఆరోగ్య హెచ్చరిక: ఆరోగ్య ప్రభావాల ప్రమాదం అందరికీ పెరుగుతుంది.</v>
      </c>
      <c r="BI205" s="7" t="str">
        <f>IFERROR(__xludf.DUMMYFUNCTION("GoogleTranslate(C205, ""en"", ""th"")"),"การแจ้งเตือนด้านสุขภาพ: ความเสี่ยงต่อผลกระทบต่อสุขภาพเพิ่มขึ้นสำหรับทุกคน")</f>
        <v>การแจ้งเตือนด้านสุขภาพ: ความเสี่ยงต่อผลกระทบต่อสุขภาพเพิ่มขึ้นสำหรับทุกคน</v>
      </c>
      <c r="BJ205" s="7" t="str">
        <f>IFERROR(__xludf.DUMMYFUNCTION("GoogleTranslate(C205, ""en"", ""tr"")"),"Sağlık uyarısı: Sağlık etkileri riski herkes için artar.")</f>
        <v>Sağlık uyarısı: Sağlık etkileri riski herkes için artar.</v>
      </c>
      <c r="BK205" s="7" t="str">
        <f>IFERROR(__xludf.DUMMYFUNCTION("GoogleTranslate(C205, ""en"", ""uk"")"),"Попередження про здоров’я: ризики для здоров’я підвищуються для всіх.")</f>
        <v>Попередження про здоров’я: ризики для здоров’я підвищуються для всіх.</v>
      </c>
      <c r="BL205" s="7" t="str">
        <f>IFERROR(__xludf.DUMMYFUNCTION("GoogleTranslate(C205, ""en"", ""zu"")"),"Isexwayiso sezempilo: Ingozi yemiphumela yezempilo iyanda kuwo wonke umuntu.")</f>
        <v>Isexwayiso sezempilo: Ingozi yemiphumela yezempilo iyanda kuwo wonke umuntu.</v>
      </c>
    </row>
    <row r="206">
      <c r="A206" s="5" t="str">
        <f t="shared" si="1"/>
        <v>Health_warning_of_emergency_conditions:_everyone_is_more_likely_to_be_affected.</v>
      </c>
      <c r="B206" s="4" t="s">
        <v>255</v>
      </c>
      <c r="C206" s="4" t="s">
        <v>255</v>
      </c>
      <c r="D206" s="7" t="str">
        <f>IFERROR(__xludf.DUMMYFUNCTION("GoogleTranslate(C206, ""en"", ""es"")"),"Advertencia sanitaria de condiciones de emergencia: todos tienen más probabilidades de verse afectados.")</f>
        <v>Advertencia sanitaria de condiciones de emergencia: todos tienen más probabilidades de verse afectados.</v>
      </c>
      <c r="E206" s="7" t="str">
        <f>IFERROR(__xludf.DUMMYFUNCTION("GoogleTranslate(C206, ""en"", ""ar"")"),"التحذير الصحي من الظروف الطارئة: الجميع أكثر عرضة للتأثر.")</f>
        <v>التحذير الصحي من الظروف الطارئة: الجميع أكثر عرضة للتأثر.</v>
      </c>
      <c r="F206" s="7" t="str">
        <f>IFERROR(__xludf.DUMMYFUNCTION("GoogleTranslate(C206, ""en"", ""hy"")"),"Առողջապահական նախազգուշացում արտակարգ իրավիճակների մասին. բոլորը ավելի հավանական է, որ տուժեն:")</f>
        <v>Առողջապահական նախազգուշացում արտակարգ իրավիճակների մասին. բոլորը ավելի հավանական է, որ տուժեն:</v>
      </c>
      <c r="G206" s="7" t="str">
        <f>IFERROR(__xludf.DUMMYFUNCTION("GoogleTranslate(C206, ""en"", ""vi"")"),"Cảnh báo sức khỏe về tình trạng khẩn cấp: mọi người đều có nhiều khả năng bị ảnh hưởng hơn.")</f>
        <v>Cảnh báo sức khỏe về tình trạng khẩn cấp: mọi người đều có nhiều khả năng bị ảnh hưởng hơn.</v>
      </c>
      <c r="H206" s="7" t="str">
        <f>IFERROR(__xludf.DUMMYFUNCTION("GoogleTranslate(C206, ""en"", ""az"")"),"Fövqəladə vəziyyətlər barədə sağlamlıq xəbərdarlığı: hər kəsin təsirlənmə ehtimalı daha yüksəkdir.")</f>
        <v>Fövqəladə vəziyyətlər barədə sağlamlıq xəbərdarlığı: hər kəsin təsirlənmə ehtimalı daha yüksəkdir.</v>
      </c>
      <c r="I206" s="7" t="str">
        <f>IFERROR(__xludf.DUMMYFUNCTION("GoogleTranslate(C206, ""en"", ""eu"")"),"Larrialdi-baldintzei buruzko osasun-abisua: denek gehiago dute kaltetua.")</f>
        <v>Larrialdi-baldintzei buruzko osasun-abisua: denek gehiago dute kaltetua.</v>
      </c>
      <c r="J206" s="7" t="str">
        <f>IFERROR(__xludf.DUMMYFUNCTION("GoogleTranslate(C206, ""en"", ""be"")"),"Медыцынскае папярэджанне аб надзвычайных сітуацыях: больш шанцаў пацярпець для ўсіх.")</f>
        <v>Медыцынскае папярэджанне аб надзвычайных сітуацыях: больш шанцаў пацярпець для ўсіх.</v>
      </c>
      <c r="K206" s="7" t="str">
        <f>IFERROR(__xludf.DUMMYFUNCTION("GoogleTranslate(C206, ""en"", ""bn"")"),"জরুরি অবস্থার স্বাস্থ্য সতর্কতা: প্রত্যেকেরই আক্রান্ত হওয়ার সম্ভাবনা বেশি।")</f>
        <v>জরুরি অবস্থার স্বাস্থ্য সতর্কতা: প্রত্যেকেরই আক্রান্ত হওয়ার সম্ভাবনা বেশি।</v>
      </c>
      <c r="L206" s="7" t="str">
        <f>IFERROR(__xludf.DUMMYFUNCTION("GoogleTranslate(C206, ""en"", ""bg"")"),"Здравно предупреждение за извънредни ситуации: всеки е по-вероятно да бъде засегнат.")</f>
        <v>Здравно предупреждение за извънредни ситуации: всеки е по-вероятно да бъде засегнат.</v>
      </c>
      <c r="M206" s="7" t="str">
        <f>IFERROR(__xludf.DUMMYFUNCTION("GoogleTranslate(C206, ""en"", ""my"")"),"အရေးပေါ်အခြေအနေများအတွက် ကျန်းမာရေးသတိပေးချက်- လူတိုင်းသည် ထိခိုက်နိုင်ခြေပိုများသည်။")</f>
        <v>အရေးပေါ်အခြေအနေများအတွက် ကျန်းမာရေးသတိပေးချက်- လူတိုင်းသည် ထိခိုက်နိုင်ခြေပိုများသည်။</v>
      </c>
      <c r="N206" s="7" t="str">
        <f>IFERROR(__xludf.DUMMYFUNCTION("GoogleTranslate(C206, ""en"", ""ca"")"),"Alerta sanitària de condicions d'emergència: tothom és més probable que es vegi afectat.")</f>
        <v>Alerta sanitària de condicions d'emergència: tothom és més probable que es vegi afectat.</v>
      </c>
      <c r="O206" s="7" t="str">
        <f>IFERROR(__xludf.DUMMYFUNCTION("GoogleTranslate(C206, ""en"", ""zh-cn"")"),"紧急情况健康警告：每个人都更有可能受到影响。")</f>
        <v>紧急情况健康警告：每个人都更有可能受到影响。</v>
      </c>
      <c r="P206" s="7" t="str">
        <f>IFERROR(__xludf.DUMMYFUNCTION("GoogleTranslate(C206, ""en"", ""zh-TW"")"),"緊急情況健康警告：每個人都更有可能受到影響。")</f>
        <v>緊急情況健康警告：每個人都更有可能受到影響。</v>
      </c>
      <c r="Q206" s="7" t="str">
        <f>IFERROR(__xludf.DUMMYFUNCTION("GoogleTranslate(C206, ""en"", ""hr"")"),"Zdravstveno upozorenje o hitnim stanjima: veća je vjerojatnost da će svi biti pogođeni.")</f>
        <v>Zdravstveno upozorenje o hitnim stanjima: veća je vjerojatnost da će svi biti pogođeni.</v>
      </c>
      <c r="R206" s="7" t="str">
        <f>IFERROR(__xludf.DUMMYFUNCTION("GoogleTranslate(C206, ""en"", ""cs"")"),"Zdravotní varování před nouzovými podmínkami: všichni jsou pravděpodobněji postiženi.")</f>
        <v>Zdravotní varování před nouzovými podmínkami: všichni jsou pravděpodobněji postiženi.</v>
      </c>
      <c r="S206" s="7" t="str">
        <f>IFERROR(__xludf.DUMMYFUNCTION("GoogleTranslate(C206, ""en"", ""da"")"),"Sundhedsadvarsel om nødsituationer: alle er mere tilbøjelige til at blive ramt.")</f>
        <v>Sundhedsadvarsel om nødsituationer: alle er mere tilbøjelige til at blive ramt.</v>
      </c>
      <c r="T206" s="7" t="str">
        <f>IFERROR(__xludf.DUMMYFUNCTION("GoogleTranslate(C206, ""en"", ""nl"")"),"Gezondheidswaarschuwing voor noodsituaties: de kans is groter dat iedereen hierdoor wordt getroffen.")</f>
        <v>Gezondheidswaarschuwing voor noodsituaties: de kans is groter dat iedereen hierdoor wordt getroffen.</v>
      </c>
      <c r="U206" s="7" t="str">
        <f>IFERROR(__xludf.DUMMYFUNCTION("GoogleTranslate(C206, ""en"", ""et"")"),"Tervisehoiatus hädaolukordade eest: kõik on tõenäolisemalt mõjutatud.")</f>
        <v>Tervisehoiatus hädaolukordade eest: kõik on tõenäolisemalt mõjutatud.</v>
      </c>
      <c r="V206" s="5" t="str">
        <f t="shared" si="3"/>
        <v>Health warning of emergency conditions: everyone is more likely to be affected.</v>
      </c>
      <c r="W206" s="7" t="str">
        <f>IFERROR(__xludf.DUMMYFUNCTION("GoogleTranslate(C206, ""en"", ""fi"")"),"Terveysvaroitus hätätilanteista: kaikki kärsivät todennäköisemmin.")</f>
        <v>Terveysvaroitus hätätilanteista: kaikki kärsivät todennäköisemmin.</v>
      </c>
      <c r="X206" s="7" t="str">
        <f>IFERROR(__xludf.DUMMYFUNCTION("GoogleTranslate(C206, ""en"", ""fr"")"),"Avertissement sanitaire concernant les conditions d’urgence : tout le monde est plus susceptible d’être touché.")</f>
        <v>Avertissement sanitaire concernant les conditions d’urgence : tout le monde est plus susceptible d’être touché.</v>
      </c>
      <c r="Y206" s="7" t="str">
        <f>IFERROR(__xludf.DUMMYFUNCTION("GoogleTranslate(C206, ""en"", ""de"")"),"Gesundheitswarnung vor Notfällen: Es ist wahrscheinlicher, dass jeder betroffen ist.")</f>
        <v>Gesundheitswarnung vor Notfällen: Es ist wahrscheinlicher, dass jeder betroffen ist.</v>
      </c>
      <c r="Z206" s="7" t="str">
        <f>IFERROR(__xludf.DUMMYFUNCTION("GoogleTranslate(C206, ""en"", ""el"")"),"Προειδοποίηση υγείας για καταστάσεις έκτακτης ανάγκης: όλοι είναι πιο πιθανό να επηρεαστούν.")</f>
        <v>Προειδοποίηση υγείας για καταστάσεις έκτακτης ανάγκης: όλοι είναι πιο πιθανό να επηρεαστούν.</v>
      </c>
      <c r="AA206" s="7" t="str">
        <f>IFERROR(__xludf.DUMMYFUNCTION("GoogleTranslate(C206, ""en"", ""iw"")"),"אזהרת בריאות מפני מצבי חירום: סביר יותר שכולם ייפגעו.")</f>
        <v>אזהרת בריאות מפני מצבי חירום: סביר יותר שכולם ייפגעו.</v>
      </c>
      <c r="AB206" s="7" t="str">
        <f>IFERROR(__xludf.DUMMYFUNCTION("GoogleTranslate(C206, ""en"", ""hi"")"),"आपातकालीन स्थितियों की स्वास्थ्य चेतावनी: हर किसी के प्रभावित होने की अधिक संभावना है।")</f>
        <v>आपातकालीन स्थितियों की स्वास्थ्य चेतावनी: हर किसी के प्रभावित होने की अधिक संभावना है।</v>
      </c>
      <c r="AC206" s="7" t="str">
        <f>IFERROR(__xludf.DUMMYFUNCTION("GoogleTranslate(C206, ""en"", ""hu"")"),"Egészségügyi figyelmeztetés vészhelyzetekre: mindenki nagyobb valószínűséggel érintett.")</f>
        <v>Egészségügyi figyelmeztetés vészhelyzetekre: mindenki nagyobb valószínűséggel érintett.</v>
      </c>
      <c r="AD206" s="7" t="str">
        <f>IFERROR(__xludf.DUMMYFUNCTION("GoogleTranslate(C206, ""en"", ""is"")"),"Heilsuviðvörun vegna neyðarástands: líklegra er að allir verði fyrir áhrifum.")</f>
        <v>Heilsuviðvörun vegna neyðarástands: líklegra er að allir verði fyrir áhrifum.</v>
      </c>
      <c r="AE206" s="7" t="str">
        <f>IFERROR(__xludf.DUMMYFUNCTION("GoogleTranslate(C206, ""en"", ""id"")"),"Peringatan kesehatan mengenai kondisi darurat: semua orang lebih mungkin terkena dampaknya.")</f>
        <v>Peringatan kesehatan mengenai kondisi darurat: semua orang lebih mungkin terkena dampaknya.</v>
      </c>
      <c r="AF206" s="7" t="str">
        <f>IFERROR(__xludf.DUMMYFUNCTION("GoogleTranslate(C206, ""en"", ""in"")"),"Peringatan kesehatan mengenai kondisi darurat: semua orang lebih mungkin terkena dampaknya.")</f>
        <v>Peringatan kesehatan mengenai kondisi darurat: semua orang lebih mungkin terkena dampaknya.</v>
      </c>
      <c r="AG206" s="7" t="str">
        <f>IFERROR(__xludf.DUMMYFUNCTION("GoogleTranslate(C206, ""en"", ""it"")"),"Allarme sanitario sulle condizioni di emergenza: tutti hanno maggiori probabilità di essere colpiti.")</f>
        <v>Allarme sanitario sulle condizioni di emergenza: tutti hanno maggiori probabilità di essere colpiti.</v>
      </c>
      <c r="AH206" s="7" t="str">
        <f>IFERROR(__xludf.DUMMYFUNCTION("GoogleTranslate(C206, ""en"", ""ja"")"),"緊急事態に関する健康上の警告: 誰もが影響を受ける可能性が高くなります。")</f>
        <v>緊急事態に関する健康上の警告: 誰もが影響を受ける可能性が高くなります。</v>
      </c>
      <c r="AI206" s="7" t="str">
        <f>IFERROR(__xludf.DUMMYFUNCTION("GoogleTranslate(C206, ""en"", ""kn"")"),"ತುರ್ತು ಪರಿಸ್ಥಿತಿಗಳ ಆರೋಗ್ಯ ಎಚ್ಚರಿಕೆ: ಪ್ರತಿಯೊಬ್ಬರೂ ಪರಿಣಾಮ ಬೀರುವ ಸಾಧ್ಯತೆ ಹೆಚ್ಚು.")</f>
        <v>ತುರ್ತು ಪರಿಸ್ಥಿತಿಗಳ ಆರೋಗ್ಯ ಎಚ್ಚರಿಕೆ: ಪ್ರತಿಯೊಬ್ಬರೂ ಪರಿಣಾಮ ಬೀರುವ ಸಾಧ್ಯತೆ ಹೆಚ್ಚು.</v>
      </c>
      <c r="AJ206" s="7" t="str">
        <f>IFERROR(__xludf.DUMMYFUNCTION("GoogleTranslate(C206, ""en"", ""km"")"),"ការ​ព្រមាន​សុខភាព​នៃ​ស្ថានភាព​អាសន្ន៖ អ្នក​រាល់​គ្នា​ងាយ​នឹង​រង​ផល​ប៉ះពាល់។")</f>
        <v>ការ​ព្រមាន​សុខភាព​នៃ​ស្ថានភាព​អាសន្ន៖ អ្នក​រាល់​គ្នា​ងាយ​នឹង​រង​ផល​ប៉ះពាល់។</v>
      </c>
      <c r="AK206" s="7" t="str">
        <f>IFERROR(__xludf.DUMMYFUNCTION("GoogleTranslate(C206, ""en"", ""ko"")"),"비상 상황에 대한 건강 경고: 모든 사람이 영향을 받을 가능성이 더 높습니다.")</f>
        <v>비상 상황에 대한 건강 경고: 모든 사람이 영향을 받을 가능성이 더 높습니다.</v>
      </c>
      <c r="AL206" s="7" t="str">
        <f>IFERROR(__xludf.DUMMYFUNCTION("GoogleTranslate(C206, ""en"", ""lo"")"),"ການເຕືອນໄພສຸຂະພາບຂອງສະຖານະການສຸກເສີນ: ທຸກຄົນມັກຈະໄດ້ຮັບຜົນກະທົບ.")</f>
        <v>ການເຕືອນໄພສຸຂະພາບຂອງສະຖານະການສຸກເສີນ: ທຸກຄົນມັກຈະໄດ້ຮັບຜົນກະທົບ.</v>
      </c>
      <c r="AM206" s="7" t="str">
        <f>IFERROR(__xludf.DUMMYFUNCTION("GoogleTranslate(C206, ""en"", ""lv"")"),"Brīdinājums par veselību ārkārtas situācijās: visticamāk, ka tas tiks ietekmēts ikvienam.")</f>
        <v>Brīdinājums par veselību ārkārtas situācijās: visticamāk, ka tas tiks ietekmēts ikvienam.</v>
      </c>
      <c r="AN206" s="7" t="str">
        <f>IFERROR(__xludf.DUMMYFUNCTION("GoogleTranslate(C206, ""en"", ""lt"")"),"Sveikatos įspėjimas apie ekstremalias situacijas: labiau tikėtina, kad nukentės kiekvienas.")</f>
        <v>Sveikatos įspėjimas apie ekstremalias situacijas: labiau tikėtina, kad nukentės kiekvienas.</v>
      </c>
      <c r="AO206" s="7" t="str">
        <f>IFERROR(__xludf.DUMMYFUNCTION("GoogleTranslate(C206, ""en"", ""mk"")"),"Здравствено предупредување за вонредни состојби: поверојатно е секој да биде погоден.")</f>
        <v>Здравствено предупредување за вонредни состојби: поверојатно е секој да биде погоден.</v>
      </c>
      <c r="AP206" s="7" t="str">
        <f>IFERROR(__xludf.DUMMYFUNCTION("GoogleTranslate(C206, ""en"", ""ms"")"),"Amaran kesihatan tentang keadaan kecemasan: semua orang lebih berkemungkinan terjejas.")</f>
        <v>Amaran kesihatan tentang keadaan kecemasan: semua orang lebih berkemungkinan terjejas.</v>
      </c>
      <c r="AQ206" s="7" t="str">
        <f>IFERROR(__xludf.DUMMYFUNCTION("GoogleTranslate(C206, ""en"", ""ml"")"),"അടിയന്തര സാഹചര്യങ്ങളെക്കുറിച്ചുള്ള ആരോഗ്യ മുന്നറിയിപ്പ്: എല്ലാവരേയും ബാധിക്കാനുള്ള സാധ്യത കൂടുതലാണ്.")</f>
        <v>അടിയന്തര സാഹചര്യങ്ങളെക്കുറിച്ചുള്ള ആരോഗ്യ മുന്നറിയിപ്പ്: എല്ലാവരേയും ബാധിക്കാനുള്ള സാധ്യത കൂടുതലാണ്.</v>
      </c>
      <c r="AR206" s="7" t="str">
        <f>IFERROR(__xludf.DUMMYFUNCTION("GoogleTranslate(C206, ""en"", ""mr"")"),"आपत्कालीन परिस्थितींबद्दल आरोग्य चेतावणी: प्रत्येकजण प्रभावित होण्याची शक्यता जास्त असते.")</f>
        <v>आपत्कालीन परिस्थितींबद्दल आरोग्य चेतावणी: प्रत्येकजण प्रभावित होण्याची शक्यता जास्त असते.</v>
      </c>
      <c r="AS206" s="7" t="str">
        <f>IFERROR(__xludf.DUMMYFUNCTION("GoogleTranslate(C206, ""en"", ""mn"")"),"Онцгой байдлын эрүүл мэндийн сэрэмжлүүлэг: хүн бүр өртөх магадлал өндөр байдаг.")</f>
        <v>Онцгой байдлын эрүүл мэндийн сэрэмжлүүлэг: хүн бүр өртөх магадлал өндөр байдаг.</v>
      </c>
      <c r="AT206" s="7" t="str">
        <f>IFERROR(__xludf.DUMMYFUNCTION("GoogleTranslate(C206, ""en"", ""ne"")"),"आपतकालीन अवस्थाहरूको स्वास्थ्य चेतावनी: सबैजना प्रभावित हुने सम्भावना बढी हुन्छ।")</f>
        <v>आपतकालीन अवस्थाहरूको स्वास्थ्य चेतावनी: सबैजना प्रभावित हुने सम्भावना बढी हुन्छ।</v>
      </c>
      <c r="AU206" s="7" t="str">
        <f>IFERROR(__xludf.DUMMYFUNCTION("GoogleTranslate(C206, ""en"", ""nb"")"),"Helseadvarsel om nødsituasjoner: alle er mer sannsynlig å bli berørt.")</f>
        <v>Helseadvarsel om nødsituasjoner: alle er mer sannsynlig å bli berørt.</v>
      </c>
      <c r="AV206" s="7" t="str">
        <f>IFERROR(__xludf.DUMMYFUNCTION("GoogleTranslate(C206, ""en"", ""fa"")"),"هشدار بهداشتی در مورد شرایط اضطراری: احتمال ابتلا به همه افراد بیشتر است.")</f>
        <v>هشدار بهداشتی در مورد شرایط اضطراری: احتمال ابتلا به همه افراد بیشتر است.</v>
      </c>
      <c r="AW206" s="7" t="str">
        <f>IFERROR(__xludf.DUMMYFUNCTION("GoogleTranslate(C206, ""en"", ""pl"")"),"Ostrzeżenie zdrowotne dotyczące sytuacji nadzwyczajnych: ryzyko wystąpienia sytuacji awaryjnej jest większe u każdego.")</f>
        <v>Ostrzeżenie zdrowotne dotyczące sytuacji nadzwyczajnych: ryzyko wystąpienia sytuacji awaryjnej jest większe u każdego.</v>
      </c>
      <c r="AX206" s="7" t="str">
        <f>IFERROR(__xludf.DUMMYFUNCTION("GoogleTranslate(C206, ""en"", ""pt"")"),"Alerta de saúde sobre condições de emergência: é mais provável que todos sejam afetados.")</f>
        <v>Alerta de saúde sobre condições de emergência: é mais provável que todos sejam afetados.</v>
      </c>
      <c r="AY206" s="7" t="str">
        <f>IFERROR(__xludf.DUMMYFUNCTION("GoogleTranslate(C206, ""en"", ""ro"")"),"Avertisment de sănătate privind condițiile de urgență: toată lumea este mai probabil să fie afectată.")</f>
        <v>Avertisment de sănătate privind condițiile de urgență: toată lumea este mai probabil să fie afectată.</v>
      </c>
      <c r="AZ206" s="7" t="str">
        <f>IFERROR(__xludf.DUMMYFUNCTION("GoogleTranslate(C206, ""en"", ""ru"")"),"Предупреждение о чрезвычайных ситуациях для здоровья: вероятность того, что пострадают все, выше.")</f>
        <v>Предупреждение о чрезвычайных ситуациях для здоровья: вероятность того, что пострадают все, выше.</v>
      </c>
      <c r="BA206" s="7" t="str">
        <f>IFERROR(__xludf.DUMMYFUNCTION("GoogleTranslate(C206, ""en"", ""sr"")"),"Здравствено упозорење о ванредним ситуацијама: већа је вероватноћа да ће сви бити погођени.")</f>
        <v>Здравствено упозорење о ванредним ситуацијама: већа је вероватноћа да ће сви бити погођени.</v>
      </c>
      <c r="BB206" s="7" t="str">
        <f>IFERROR(__xludf.DUMMYFUNCTION("GoogleTranslate(C206, ""en"", ""si"")"),"හදිසි තත්වයන් පිළිබඳ සෞඛ්‍ය අනතුරු ඇඟවීම: සෑම කෙනෙකුම පීඩාවට පත්වීමට වැඩි ඉඩක් ඇත.")</f>
        <v>හදිසි තත්වයන් පිළිබඳ සෞඛ්‍ය අනතුරු ඇඟවීම: සෑම කෙනෙකුම පීඩාවට පත්වීමට වැඩි ඉඩක් ඇත.</v>
      </c>
      <c r="BC206" s="7" t="str">
        <f>IFERROR(__xludf.DUMMYFUNCTION("GoogleTranslate(C206, ""en"", ""sk"")"),"Zdravotné varovanie pred mimoriadnymi podmienkami: pravdepodobnejšie budú postihnutí všetci.")</f>
        <v>Zdravotné varovanie pred mimoriadnymi podmienkami: pravdepodobnejšie budú postihnutí všetci.</v>
      </c>
      <c r="BD206" s="7" t="str">
        <f>IFERROR(__xludf.DUMMYFUNCTION("GoogleTranslate(C206, ""en"", ""sl"")"),"Zdravstveno opozorilo o izrednih razmerah: verjetneje je, da bodo prizadeti vsi.")</f>
        <v>Zdravstveno opozorilo o izrednih razmerah: verjetneje je, da bodo prizadeti vsi.</v>
      </c>
      <c r="BE206" s="7" t="str">
        <f>IFERROR(__xludf.DUMMYFUNCTION("GoogleTranslate(C206, ""en"", ""es"")"),"Advertencia sanitaria de condiciones de emergencia: todos tienen más probabilidades de verse afectados.")</f>
        <v>Advertencia sanitaria de condiciones de emergencia: todos tienen más probabilidades de verse afectados.</v>
      </c>
      <c r="BF206" s="7" t="str">
        <f>IFERROR(__xludf.DUMMYFUNCTION("GoogleTranslate(C206, ""en"", ""sw"")"),"Onyo la kiafya la hali ya dharura: kila mtu ana uwezekano mkubwa wa kuathiriwa.")</f>
        <v>Onyo la kiafya la hali ya dharura: kila mtu ana uwezekano mkubwa wa kuathiriwa.</v>
      </c>
      <c r="BG206" s="7" t="str">
        <f>IFERROR(__xludf.DUMMYFUNCTION("GoogleTranslate(C206, ""en"", ""sv"")"),"Hälsovarning för akuta tillstånd: alla är mer benägna att drabbas.")</f>
        <v>Hälsovarning för akuta tillstånd: alla är mer benägna att drabbas.</v>
      </c>
      <c r="BH206" s="7" t="str">
        <f>IFERROR(__xludf.DUMMYFUNCTION("GoogleTranslate(C206, ""en"", ""te"")"),"అత్యవసర పరిస్థితుల గురించి ఆరోగ్య హెచ్చరిక: ప్రతి ఒక్కరూ ప్రభావితమయ్యే అవకాశం ఉంది.")</f>
        <v>అత్యవసర పరిస్థితుల గురించి ఆరోగ్య హెచ్చరిక: ప్రతి ఒక్కరూ ప్రభావితమయ్యే అవకాశం ఉంది.</v>
      </c>
      <c r="BI206" s="7" t="str">
        <f>IFERROR(__xludf.DUMMYFUNCTION("GoogleTranslate(C206, ""en"", ""th"")"),"คำเตือนด้านสุขภาพสำหรับสภาวะฉุกเฉิน: ทุกคนมีแนวโน้มที่จะได้รับผลกระทบมากขึ้น")</f>
        <v>คำเตือนด้านสุขภาพสำหรับสภาวะฉุกเฉิน: ทุกคนมีแนวโน้มที่จะได้รับผลกระทบมากขึ้น</v>
      </c>
      <c r="BJ206" s="7" t="str">
        <f>IFERROR(__xludf.DUMMYFUNCTION("GoogleTranslate(C206, ""en"", ""tr"")"),"Acil durumlara ilişkin sağlık uyarısı: Herkesin etkilenme olasılığı daha yüksektir.")</f>
        <v>Acil durumlara ilişkin sağlık uyarısı: Herkesin etkilenme olasılığı daha yüksektir.</v>
      </c>
      <c r="BK206" s="7" t="str">
        <f>IFERROR(__xludf.DUMMYFUNCTION("GoogleTranslate(C206, ""en"", ""uk"")"),"Медичне попередження про надзвичайні ситуації: імовірність постраждати у всіх є більшою.")</f>
        <v>Медичне попередження про надзвичайні ситуації: імовірність постраждати у всіх є більшою.</v>
      </c>
      <c r="BL206" s="7" t="str">
        <f>IFERROR(__xludf.DUMMYFUNCTION("GoogleTranslate(C206, ""en"", ""zu"")"),"Isixwayiso sezempilo sezimo eziphuthumayo: wonke umuntu kungenzeka ukuthi athinteke.")</f>
        <v>Isixwayiso sezempilo sezimo eziphuthumayo: wonke umuntu kungenzeka ukuthi athinteke.</v>
      </c>
    </row>
    <row r="207">
      <c r="A207" s="5" t="str">
        <f t="shared" si="1"/>
        <v>Unusually_sensitive_people_should_consider_reducing_prolonged_or_heavy_exertion.</v>
      </c>
      <c r="B207" s="4" t="s">
        <v>198</v>
      </c>
      <c r="C207" s="4" t="s">
        <v>198</v>
      </c>
      <c r="D207" s="7" t="str">
        <f>IFERROR(__xludf.DUMMYFUNCTION("GoogleTranslate(C207, ""en"", ""es"")"),"Las personas inusualmente sensibles deberían considerar reducir el esfuerzo prolongado o intenso.")</f>
        <v>Las personas inusualmente sensibles deberían considerar reducir el esfuerzo prolongado o intenso.</v>
      </c>
      <c r="E207" s="7" t="str">
        <f>IFERROR(__xludf.DUMMYFUNCTION("GoogleTranslate(C207, ""en"", ""ar"")"),"يجب على الأشخاص ذوي الحساسية غير المعتادة أن يفكروا في تقليل المجهود لفترات طويلة أو ثقيلة.")</f>
        <v>يجب على الأشخاص ذوي الحساسية غير المعتادة أن يفكروا في تقليل المجهود لفترات طويلة أو ثقيلة.</v>
      </c>
      <c r="F207" s="7" t="str">
        <f>IFERROR(__xludf.DUMMYFUNCTION("GoogleTranslate(C207, ""en"", ""hy"")"),"Անսովոր զգայուն մարդիկ պետք է մտածեն երկարատև կամ ծանր ուժերը նվազեցնելու մասին:")</f>
        <v>Անսովոր զգայուն մարդիկ պետք է մտածեն երկարատև կամ ծանր ուժերը նվազեցնելու մասին:</v>
      </c>
      <c r="G207" s="7" t="str">
        <f>IFERROR(__xludf.DUMMYFUNCTION("GoogleTranslate(C207, ""en"", ""vi"")"),"Những người nhạy cảm bất thường nên cân nhắc giảm gắng sức kéo dài hoặc nặng nhọc.")</f>
        <v>Những người nhạy cảm bất thường nên cân nhắc giảm gắng sức kéo dài hoặc nặng nhọc.</v>
      </c>
      <c r="H207" s="7" t="str">
        <f>IFERROR(__xludf.DUMMYFUNCTION("GoogleTranslate(C207, ""en"", ""az"")"),"Qeyri-adi həssas insanlar uzunmüddətli və ya ağır yükü azaltmağı düşünməlidirlər.")</f>
        <v>Qeyri-adi həssas insanlar uzunmüddətli və ya ağır yükü azaltmağı düşünməlidirlər.</v>
      </c>
      <c r="I207" s="7" t="str">
        <f>IFERROR(__xludf.DUMMYFUNCTION("GoogleTranslate(C207, ""en"", ""eu"")"),"Ezohiko sentikorrak diren pertsonek esfortzu luzeak edo astunak murriztea kontuan hartu beharko lukete.")</f>
        <v>Ezohiko sentikorrak diren pertsonek esfortzu luzeak edo astunak murriztea kontuan hartu beharko lukete.</v>
      </c>
      <c r="J207" s="7" t="str">
        <f>IFERROR(__xludf.DUMMYFUNCTION("GoogleTranslate(C207, ""en"", ""be"")"),"Незвычайна адчувальным людзям варта падумаць аб зніжэнні працяглых або цяжкіх нагрузак.")</f>
        <v>Незвычайна адчувальным людзям варта падумаць аб зніжэнні працяглых або цяжкіх нагрузак.</v>
      </c>
      <c r="K207" s="7" t="str">
        <f>IFERROR(__xludf.DUMMYFUNCTION("GoogleTranslate(C207, ""en"", ""bn"")"),"অস্বাভাবিকভাবে সংবেদনশীল ব্যক্তিদের দীর্ঘায়িত বা ভারী পরিশ্রম কমানোর কথা বিবেচনা করা উচিত।")</f>
        <v>অস্বাভাবিকভাবে সংবেদনশীল ব্যক্তিদের দীর্ঘায়িত বা ভারী পরিশ্রম কমানোর কথা বিবেচনা করা উচিত।</v>
      </c>
      <c r="L207" s="7" t="str">
        <f>IFERROR(__xludf.DUMMYFUNCTION("GoogleTranslate(C207, ""en"", ""bg"")"),"Необичайно чувствителните хора трябва да обмислят намаляване на продължително или тежко натоварване.")</f>
        <v>Необичайно чувствителните хора трябва да обмислят намаляване на продължително или тежко натоварване.</v>
      </c>
      <c r="M207" s="7" t="str">
        <f>IFERROR(__xludf.DUMMYFUNCTION("GoogleTranslate(C207, ""en"", ""my"")"),"ပုံမှန်မဟုတ်သော အထိခိုက်လွယ်သူများသည် ကြာရှည်စွာ သို့မဟုတ် ပြင်းထန်သော အားထုတ်မှုကို လျှော့ချရန် စဉ်းစားသင့်သည်။")</f>
        <v>ပုံမှန်မဟုတ်သော အထိခိုက်လွယ်သူများသည် ကြာရှည်စွာ သို့မဟုတ် ပြင်းထန်သော အားထုတ်မှုကို လျှော့ချရန် စဉ်းစားသင့်သည်။</v>
      </c>
      <c r="N207" s="7" t="str">
        <f>IFERROR(__xludf.DUMMYFUNCTION("GoogleTranslate(C207, ""en"", ""ca"")"),"Les persones inusualment sensibles haurien de considerar reduir l'esforç prolongat o intens.")</f>
        <v>Les persones inusualment sensibles haurien de considerar reduir l'esforç prolongat o intens.</v>
      </c>
      <c r="O207" s="7" t="str">
        <f>IFERROR(__xludf.DUMMYFUNCTION("GoogleTranslate(C207, ""en"", ""zh-cn"")"),"异常敏感的人应考虑减少长时间或剧烈的劳累。")</f>
        <v>异常敏感的人应考虑减少长时间或剧烈的劳累。</v>
      </c>
      <c r="P207" s="7" t="str">
        <f>IFERROR(__xludf.DUMMYFUNCTION("GoogleTranslate(C207, ""en"", ""zh-TW"")"),"異常敏感的人應考慮減少長時間或劇烈的勞累。")</f>
        <v>異常敏感的人應考慮減少長時間或劇烈的勞累。</v>
      </c>
      <c r="Q207" s="7" t="str">
        <f>IFERROR(__xludf.DUMMYFUNCTION("GoogleTranslate(C207, ""en"", ""hr"")"),"Neobično osjetljive osobe trebale bi razmisliti o smanjenju dugotrajnog ili teškog napora.")</f>
        <v>Neobično osjetljive osobe trebale bi razmisliti o smanjenju dugotrajnog ili teškog napora.</v>
      </c>
      <c r="R207" s="7" t="str">
        <f>IFERROR(__xludf.DUMMYFUNCTION("GoogleTranslate(C207, ""en"", ""cs"")"),"Neobvykle citliví lidé by měli zvážit omezení dlouhodobé nebo těžké námahy.")</f>
        <v>Neobvykle citliví lidé by měli zvážit omezení dlouhodobé nebo těžké námahy.</v>
      </c>
      <c r="S207" s="7" t="str">
        <f>IFERROR(__xludf.DUMMYFUNCTION("GoogleTranslate(C207, ""en"", ""da"")"),"Usædvanligt sensitive mennesker bør overveje at reducere langvarig eller tung anstrengelse.")</f>
        <v>Usædvanligt sensitive mennesker bør overveje at reducere langvarig eller tung anstrengelse.</v>
      </c>
      <c r="T207" s="7" t="str">
        <f>IFERROR(__xludf.DUMMYFUNCTION("GoogleTranslate(C207, ""en"", ""nl"")"),"Ongewoon gevoelige mensen zouden moeten overwegen om langdurige of zware inspanning te verminderen.")</f>
        <v>Ongewoon gevoelige mensen zouden moeten overwegen om langdurige of zware inspanning te verminderen.</v>
      </c>
      <c r="U207" s="7" t="str">
        <f>IFERROR(__xludf.DUMMYFUNCTION("GoogleTranslate(C207, ""en"", ""et"")"),"Ebatavaliselt tundlikud inimesed peaksid kaaluma pikaajalise või raske koormuse vähendamist.")</f>
        <v>Ebatavaliselt tundlikud inimesed peaksid kaaluma pikaajalise või raske koormuse vähendamist.</v>
      </c>
      <c r="V207" s="5" t="str">
        <f t="shared" si="3"/>
        <v>Unusually sensitive people should consider reducing prolonged or heavy exertion.</v>
      </c>
      <c r="W207" s="7" t="str">
        <f>IFERROR(__xludf.DUMMYFUNCTION("GoogleTranslate(C207, ""en"", ""fi"")"),"Epätavallisen herkkien ihmisten tulisi harkita pitkäaikaisen tai raskaan rasituksen vähentämistä.")</f>
        <v>Epätavallisen herkkien ihmisten tulisi harkita pitkäaikaisen tai raskaan rasituksen vähentämistä.</v>
      </c>
      <c r="X207" s="7" t="str">
        <f>IFERROR(__xludf.DUMMYFUNCTION("GoogleTranslate(C207, ""en"", ""fr"")"),"Les personnes exceptionnellement sensibles devraient envisager de réduire les efforts prolongés ou intenses.")</f>
        <v>Les personnes exceptionnellement sensibles devraient envisager de réduire les efforts prolongés ou intenses.</v>
      </c>
      <c r="Y207" s="7" t="str">
        <f>IFERROR(__xludf.DUMMYFUNCTION("GoogleTranslate(C207, ""en"", ""de"")"),"Besonders empfindliche Menschen sollten darüber nachdenken, längere oder schwere Anstrengungen zu reduzieren.")</f>
        <v>Besonders empfindliche Menschen sollten darüber nachdenken, längere oder schwere Anstrengungen zu reduzieren.</v>
      </c>
      <c r="Z207" s="7" t="str">
        <f>IFERROR(__xludf.DUMMYFUNCTION("GoogleTranslate(C207, ""en"", ""el"")"),"Τα ασυνήθιστα ευαίσθητα άτομα θα πρέπει να εξετάσουν το ενδεχόμενο μείωσης της παρατεταμένης ή βαριάς προσπάθειας.")</f>
        <v>Τα ασυνήθιστα ευαίσθητα άτομα θα πρέπει να εξετάσουν το ενδεχόμενο μείωσης της παρατεταμένης ή βαριάς προσπάθειας.</v>
      </c>
      <c r="AA207" s="7" t="str">
        <f>IFERROR(__xludf.DUMMYFUNCTION("GoogleTranslate(C207, ""en"", ""iw"")"),"אנשים רגישים בצורה יוצאת דופן צריכים לשקול להפחית מאמץ ממושך או כבד.")</f>
        <v>אנשים רגישים בצורה יוצאת דופן צריכים לשקול להפחית מאמץ ממושך או כבד.</v>
      </c>
      <c r="AB207" s="7" t="str">
        <f>IFERROR(__xludf.DUMMYFUNCTION("GoogleTranslate(C207, ""en"", ""hi"")"),"असामान्य रूप से संवेदनशील लोगों को लंबे समय तक या भारी परिश्रम को कम करने पर विचार करना चाहिए।")</f>
        <v>असामान्य रूप से संवेदनशील लोगों को लंबे समय तक या भारी परिश्रम को कम करने पर विचार करना चाहिए।</v>
      </c>
      <c r="AC207" s="7" t="str">
        <f>IFERROR(__xludf.DUMMYFUNCTION("GoogleTranslate(C207, ""en"", ""hu"")"),"A szokatlanul érzékeny embereknek fontolóra kell venniük a hosszan tartó vagy erős megerőltetés csökkentését.")</f>
        <v>A szokatlanul érzékeny embereknek fontolóra kell venniük a hosszan tartó vagy erős megerőltetés csökkentését.</v>
      </c>
      <c r="AD207" s="7" t="str">
        <f>IFERROR(__xludf.DUMMYFUNCTION("GoogleTranslate(C207, ""en"", ""is"")"),"Óvenjulega viðkvæmt fólk ætti að íhuga að draga úr langvarandi eða mikilli áreynslu.")</f>
        <v>Óvenjulega viðkvæmt fólk ætti að íhuga að draga úr langvarandi eða mikilli áreynslu.</v>
      </c>
      <c r="AE207" s="7" t="str">
        <f>IFERROR(__xludf.DUMMYFUNCTION("GoogleTranslate(C207, ""en"", ""id"")"),"Orang yang sangat sensitif harus mempertimbangkan untuk mengurangi aktivitas yang berkepanjangan atau berat.")</f>
        <v>Orang yang sangat sensitif harus mempertimbangkan untuk mengurangi aktivitas yang berkepanjangan atau berat.</v>
      </c>
      <c r="AF207" s="7" t="str">
        <f>IFERROR(__xludf.DUMMYFUNCTION("GoogleTranslate(C207, ""en"", ""in"")"),"Orang yang sangat sensitif harus mempertimbangkan untuk mengurangi aktivitas yang berkepanjangan atau berat.")</f>
        <v>Orang yang sangat sensitif harus mempertimbangkan untuk mengurangi aktivitas yang berkepanjangan atau berat.</v>
      </c>
      <c r="AG207" s="7" t="str">
        <f>IFERROR(__xludf.DUMMYFUNCTION("GoogleTranslate(C207, ""en"", ""it"")"),"Le persone insolitamente sensibili dovrebbero considerare di ridurre lo sforzo prolungato o intenso.")</f>
        <v>Le persone insolitamente sensibili dovrebbero considerare di ridurre lo sforzo prolungato o intenso.</v>
      </c>
      <c r="AH207" s="7" t="str">
        <f>IFERROR(__xludf.DUMMYFUNCTION("GoogleTranslate(C207, ""en"", ""ja"")"),"異常に敏感な人は、長時間または激しい運動を減らすことを検討する必要があります。")</f>
        <v>異常に敏感な人は、長時間または激しい運動を減らすことを検討する必要があります。</v>
      </c>
      <c r="AI207" s="7" t="str">
        <f>IFERROR(__xludf.DUMMYFUNCTION("GoogleTranslate(C207, ""en"", ""kn"")"),"ಅಸಾಮಾನ್ಯವಾಗಿ ಸೂಕ್ಷ್ಮ ಜನರು ದೀರ್ಘಕಾಲದ ಅಥವಾ ಭಾರೀ ಪರಿಶ್ರಮವನ್ನು ಕಡಿಮೆ ಮಾಡಲು ಪರಿಗಣಿಸಬೇಕು.")</f>
        <v>ಅಸಾಮಾನ್ಯವಾಗಿ ಸೂಕ್ಷ್ಮ ಜನರು ದೀರ್ಘಕಾಲದ ಅಥವಾ ಭಾರೀ ಪರಿಶ್ರಮವನ್ನು ಕಡಿಮೆ ಮಾಡಲು ಪರಿಗಣಿಸಬೇಕು.</v>
      </c>
      <c r="AJ207" s="7" t="str">
        <f>IFERROR(__xludf.DUMMYFUNCTION("GoogleTranslate(C207, ""en"", ""km"")"),"មនុស្ស​ដែល​មាន​អារម្មណ៍​មិន​ប្រក្រតី គួរ​ពិចារណា​កាត់​បន្ថយ​ការ​ធ្វើ​លំហាត់​ប្រាណ​យូរ ឬ​ធ្ងន់។")</f>
        <v>មនុស្ស​ដែល​មាន​អារម្មណ៍​មិន​ប្រក្រតី គួរ​ពិចារណា​កាត់​បន្ថយ​ការ​ធ្វើ​លំហាត់​ប្រាណ​យូរ ឬ​ធ្ងន់។</v>
      </c>
      <c r="AK207" s="7" t="str">
        <f>IFERROR(__xludf.DUMMYFUNCTION("GoogleTranslate(C207, ""en"", ""ko"")"),"비정상적으로 민감한 사람들은 장시간 또는 심한 운동을 줄이는 것을 고려해야 합니다.")</f>
        <v>비정상적으로 민감한 사람들은 장시간 또는 심한 운동을 줄이는 것을 고려해야 합니다.</v>
      </c>
      <c r="AL207" s="7" t="str">
        <f>IFERROR(__xludf.DUMMYFUNCTION("GoogleTranslate(C207, ""en"", ""lo"")"),"ຄົນທີ່ມີຄວາມອ່ອນໄຫວຜິດປົກກະຕິຄວນພິຈາລະນາຫຼຸດຜ່ອນການອອກແຮງທີ່ຍາວນານ ຫຼືໜັກ.")</f>
        <v>ຄົນທີ່ມີຄວາມອ່ອນໄຫວຜິດປົກກະຕິຄວນພິຈາລະນາຫຼຸດຜ່ອນການອອກແຮງທີ່ຍາວນານ ຫຼືໜັກ.</v>
      </c>
      <c r="AM207" s="7" t="str">
        <f>IFERROR(__xludf.DUMMYFUNCTION("GoogleTranslate(C207, ""en"", ""lv"")"),"Neparasti jutīgiem cilvēkiem jāapsver ilgstošas ​​vai smagas slodzes samazināšana.")</f>
        <v>Neparasti jutīgiem cilvēkiem jāapsver ilgstošas ​​vai smagas slodzes samazināšana.</v>
      </c>
      <c r="AN207" s="7" t="str">
        <f>IFERROR(__xludf.DUMMYFUNCTION("GoogleTranslate(C207, ""en"", ""lt"")"),"Neįprastai jautrūs žmonės turėtų apsvarstyti galimybę sumažinti ilgalaikį ar sunkų krūvį.")</f>
        <v>Neįprastai jautrūs žmonės turėtų apsvarstyti galimybę sumažinti ilgalaikį ar sunkų krūvį.</v>
      </c>
      <c r="AO207" s="7" t="str">
        <f>IFERROR(__xludf.DUMMYFUNCTION("GoogleTranslate(C207, ""en"", ""mk"")"),"Невообичаено чувствителните луѓе треба да размислат за намалување на продолжениот или тежок напор.")</f>
        <v>Невообичаено чувствителните луѓе треба да размислат за намалување на продолжениот или тежок напор.</v>
      </c>
      <c r="AP207" s="7" t="str">
        <f>IFERROR(__xludf.DUMMYFUNCTION("GoogleTranslate(C207, ""en"", ""ms"")"),"Orang yang luar biasa sensitif harus mempertimbangkan untuk mengurangkan usaha yang berpanjangan atau berat.")</f>
        <v>Orang yang luar biasa sensitif harus mempertimbangkan untuk mengurangkan usaha yang berpanjangan atau berat.</v>
      </c>
      <c r="AQ207" s="7" t="str">
        <f>IFERROR(__xludf.DUMMYFUNCTION("GoogleTranslate(C207, ""en"", ""ml"")"),"അസാധാരണമായ സെൻസിറ്റീവായ ആളുകൾ ദീർഘമായ അല്ലെങ്കിൽ കനത്ത അദ്ധ്വാനം കുറയ്ക്കുന്നത് പരിഗണിക്കണം.")</f>
        <v>അസാധാരണമായ സെൻസിറ്റീവായ ആളുകൾ ദീർഘമായ അല്ലെങ്കിൽ കനത്ത അദ്ധ്വാനം കുറയ്ക്കുന്നത് പരിഗണിക്കണം.</v>
      </c>
      <c r="AR207" s="7" t="str">
        <f>IFERROR(__xludf.DUMMYFUNCTION("GoogleTranslate(C207, ""en"", ""mr"")"),"असामान्यपणे संवेदनशील लोकांनी दीर्घकाळ किंवा जड श्रम कमी करण्याचा विचार केला पाहिजे.")</f>
        <v>असामान्यपणे संवेदनशील लोकांनी दीर्घकाळ किंवा जड श्रम कमी करण्याचा विचार केला पाहिजे.</v>
      </c>
      <c r="AS207" s="7" t="str">
        <f>IFERROR(__xludf.DUMMYFUNCTION("GoogleTranslate(C207, ""en"", ""mn"")"),"Ер бусын мэдрэмтгий хүмүүс удаан хугацаагаар эсвэл хүнд ачааллыг багасгах талаар бодох хэрэгтэй.")</f>
        <v>Ер бусын мэдрэмтгий хүмүүс удаан хугацаагаар эсвэл хүнд ачааллыг багасгах талаар бодох хэрэгтэй.</v>
      </c>
      <c r="AT207" s="7" t="str">
        <f>IFERROR(__xludf.DUMMYFUNCTION("GoogleTranslate(C207, ""en"", ""ne"")"),"असामान्य रूपमा संवेदनशील व्यक्तिहरूले लामो वा भारी परिश्रम कम गर्ने विचार गर्नुपर्छ।")</f>
        <v>असामान्य रूपमा संवेदनशील व्यक्तिहरूले लामो वा भारी परिश्रम कम गर्ने विचार गर्नुपर्छ।</v>
      </c>
      <c r="AU207" s="7" t="str">
        <f>IFERROR(__xludf.DUMMYFUNCTION("GoogleTranslate(C207, ""en"", ""nb"")"),"Uvanlig sensitive personer bør vurdere å redusere langvarig eller tung anstrengelse.")</f>
        <v>Uvanlig sensitive personer bør vurdere å redusere langvarig eller tung anstrengelse.</v>
      </c>
      <c r="AV207" s="7" t="str">
        <f>IFERROR(__xludf.DUMMYFUNCTION("GoogleTranslate(C207, ""en"", ""fa"")"),"افراد غیرمعمول حساس باید تلاش طولانی یا سنگین را کاهش دهند.")</f>
        <v>افراد غیرمعمول حساس باید تلاش طولانی یا سنگین را کاهش دهند.</v>
      </c>
      <c r="AW207" s="7" t="str">
        <f>IFERROR(__xludf.DUMMYFUNCTION("GoogleTranslate(C207, ""en"", ""pl"")"),"Osoby wyjątkowo wrażliwe powinny rozważyć ograniczenie długotrwałego lub ciężkiego wysiłku.")</f>
        <v>Osoby wyjątkowo wrażliwe powinny rozważyć ograniczenie długotrwałego lub ciężkiego wysiłku.</v>
      </c>
      <c r="AX207" s="7" t="str">
        <f>IFERROR(__xludf.DUMMYFUNCTION("GoogleTranslate(C207, ""en"", ""pt"")"),"Pessoas excepcionalmente sensíveis devem considerar a redução do esforço prolongado ou pesado.")</f>
        <v>Pessoas excepcionalmente sensíveis devem considerar a redução do esforço prolongado ou pesado.</v>
      </c>
      <c r="AY207" s="7" t="str">
        <f>IFERROR(__xludf.DUMMYFUNCTION("GoogleTranslate(C207, ""en"", ""ro"")"),"Persoanele neobișnuit de sensibile ar trebui să ia în considerare reducerea efortului prelungit sau greu.")</f>
        <v>Persoanele neobișnuit de sensibile ar trebui să ia în considerare reducerea efortului prelungit sau greu.</v>
      </c>
      <c r="AZ207" s="7" t="str">
        <f>IFERROR(__xludf.DUMMYFUNCTION("GoogleTranslate(C207, ""en"", ""ru"")"),"Необычно чувствительным людям следует рассмотреть возможность снижения длительных или тяжелых нагрузок.")</f>
        <v>Необычно чувствительным людям следует рассмотреть возможность снижения длительных или тяжелых нагрузок.</v>
      </c>
      <c r="BA207" s="7" t="str">
        <f>IFERROR(__xludf.DUMMYFUNCTION("GoogleTranslate(C207, ""en"", ""sr"")"),"Неуобичајено осетљиве особе треба да размотре смањење продуженог или тешког напора.")</f>
        <v>Неуобичајено осетљиве особе треба да размотре смањење продуженог или тешког напора.</v>
      </c>
      <c r="BB207" s="7" t="str">
        <f>IFERROR(__xludf.DUMMYFUNCTION("GoogleTranslate(C207, ""en"", ""si"")"),"අසාමාන්ය ලෙස සංවේදී පුද්ගලයන් දිගු හෝ අධික වෙහෙස අඩු කිරීම ගැන සලකා බැලිය යුතුය.")</f>
        <v>අසාමාන්ය ලෙස සංවේදී පුද්ගලයන් දිගු හෝ අධික වෙහෙස අඩු කිරීම ගැන සලකා බැලිය යුතුය.</v>
      </c>
      <c r="BC207" s="7" t="str">
        <f>IFERROR(__xludf.DUMMYFUNCTION("GoogleTranslate(C207, ""en"", ""sk"")"),"Nezvyčajne citliví ľudia by mali zvážiť zníženie dlhodobej alebo ťažkej námahy.")</f>
        <v>Nezvyčajne citliví ľudia by mali zvážiť zníženie dlhodobej alebo ťažkej námahy.</v>
      </c>
      <c r="BD207" s="7" t="str">
        <f>IFERROR(__xludf.DUMMYFUNCTION("GoogleTranslate(C207, ""en"", ""sl"")"),"Nenavadno občutljivi ljudje bi morali razmisliti o zmanjšanju dolgotrajnega ali močnega napora.")</f>
        <v>Nenavadno občutljivi ljudje bi morali razmisliti o zmanjšanju dolgotrajnega ali močnega napora.</v>
      </c>
      <c r="BE207" s="7" t="str">
        <f>IFERROR(__xludf.DUMMYFUNCTION("GoogleTranslate(C207, ""en"", ""es"")"),"Las personas inusualmente sensibles deberían considerar reducir el esfuerzo prolongado o intenso.")</f>
        <v>Las personas inusualmente sensibles deberían considerar reducir el esfuerzo prolongado o intenso.</v>
      </c>
      <c r="BF207" s="7" t="str">
        <f>IFERROR(__xludf.DUMMYFUNCTION("GoogleTranslate(C207, ""en"", ""sw"")"),"Watu wenye hisia zisizo za kawaida wanapaswa kuzingatia kupunguza bidii ya muda mrefu au nzito.")</f>
        <v>Watu wenye hisia zisizo za kawaida wanapaswa kuzingatia kupunguza bidii ya muda mrefu au nzito.</v>
      </c>
      <c r="BG207" s="7" t="str">
        <f>IFERROR(__xludf.DUMMYFUNCTION("GoogleTranslate(C207, ""en"", ""sv"")"),"Ovanligt känsliga personer bör överväga att minska långvarig eller tung ansträngning.")</f>
        <v>Ovanligt känsliga personer bör överväga att minska långvarig eller tung ansträngning.</v>
      </c>
      <c r="BH207" s="7" t="str">
        <f>IFERROR(__xludf.DUMMYFUNCTION("GoogleTranslate(C207, ""en"", ""te"")"),"అసాధారణంగా సున్నితమైన వ్యక్తులు సుదీర్ఘమైన లేదా భారీ శ్రమను తగ్గించడాన్ని పరిగణించాలి.")</f>
        <v>అసాధారణంగా సున్నితమైన వ్యక్తులు సుదీర్ఘమైన లేదా భారీ శ్రమను తగ్గించడాన్ని పరిగణించాలి.</v>
      </c>
      <c r="BI207" s="7" t="str">
        <f>IFERROR(__xludf.DUMMYFUNCTION("GoogleTranslate(C207, ""en"", ""th"")"),"คนที่อ่อนไหวอย่างผิดปกติควรพิจารณาลดการออกแรงที่ยืดเยื้อหรือหนักหน่วงลง")</f>
        <v>คนที่อ่อนไหวอย่างผิดปกติควรพิจารณาลดการออกแรงที่ยืดเยื้อหรือหนักหน่วงลง</v>
      </c>
      <c r="BJ207" s="7" t="str">
        <f>IFERROR(__xludf.DUMMYFUNCTION("GoogleTranslate(C207, ""en"", ""tr"")"),"Alışılmadık derecede hassas kişiler, uzun süreli veya ağır eforları azaltmayı düşünmelidir.")</f>
        <v>Alışılmadık derecede hassas kişiler, uzun süreli veya ağır eforları azaltmayı düşünmelidir.</v>
      </c>
      <c r="BK207" s="7" t="str">
        <f>IFERROR(__xludf.DUMMYFUNCTION("GoogleTranslate(C207, ""en"", ""uk"")"),"Надзвичайно чутливі люди повинні зменшити тривале або важке навантаження.")</f>
        <v>Надзвичайно чутливі люди повинні зменшити тривале або важке навантаження.</v>
      </c>
      <c r="BL207" s="7" t="str">
        <f>IFERROR(__xludf.DUMMYFUNCTION("GoogleTranslate(C207, ""en"", ""zu"")"),"Abantu abazwela ngokungavamile kufanele bacabangele ukunciphisa ukuzikhandla okude noma okukhulu.")</f>
        <v>Abantu abazwela ngokungavamile kufanele bacabangele ukunciphisa ukuzikhandla okude noma okukhulu.</v>
      </c>
    </row>
    <row r="208">
      <c r="A208" s="5" t="str">
        <f t="shared" si="1"/>
        <v>People_with_respiratory_or_heart_disease,_the_elderly_and_children_should_limit_prolonged_exertion.</v>
      </c>
      <c r="B208" s="4" t="s">
        <v>256</v>
      </c>
      <c r="C208" s="4" t="s">
        <v>256</v>
      </c>
      <c r="D208" s="7" t="str">
        <f>IFERROR(__xludf.DUMMYFUNCTION("GoogleTranslate(C208, ""en"", ""es"")"),"Las personas con enfermedades respiratorias o cardíacas, los ancianos y los niños deben limitar los esfuerzos prolongados.")</f>
        <v>Las personas con enfermedades respiratorias o cardíacas, los ancianos y los niños deben limitar los esfuerzos prolongados.</v>
      </c>
      <c r="E208" s="7" t="str">
        <f>IFERROR(__xludf.DUMMYFUNCTION("GoogleTranslate(C208, ""en"", ""ar"")"),"يجب على الأشخاص الذين يعانون من أمراض الجهاز التنفسي أو القلب وكبار السن والأطفال الحد من المجهود لفترات طويلة.")</f>
        <v>يجب على الأشخاص الذين يعانون من أمراض الجهاز التنفسي أو القلب وكبار السن والأطفال الحد من المجهود لفترات طويلة.</v>
      </c>
      <c r="F208" s="7" t="str">
        <f>IFERROR(__xludf.DUMMYFUNCTION("GoogleTranslate(C208, ""en"", ""hy"")"),"Շնչառական կամ սրտի հիվանդություններ ունեցող մարդիկ, տարեցները և երեխաները պետք է սահմանափակեն երկարատև ջանքերը:")</f>
        <v>Շնչառական կամ սրտի հիվանդություններ ունեցող մարդիկ, տարեցները և երեխաները պետք է սահմանափակեն երկարատև ջանքերը:</v>
      </c>
      <c r="G208" s="7" t="str">
        <f>IFERROR(__xludf.DUMMYFUNCTION("GoogleTranslate(C208, ""en"", ""vi"")"),"Người có bệnh về hô hấp, tim mạch, người già và trẻ em nên hạn chế gắng sức kéo dài.")</f>
        <v>Người có bệnh về hô hấp, tim mạch, người già và trẻ em nên hạn chế gắng sức kéo dài.</v>
      </c>
      <c r="H208" s="7" t="str">
        <f>IFERROR(__xludf.DUMMYFUNCTION("GoogleTranslate(C208, ""en"", ""az"")"),"Tənəffüs və ya ürək xəstəlikləri olan insanlar, yaşlılar və uşaqlar uzun müddətli gərginliyi məhdudlaşdırmalıdırlar.")</f>
        <v>Tənəffüs və ya ürək xəstəlikləri olan insanlar, yaşlılar və uşaqlar uzun müddətli gərginliyi məhdudlaşdırmalıdırlar.</v>
      </c>
      <c r="I208" s="7" t="str">
        <f>IFERROR(__xludf.DUMMYFUNCTION("GoogleTranslate(C208, ""en"", ""eu"")"),"Arnas edo bihotzeko gaixotasunak dituzten pertsonek, adinekoek eta haurrek esfortzu luzea mugatu behar dute.")</f>
        <v>Arnas edo bihotzeko gaixotasunak dituzten pertsonek, adinekoek eta haurrek esfortzu luzea mugatu behar dute.</v>
      </c>
      <c r="J208" s="7" t="str">
        <f>IFERROR(__xludf.DUMMYFUNCTION("GoogleTranslate(C208, ""en"", ""be"")"),"Людзям з захворваннямі органаў дыхання і сэрца, пажылым людзям і дзецям варта абмежаваць працяглыя нагрузкі.")</f>
        <v>Людзям з захворваннямі органаў дыхання і сэрца, пажылым людзям і дзецям варта абмежаваць працяглыя нагрузкі.</v>
      </c>
      <c r="K208" s="7" t="str">
        <f>IFERROR(__xludf.DUMMYFUNCTION("GoogleTranslate(C208, ""en"", ""bn"")"),"শ্বাসযন্ত্র বা হৃদরোগে আক্রান্ত ব্যক্তিদের, বয়স্ক এবং শিশুদের দীর্ঘায়িত পরিশ্রম সীমিত করা উচিত।")</f>
        <v>শ্বাসযন্ত্র বা হৃদরোগে আক্রান্ত ব্যক্তিদের, বয়স্ক এবং শিশুদের দীর্ঘায়িত পরিশ্রম সীমিত করা উচিত।</v>
      </c>
      <c r="L208" s="7" t="str">
        <f>IFERROR(__xludf.DUMMYFUNCTION("GoogleTranslate(C208, ""en"", ""bg"")"),"Хората с респираторни или сърдечни заболявания, възрастните хора и децата трябва да ограничат продължителното натоварване.")</f>
        <v>Хората с респираторни или сърдечни заболявания, възрастните хора и децата трябва да ограничат продължителното натоварване.</v>
      </c>
      <c r="M208" s="7" t="str">
        <f>IFERROR(__xludf.DUMMYFUNCTION("GoogleTranslate(C208, ""en"", ""my"")"),"အသက်ရှုလမ်းကြောင်းဆိုင်ရာ သို့မဟုတ် နှလုံးရောဂါရှိသူများ၊ သက်ကြီးရွယ်အိုများနှင့် ကလေးငယ်များသည် အချိန်ကြာမြင့်စွာ အားထုတ်ခြင်းကို ကန့်သတ်သင့်သည်။")</f>
        <v>အသက်ရှုလမ်းကြောင်းဆိုင်ရာ သို့မဟုတ် နှလုံးရောဂါရှိသူများ၊ သက်ကြီးရွယ်အိုများနှင့် ကလေးငယ်များသည် အချိန်ကြာမြင့်စွာ အားထုတ်ခြင်းကို ကန့်သတ်သင့်သည်။</v>
      </c>
      <c r="N208" s="7" t="str">
        <f>IFERROR(__xludf.DUMMYFUNCTION("GoogleTranslate(C208, ""en"", ""ca"")"),"Les persones amb malalties respiratòries o cardíaques, la gent gran i els nens han de limitar l'esforç prolongat.")</f>
        <v>Les persones amb malalties respiratòries o cardíaques, la gent gran i els nens han de limitar l'esforç prolongat.</v>
      </c>
      <c r="O208" s="7" t="str">
        <f>IFERROR(__xludf.DUMMYFUNCTION("GoogleTranslate(C208, ""en"", ""zh-cn"")"),"患有呼吸道疾病或心脏病的人、老人和儿童应限制长时间的运动。")</f>
        <v>患有呼吸道疾病或心脏病的人、老人和儿童应限制长时间的运动。</v>
      </c>
      <c r="P208" s="7" t="str">
        <f>IFERROR(__xludf.DUMMYFUNCTION("GoogleTranslate(C208, ""en"", ""zh-TW"")"),"患有呼吸道疾病或心臟病的人、老人和兒童應限制長時間的運動。")</f>
        <v>患有呼吸道疾病或心臟病的人、老人和兒童應限制長時間的運動。</v>
      </c>
      <c r="Q208" s="7" t="str">
        <f>IFERROR(__xludf.DUMMYFUNCTION("GoogleTranslate(C208, ""en"", ""hr"")"),"Osobe s dišnim i srčanim bolestima, starije osobe i djeca trebaju ograničiti dugotrajne napore.")</f>
        <v>Osobe s dišnim i srčanim bolestima, starije osobe i djeca trebaju ograničiti dugotrajne napore.</v>
      </c>
      <c r="R208" s="7" t="str">
        <f>IFERROR(__xludf.DUMMYFUNCTION("GoogleTranslate(C208, ""en"", ""cs"")"),"Lidé s respiračním nebo srdečním onemocněním, senioři a děti by měli omezit dlouhodobou námahu.")</f>
        <v>Lidé s respiračním nebo srdečním onemocněním, senioři a děti by měli omezit dlouhodobou námahu.</v>
      </c>
      <c r="S208" s="7" t="str">
        <f>IFERROR(__xludf.DUMMYFUNCTION("GoogleTranslate(C208, ""en"", ""da"")"),"Personer med luftvejs- eller hjertesygdomme, ældre og børn bør begrænse langvarig anstrengelse.")</f>
        <v>Personer med luftvejs- eller hjertesygdomme, ældre og børn bør begrænse langvarig anstrengelse.</v>
      </c>
      <c r="T208" s="7" t="str">
        <f>IFERROR(__xludf.DUMMYFUNCTION("GoogleTranslate(C208, ""en"", ""nl"")"),"Mensen met luchtweg- of hartaandoeningen, ouderen en kinderen moeten langdurige inspanningen beperken.")</f>
        <v>Mensen met luchtweg- of hartaandoeningen, ouderen en kinderen moeten langdurige inspanningen beperken.</v>
      </c>
      <c r="U208" s="7" t="str">
        <f>IFERROR(__xludf.DUMMYFUNCTION("GoogleTranslate(C208, ""en"", ""et"")"),"Hingamisteede või südamehaigustega inimesed, eakad ja lapsed peaksid piirama pikaajalist pingutust.")</f>
        <v>Hingamisteede või südamehaigustega inimesed, eakad ja lapsed peaksid piirama pikaajalist pingutust.</v>
      </c>
      <c r="V208" s="5" t="str">
        <f t="shared" si="3"/>
        <v>People with respiratory or heart disease, the elderly and children should limit prolonged exertion.</v>
      </c>
      <c r="W208" s="7" t="str">
        <f>IFERROR(__xludf.DUMMYFUNCTION("GoogleTranslate(C208, ""en"", ""fi"")"),"Hengitystie- tai sydänsairauksia sairastavien, vanhusten ja lasten tulee rajoittaa pitkäaikaista rasitusta.")</f>
        <v>Hengitystie- tai sydänsairauksia sairastavien, vanhusten ja lasten tulee rajoittaa pitkäaikaista rasitusta.</v>
      </c>
      <c r="X208" s="7" t="str">
        <f>IFERROR(__xludf.DUMMYFUNCTION("GoogleTranslate(C208, ""en"", ""fr"")"),"Les personnes souffrant de maladies respiratoires ou cardiaques, les personnes âgées et les enfants doivent limiter les efforts prolongés.")</f>
        <v>Les personnes souffrant de maladies respiratoires ou cardiaques, les personnes âgées et les enfants doivent limiter les efforts prolongés.</v>
      </c>
      <c r="Y208" s="7" t="str">
        <f>IFERROR(__xludf.DUMMYFUNCTION("GoogleTranslate(C208, ""en"", ""de"")"),"Menschen mit Atemwegs- oder Herzerkrankungen, ältere Menschen und Kinder sollten längere Anstrengungen einschränken.")</f>
        <v>Menschen mit Atemwegs- oder Herzerkrankungen, ältere Menschen und Kinder sollten längere Anstrengungen einschränken.</v>
      </c>
      <c r="Z208" s="7" t="str">
        <f>IFERROR(__xludf.DUMMYFUNCTION("GoogleTranslate(C208, ""en"", ""el"")"),"Άτομα με αναπνευστικές ή καρδιακές παθήσεις, ηλικιωμένοι και παιδιά θα πρέπει να περιορίσουν την παρατεταμένη προσπάθεια.")</f>
        <v>Άτομα με αναπνευστικές ή καρδιακές παθήσεις, ηλικιωμένοι και παιδιά θα πρέπει να περιορίσουν την παρατεταμένη προσπάθεια.</v>
      </c>
      <c r="AA208" s="7" t="str">
        <f>IFERROR(__xludf.DUMMYFUNCTION("GoogleTranslate(C208, ""en"", ""iw"")"),"אנשים עם מחלות נשימה או לב, קשישים וילדים צריכים להגביל מאמץ ממושך.")</f>
        <v>אנשים עם מחלות נשימה או לב, קשישים וילדים צריכים להגביל מאמץ ממושך.</v>
      </c>
      <c r="AB208" s="7" t="str">
        <f>IFERROR(__xludf.DUMMYFUNCTION("GoogleTranslate(C208, ""en"", ""hi"")"),"श्वसन या हृदय रोग वाले लोगों, बुजुर्गों और बच्चों को लंबे समय तक परिश्रम सीमित करना चाहिए।")</f>
        <v>श्वसन या हृदय रोग वाले लोगों, बुजुर्गों और बच्चों को लंबे समय तक परिश्रम सीमित करना चाहिए।</v>
      </c>
      <c r="AC208" s="7" t="str">
        <f>IFERROR(__xludf.DUMMYFUNCTION("GoogleTranslate(C208, ""en"", ""hu"")"),"Légúti vagy szívbetegségben szenvedőknek, időseknek és gyermekeknek korlátozniuk kell a hosszan tartó terhelést.")</f>
        <v>Légúti vagy szívbetegségben szenvedőknek, időseknek és gyermekeknek korlátozniuk kell a hosszan tartó terhelést.</v>
      </c>
      <c r="AD208" s="7" t="str">
        <f>IFERROR(__xludf.DUMMYFUNCTION("GoogleTranslate(C208, ""en"", ""is"")"),"Fólk með öndunarfæra- eða hjartasjúkdóma, aldraðir og börn ættu að takmarka langvarandi áreynslu.")</f>
        <v>Fólk með öndunarfæra- eða hjartasjúkdóma, aldraðir og börn ættu að takmarka langvarandi áreynslu.</v>
      </c>
      <c r="AE208" s="7" t="str">
        <f>IFERROR(__xludf.DUMMYFUNCTION("GoogleTranslate(C208, ""en"", ""id"")"),"Orang dengan penyakit pernafasan atau jantung, orang tua dan anak-anak harus membatasi aktivitas yang berkepanjangan.")</f>
        <v>Orang dengan penyakit pernafasan atau jantung, orang tua dan anak-anak harus membatasi aktivitas yang berkepanjangan.</v>
      </c>
      <c r="AF208" s="7" t="str">
        <f>IFERROR(__xludf.DUMMYFUNCTION("GoogleTranslate(C208, ""en"", ""in"")"),"Orang dengan penyakit pernafasan atau jantung, orang tua dan anak-anak harus membatasi aktivitas yang berkepanjangan.")</f>
        <v>Orang dengan penyakit pernafasan atau jantung, orang tua dan anak-anak harus membatasi aktivitas yang berkepanjangan.</v>
      </c>
      <c r="AG208" s="7" t="str">
        <f>IFERROR(__xludf.DUMMYFUNCTION("GoogleTranslate(C208, ""en"", ""it"")"),"Le persone con malattie respiratorie o cardiache, gli anziani e i bambini dovrebbero limitare lo sforzo prolungato.")</f>
        <v>Le persone con malattie respiratorie o cardiache, gli anziani e i bambini dovrebbero limitare lo sforzo prolungato.</v>
      </c>
      <c r="AH208" s="7" t="str">
        <f>IFERROR(__xludf.DUMMYFUNCTION("GoogleTranslate(C208, ""en"", ""ja"")"),"呼吸器疾患や心臓疾患のある人、高齢者、子供は、長時間の運動を制限する必要があります。")</f>
        <v>呼吸器疾患や心臓疾患のある人、高齢者、子供は、長時間の運動を制限する必要があります。</v>
      </c>
      <c r="AI208" s="7" t="str">
        <f>IFERROR(__xludf.DUMMYFUNCTION("GoogleTranslate(C208, ""en"", ""kn"")"),"ಉಸಿರಾಟ ಅಥವಾ ಹೃದ್ರೋಗ ಹೊಂದಿರುವ ಜನರು, ವೃದ್ಧರು ಮತ್ತು ಮಕ್ಕಳು ದೀರ್ಘಕಾಲದ ಪರಿಶ್ರಮವನ್ನು ಮಿತಿಗೊಳಿಸಬೇಕು.")</f>
        <v>ಉಸಿರಾಟ ಅಥವಾ ಹೃದ್ರೋಗ ಹೊಂದಿರುವ ಜನರು, ವೃದ್ಧರು ಮತ್ತು ಮಕ್ಕಳು ದೀರ್ಘಕಾಲದ ಪರಿಶ್ರಮವನ್ನು ಮಿತಿಗೊಳಿಸಬೇಕು.</v>
      </c>
      <c r="AJ208" s="7" t="str">
        <f>IFERROR(__xludf.DUMMYFUNCTION("GoogleTranslate(C208, ""en"", ""km"")"),"អ្នកដែលមានជំងឺផ្លូវដង្ហើម ឬបេះដូង មនុស្សចាស់ និងកុមារគួរកំណត់ការធ្វើលំហាត់ប្រាណយូរ។")</f>
        <v>អ្នកដែលមានជំងឺផ្លូវដង្ហើម ឬបេះដូង មនុស្សចាស់ និងកុមារគួរកំណត់ការធ្វើលំហាត់ប្រាណយូរ។</v>
      </c>
      <c r="AK208" s="7" t="str">
        <f>IFERROR(__xludf.DUMMYFUNCTION("GoogleTranslate(C208, ""en"", ""ko"")"),"호흡기 질환이나 심장 질환이 있는 사람, 노인, 어린이는 장시간의 운동을 자제해야 합니다.")</f>
        <v>호흡기 질환이나 심장 질환이 있는 사람, 노인, 어린이는 장시간의 운동을 자제해야 합니다.</v>
      </c>
      <c r="AL208" s="7" t="str">
        <f>IFERROR(__xludf.DUMMYFUNCTION("GoogleTranslate(C208, ""en"", ""lo"")"),"ຜູ້ທີ່ເປັນພະຍາດລະບົບຫາຍໃຈ ຫຼືຫົວໃຈ, ຜູ້ສູງອາຍຸ ແລະ ເດັກນ້ອຍຄວນຈຳກັດການອອກກຳລັງເປັນເວລາດົນ.")</f>
        <v>ຜູ້ທີ່ເປັນພະຍາດລະບົບຫາຍໃຈ ຫຼືຫົວໃຈ, ຜູ້ສູງອາຍຸ ແລະ ເດັກນ້ອຍຄວນຈຳກັດການອອກກຳລັງເປັນເວລາດົນ.</v>
      </c>
      <c r="AM208" s="7" t="str">
        <f>IFERROR(__xludf.DUMMYFUNCTION("GoogleTranslate(C208, ""en"", ""lv"")"),"Cilvēkiem ar elpceļu vai sirds slimībām, gados vecākiem cilvēkiem un bērniem jāierobežo ilgstoša slodze.")</f>
        <v>Cilvēkiem ar elpceļu vai sirds slimībām, gados vecākiem cilvēkiem un bērniem jāierobežo ilgstoša slodze.</v>
      </c>
      <c r="AN208" s="7" t="str">
        <f>IFERROR(__xludf.DUMMYFUNCTION("GoogleTranslate(C208, ""en"", ""lt"")"),"Žmonės, sergantys kvėpavimo ar širdies ligomis, pagyvenę žmonės ir vaikai, turėtų apriboti ilgalaikį krūvį.")</f>
        <v>Žmonės, sergantys kvėpavimo ar širdies ligomis, pagyvenę žmonės ir vaikai, turėtų apriboti ilgalaikį krūvį.</v>
      </c>
      <c r="AO208" s="7" t="str">
        <f>IFERROR(__xludf.DUMMYFUNCTION("GoogleTranslate(C208, ""en"", ""mk"")"),"Луѓето со респираторни или срцеви заболувања, постарите лица и децата треба да го ограничат продолжениот напор.")</f>
        <v>Луѓето со респираторни или срцеви заболувања, постарите лица и децата треба да го ограничат продолжениот напор.</v>
      </c>
      <c r="AP208" s="7" t="str">
        <f>IFERROR(__xludf.DUMMYFUNCTION("GoogleTranslate(C208, ""en"", ""ms"")"),"Orang yang mempunyai penyakit pernafasan atau jantung, orang tua dan kanak-kanak harus mengehadkan tenaga yang berpanjangan.")</f>
        <v>Orang yang mempunyai penyakit pernafasan atau jantung, orang tua dan kanak-kanak harus mengehadkan tenaga yang berpanjangan.</v>
      </c>
      <c r="AQ208" s="7" t="str">
        <f>IFERROR(__xludf.DUMMYFUNCTION("GoogleTranslate(C208, ""en"", ""ml"")"),"ശ്വാസകോശ സംബന്ധമായ അസുഖങ്ങളോ ഹൃദ്രോഗങ്ങളോ ഉള്ളവർ, പ്രായമായവർ, കുട്ടികൾ എന്നിവർ ദീർഘനേരം അദ്ധ്വാനിക്കുന്നത് പരിമിതപ്പെടുത്തണം.")</f>
        <v>ശ്വാസകോശ സംബന്ധമായ അസുഖങ്ങളോ ഹൃദ്രോഗങ്ങളോ ഉള്ളവർ, പ്രായമായവർ, കുട്ടികൾ എന്നിവർ ദീർഘനേരം അദ്ധ്വാനിക്കുന്നത് പരിമിതപ്പെടുത്തണം.</v>
      </c>
      <c r="AR208" s="7" t="str">
        <f>IFERROR(__xludf.DUMMYFUNCTION("GoogleTranslate(C208, ""en"", ""mr"")"),"श्वसन किंवा हृदयरोग असलेले लोक, वृद्ध आणि मुलांनी दीर्घकाळापर्यंत श्रम मर्यादित केले पाहिजेत.")</f>
        <v>श्वसन किंवा हृदयरोग असलेले लोक, वृद्ध आणि मुलांनी दीर्घकाळापर्यंत श्रम मर्यादित केले पाहिजेत.</v>
      </c>
      <c r="AS208" s="7" t="str">
        <f>IFERROR(__xludf.DUMMYFUNCTION("GoogleTranslate(C208, ""en"", ""mn"")"),"Амьсгалын замын болон зүрхний өвчтэй хүмүүс, өндөр настан, хүүхдүүд удаан хугацаагаар ачааллыг хязгаарлах хэрэгтэй.")</f>
        <v>Амьсгалын замын болон зүрхний өвчтэй хүмүүс, өндөр настан, хүүхдүүд удаан хугацаагаар ачааллыг хязгаарлах хэрэгтэй.</v>
      </c>
      <c r="AT208" s="7" t="str">
        <f>IFERROR(__xludf.DUMMYFUNCTION("GoogleTranslate(C208, ""en"", ""ne"")"),"श्वासप्रश्वास वा हृदय रोग भएका व्यक्तिहरू, वृद्धहरू र बालबालिकाहरूले लामो समयसम्म परिश्रम सीमित गर्नुपर्छ।")</f>
        <v>श्वासप्रश्वास वा हृदय रोग भएका व्यक्तिहरू, वृद्धहरू र बालबालिकाहरूले लामो समयसम्म परिश्रम सीमित गर्नुपर्छ।</v>
      </c>
      <c r="AU208" s="7" t="str">
        <f>IFERROR(__xludf.DUMMYFUNCTION("GoogleTranslate(C208, ""en"", ""nb"")"),"Personer med luftveis- eller hjertesykdom, eldre og barn bør begrense langvarig anstrengelse.")</f>
        <v>Personer med luftveis- eller hjertesykdom, eldre og barn bør begrense langvarig anstrengelse.</v>
      </c>
      <c r="AV208" s="7" t="str">
        <f>IFERROR(__xludf.DUMMYFUNCTION("GoogleTranslate(C208, ""en"", ""fa"")"),"افراد مبتلا به بیماری های تنفسی یا قلبی، افراد مسن و کودکان باید فعالیت های طولانی مدت را محدود کنند.")</f>
        <v>افراد مبتلا به بیماری های تنفسی یا قلبی، افراد مسن و کودکان باید فعالیت های طولانی مدت را محدود کنند.</v>
      </c>
      <c r="AW208" s="7" t="str">
        <f>IFERROR(__xludf.DUMMYFUNCTION("GoogleTranslate(C208, ""en"", ""pl"")"),"Osoby z chorobami układu oddechowego lub serca, osoby starsze i dzieci powinny ograniczyć długotrwały wysiłek.")</f>
        <v>Osoby z chorobami układu oddechowego lub serca, osoby starsze i dzieci powinny ograniczyć długotrwały wysiłek.</v>
      </c>
      <c r="AX208" s="7" t="str">
        <f>IFERROR(__xludf.DUMMYFUNCTION("GoogleTranslate(C208, ""en"", ""pt"")"),"Pessoas com doenças respiratórias ou cardíacas, idosos e crianças devem limitar os esforços prolongados.")</f>
        <v>Pessoas com doenças respiratórias ou cardíacas, idosos e crianças devem limitar os esforços prolongados.</v>
      </c>
      <c r="AY208" s="7" t="str">
        <f>IFERROR(__xludf.DUMMYFUNCTION("GoogleTranslate(C208, ""en"", ""ro"")"),"Persoanele cu boli respiratorii sau cardiace, vârstnicii și copiii ar trebui să limiteze efortul prelungit.")</f>
        <v>Persoanele cu boli respiratorii sau cardiace, vârstnicii și copiii ar trebui să limiteze efortul prelungit.</v>
      </c>
      <c r="AZ208" s="7" t="str">
        <f>IFERROR(__xludf.DUMMYFUNCTION("GoogleTranslate(C208, ""en"", ""ru"")"),"Людям с респираторными или сердечными заболеваниями, пожилым людям и детям следует ограничить длительные нагрузки.")</f>
        <v>Людям с респираторными или сердечными заболеваниями, пожилым людям и детям следует ограничить длительные нагрузки.</v>
      </c>
      <c r="BA208" s="7" t="str">
        <f>IFERROR(__xludf.DUMMYFUNCTION("GoogleTranslate(C208, ""en"", ""sr"")"),"Особе са респираторним или срчаним обољењима, старије особе и деца треба да ограниче продужени напор.")</f>
        <v>Особе са респираторним или срчаним обољењима, старије особе и деца треба да ограниче продужени напор.</v>
      </c>
      <c r="BB208" s="7" t="str">
        <f>IFERROR(__xludf.DUMMYFUNCTION("GoogleTranslate(C208, ""en"", ""si"")"),"ශ්වසන හෝ හෘද රෝග ඇති පුද්ගලයින්, වැඩිහිටියන් සහ ළමුන් දිගු වෙහෙසීම සීමා කළ යුතුය.")</f>
        <v>ශ්වසන හෝ හෘද රෝග ඇති පුද්ගලයින්, වැඩිහිටියන් සහ ළමුන් දිගු වෙහෙසීම සීමා කළ යුතුය.</v>
      </c>
      <c r="BC208" s="7" t="str">
        <f>IFERROR(__xludf.DUMMYFUNCTION("GoogleTranslate(C208, ""en"", ""sk"")"),"Ľudia s respiračnými alebo srdcovými chorobami, starší ľudia a deti by mali obmedziť dlhodobú námahu.")</f>
        <v>Ľudia s respiračnými alebo srdcovými chorobami, starší ľudia a deti by mali obmedziť dlhodobú námahu.</v>
      </c>
      <c r="BD208" s="7" t="str">
        <f>IFERROR(__xludf.DUMMYFUNCTION("GoogleTranslate(C208, ""en"", ""sl"")"),"Ljudje z boleznimi dihal ali srca, starejši in otroci naj omejijo dolgotrajne obremenitve.")</f>
        <v>Ljudje z boleznimi dihal ali srca, starejši in otroci naj omejijo dolgotrajne obremenitve.</v>
      </c>
      <c r="BE208" s="7" t="str">
        <f>IFERROR(__xludf.DUMMYFUNCTION("GoogleTranslate(C208, ""en"", ""es"")"),"Las personas con enfermedades respiratorias o cardíacas, los ancianos y los niños deben limitar los esfuerzos prolongados.")</f>
        <v>Las personas con enfermedades respiratorias o cardíacas, los ancianos y los niños deben limitar los esfuerzos prolongados.</v>
      </c>
      <c r="BF208" s="7" t="str">
        <f>IFERROR(__xludf.DUMMYFUNCTION("GoogleTranslate(C208, ""en"", ""sw"")"),"Watu walio na magonjwa ya kupumua au ya moyo, wazee na watoto wanapaswa kupunguza bidii ya muda mrefu.")</f>
        <v>Watu walio na magonjwa ya kupumua au ya moyo, wazee na watoto wanapaswa kupunguza bidii ya muda mrefu.</v>
      </c>
      <c r="BG208" s="7" t="str">
        <f>IFERROR(__xludf.DUMMYFUNCTION("GoogleTranslate(C208, ""en"", ""sv"")"),"Personer med luftvägs- eller hjärtsjukdomar, äldre och barn bör begränsa långvarig ansträngning.")</f>
        <v>Personer med luftvägs- eller hjärtsjukdomar, äldre och barn bör begränsa långvarig ansträngning.</v>
      </c>
      <c r="BH208" s="7" t="str">
        <f>IFERROR(__xludf.DUMMYFUNCTION("GoogleTranslate(C208, ""en"", ""te"")"),"శ్వాసకోశ లేదా గుండె జబ్బులు ఉన్నవారు, వృద్ధులు మరియు పిల్లలు దీర్ఘకాలిక శ్రమను పరిమితం చేయాలి.")</f>
        <v>శ్వాసకోశ లేదా గుండె జబ్బులు ఉన్నవారు, వృద్ధులు మరియు పిల్లలు దీర్ఘకాలిక శ్రమను పరిమితం చేయాలి.</v>
      </c>
      <c r="BI208" s="7" t="str">
        <f>IFERROR(__xludf.DUMMYFUNCTION("GoogleTranslate(C208, ""en"", ""th"")"),"ผู้ที่เป็นโรคระบบทางเดินหายใจ หรือโรคหัวใจ ผู้สูงอายุ และเด็ก ควรจำกัดการออกกำลังกายเป็นเวลานานๆ")</f>
        <v>ผู้ที่เป็นโรคระบบทางเดินหายใจ หรือโรคหัวใจ ผู้สูงอายุ และเด็ก ควรจำกัดการออกกำลังกายเป็นเวลานานๆ</v>
      </c>
      <c r="BJ208" s="7" t="str">
        <f>IFERROR(__xludf.DUMMYFUNCTION("GoogleTranslate(C208, ""en"", ""tr"")"),"Solunum veya kalp hastalığı olan kişiler, yaşlılar ve çocuklar uzun süreli eforu sınırlamalıdır.")</f>
        <v>Solunum veya kalp hastalığı olan kişiler, yaşlılar ve çocuklar uzun süreli eforu sınırlamalıdır.</v>
      </c>
      <c r="BK208" s="7" t="str">
        <f>IFERROR(__xludf.DUMMYFUNCTION("GoogleTranslate(C208, ""en"", ""uk"")"),"Людям із захворюваннями органів дихання чи серця, людям похилого віку та дітям варто обмежити тривалі фізичні навантаження.")</f>
        <v>Людям із захворюваннями органів дихання чи серця, людям похилого віку та дітям варто обмежити тривалі фізичні навантаження.</v>
      </c>
      <c r="BL208" s="7" t="str">
        <f>IFERROR(__xludf.DUMMYFUNCTION("GoogleTranslate(C208, ""en"", ""zu"")"),"Abantu abanesifo sokuphefumula noma senhliziyo, abantu abadala kanye nezingane kufanele banciphise ukuzikhandla isikhathi eside.")</f>
        <v>Abantu abanesifo sokuphefumula noma senhliziyo, abantu abadala kanye nezingane kufanele banciphise ukuzikhandla isikhathi eside.</v>
      </c>
    </row>
    <row r="209">
      <c r="A209" s="5" t="str">
        <f t="shared" si="1"/>
        <v>People_with_respiratory_or_heart_disease,_the_elderly_and_children_should_avoid_prolonged_exertion;_everyone_else_should_limit_prolonged_exertion.</v>
      </c>
      <c r="B209" s="4" t="s">
        <v>257</v>
      </c>
      <c r="C209" s="4" t="s">
        <v>257</v>
      </c>
      <c r="D209" s="7" t="str">
        <f>IFERROR(__xludf.DUMMYFUNCTION("GoogleTranslate(C209, ""en"", ""es"")"),"Las personas con enfermedades respiratorias o cardíacas, los ancianos y los niños deben evitar esfuerzos prolongados; todos los demás deberían limitar el esfuerzo prolongado.")</f>
        <v>Las personas con enfermedades respiratorias o cardíacas, los ancianos y los niños deben evitar esfuerzos prolongados; todos los demás deberían limitar el esfuerzo prolongado.</v>
      </c>
      <c r="E209" s="7" t="str">
        <f>IFERROR(__xludf.DUMMYFUNCTION("GoogleTranslate(C209, ""en"", ""ar"")"),"يجب على الأشخاص الذين يعانون من أمراض الجهاز التنفسي أو القلب وكبار السن والأطفال تجنب المجهود لفترات طويلة؛ يجب على الجميع الحد من المجهود المطول.")</f>
        <v>يجب على الأشخاص الذين يعانون من أمراض الجهاز التنفسي أو القلب وكبار السن والأطفال تجنب المجهود لفترات طويلة؛ يجب على الجميع الحد من المجهود المطول.</v>
      </c>
      <c r="F209" s="7" t="str">
        <f>IFERROR(__xludf.DUMMYFUNCTION("GoogleTranslate(C209, ""en"", ""hy"")"),"Շնչառական կամ սրտի հիվանդություն ունեցող մարդիկ, տարեցները և երեխաները պետք է խուսափեն երկարատև ջանքերից. մնացած բոլորը պետք է սահմանափակեն երկարատև ջանքերը:")</f>
        <v>Շնչառական կամ սրտի հիվանդություն ունեցող մարդիկ, տարեցները և երեխաները պետք է խուսափեն երկարատև ջանքերից. մնացած բոլորը պետք է սահմանափակեն երկարատև ջանքերը:</v>
      </c>
      <c r="G209" s="7" t="str">
        <f>IFERROR(__xludf.DUMMYFUNCTION("GoogleTranslate(C209, ""en"", ""vi"")"),"Người mắc bệnh hô hấp, tim mạch, người già và trẻ em nên tránh gắng sức kéo dài; mọi người khác nên hạn chế gắng sức kéo dài.")</f>
        <v>Người mắc bệnh hô hấp, tim mạch, người già và trẻ em nên tránh gắng sức kéo dài; mọi người khác nên hạn chế gắng sức kéo dài.</v>
      </c>
      <c r="H209" s="7" t="str">
        <f>IFERROR(__xludf.DUMMYFUNCTION("GoogleTranslate(C209, ""en"", ""az"")"),"Tənəffüs və ya ürək xəstəlikləri olan insanlar, yaşlılar və uşaqlar uzun müddət gərginlikdən çəkinməlidirlər; qalan hər kəs uzunmüddətli gərginliyi məhdudlaşdırmalıdır.")</f>
        <v>Tənəffüs və ya ürək xəstəlikləri olan insanlar, yaşlılar və uşaqlar uzun müddət gərginlikdən çəkinməlidirlər; qalan hər kəs uzunmüddətli gərginliyi məhdudlaşdırmalıdır.</v>
      </c>
      <c r="I209" s="7" t="str">
        <f>IFERROR(__xludf.DUMMYFUNCTION("GoogleTranslate(C209, ""en"", ""eu"")"),"Arnas edo bihotzeko gaixotasunak dituzten pertsonek, adinekoek eta haurrek esfortzu luzea saihestu behar dute; beste guztiek esfortzu luzea mugatu beharko lukete.")</f>
        <v>Arnas edo bihotzeko gaixotasunak dituzten pertsonek, adinekoek eta haurrek esfortzu luzea saihestu behar dute; beste guztiek esfortzu luzea mugatu beharko lukete.</v>
      </c>
      <c r="J209" s="7" t="str">
        <f>IFERROR(__xludf.DUMMYFUNCTION("GoogleTranslate(C209, ""en"", ""be"")"),"Людзям з захворваннямі органаў дыхання і сэрца, пажылым людзям і дзецям варта пазбягаць працяглых нагрузак; усе астатнія павінны абмежаваць працяглыя нагрузкі.")</f>
        <v>Людзям з захворваннямі органаў дыхання і сэрца, пажылым людзям і дзецям варта пазбягаць працяглых нагрузак; усе астатнія павінны абмежаваць працяглыя нагрузкі.</v>
      </c>
      <c r="K209" s="7" t="str">
        <f>IFERROR(__xludf.DUMMYFUNCTION("GoogleTranslate(C209, ""en"", ""bn"")"),"শ্বাসযন্ত্র বা হৃদরোগে আক্রান্ত ব্যক্তিদের, বয়স্ক এবং শিশুদের দীর্ঘায়িত পরিশ্রম এড়ানো উচিত; অন্য সকলের উচিত দীর্ঘায়িত পরিশ্রম সীমিত করা।")</f>
        <v>শ্বাসযন্ত্র বা হৃদরোগে আক্রান্ত ব্যক্তিদের, বয়স্ক এবং শিশুদের দীর্ঘায়িত পরিশ্রম এড়ানো উচিত; অন্য সকলের উচিত দীর্ঘায়িত পরিশ্রম সীমিত করা।</v>
      </c>
      <c r="L209" s="7" t="str">
        <f>IFERROR(__xludf.DUMMYFUNCTION("GoogleTranslate(C209, ""en"", ""bg"")"),"Хората с респираторни или сърдечни заболявания, възрастните хора и децата трябва да избягват продължителни натоварвания; всички останали трябва да ограничат продължителното натоварване.")</f>
        <v>Хората с респираторни или сърдечни заболявания, възрастните хора и децата трябва да избягват продължителни натоварвания; всички останали трябва да ограничат продължителното натоварване.</v>
      </c>
      <c r="M209" s="7" t="str">
        <f>IFERROR(__xludf.DUMMYFUNCTION("GoogleTranslate(C209, ""en"", ""my"")"),"အသက်ရှုလမ်းကြောင်းဆိုင်ရာ သို့မဟုတ် နှလုံးရောဂါရှိသူများ၊ သက်ကြီးရွယ်အိုများနှင့် ကလေးများသည် ကြာရှည်စွာ အားထုတ်ခြင်းကို ရှောင်ကြဉ်သင့်သည်။ အခြားလူတိုင်းသည် ကြာရှည်စွာ အားထုတ်ခြင်းကို ကန့်သတ်သင့်သည်။")</f>
        <v>အသက်ရှုလမ်းကြောင်းဆိုင်ရာ သို့မဟုတ် နှလုံးရောဂါရှိသူများ၊ သက်ကြီးရွယ်အိုများနှင့် ကလေးများသည် ကြာရှည်စွာ အားထုတ်ခြင်းကို ရှောင်ကြဉ်သင့်သည်။ အခြားလူတိုင်းသည် ကြာရှည်စွာ အားထုတ်ခြင်းကို ကန့်သတ်သင့်သည်။</v>
      </c>
      <c r="N209" s="7" t="str">
        <f>IFERROR(__xludf.DUMMYFUNCTION("GoogleTranslate(C209, ""en"", ""ca"")"),"Les persones amb malalties respiratòries o cardíaques, la gent gran i els nens han d'evitar l'esforç prolongat; tots els altres haurien de limitar l'esforç prolongat.")</f>
        <v>Les persones amb malalties respiratòries o cardíaques, la gent gran i els nens han d'evitar l'esforç prolongat; tots els altres haurien de limitar l'esforç prolongat.</v>
      </c>
      <c r="O209" s="7" t="str">
        <f>IFERROR(__xludf.DUMMYFUNCTION("GoogleTranslate(C209, ""en"", ""zh-cn"")"),"患有呼吸系统或心脏病的人、老人和儿童应避免长时间劳累；其他人都应该限制长时间的运动。")</f>
        <v>患有呼吸系统或心脏病的人、老人和儿童应避免长时间劳累；其他人都应该限制长时间的运动。</v>
      </c>
      <c r="P209" s="7" t="str">
        <f>IFERROR(__xludf.DUMMYFUNCTION("GoogleTranslate(C209, ""en"", ""zh-TW"")"),"患有呼吸系統或心臟病的人、老人和兒童應避免長時間勞累；其他人都應該限制長時間的運動。")</f>
        <v>患有呼吸系統或心臟病的人、老人和兒童應避免長時間勞累；其他人都應該限制長時間的運動。</v>
      </c>
      <c r="Q209" s="7" t="str">
        <f>IFERROR(__xludf.DUMMYFUNCTION("GoogleTranslate(C209, ""en"", ""hr"")"),"Osobe s dišnim ili srčanim oboljenjima, starije osobe i djeca trebaju izbjegavati dugotrajne napore; svi ostali trebali bi ograničiti dugotrajne napore.")</f>
        <v>Osobe s dišnim ili srčanim oboljenjima, starije osobe i djeca trebaju izbjegavati dugotrajne napore; svi ostali trebali bi ograničiti dugotrajne napore.</v>
      </c>
      <c r="R209" s="7" t="str">
        <f>IFERROR(__xludf.DUMMYFUNCTION("GoogleTranslate(C209, ""en"", ""cs"")"),"Lidé s respiračním nebo srdečním onemocněním, starší lidé a děti by se měli vyhýbat dlouhodobé námaze; všichni ostatní by měli omezit dlouhodobou námahu.")</f>
        <v>Lidé s respiračním nebo srdečním onemocněním, starší lidé a děti by se měli vyhýbat dlouhodobé námaze; všichni ostatní by měli omezit dlouhodobou námahu.</v>
      </c>
      <c r="S209" s="7" t="str">
        <f>IFERROR(__xludf.DUMMYFUNCTION("GoogleTranslate(C209, ""en"", ""da"")"),"Mennesker med luftvejs- eller hjertesygdomme, ældre og børn bør undgå langvarig anstrengelse; alle andre bør begrænse langvarig anstrengelse.")</f>
        <v>Mennesker med luftvejs- eller hjertesygdomme, ældre og børn bør undgå langvarig anstrengelse; alle andre bør begrænse langvarig anstrengelse.</v>
      </c>
      <c r="T209" s="7" t="str">
        <f>IFERROR(__xludf.DUMMYFUNCTION("GoogleTranslate(C209, ""en"", ""nl"")"),"Mensen met ademhalings- of hartaandoeningen, ouderen en kinderen moeten langdurige inspanning vermijden; alle anderen moeten langdurige inspanningen beperken.")</f>
        <v>Mensen met ademhalings- of hartaandoeningen, ouderen en kinderen moeten langdurige inspanning vermijden; alle anderen moeten langdurige inspanningen beperken.</v>
      </c>
      <c r="U209" s="7" t="str">
        <f>IFERROR(__xludf.DUMMYFUNCTION("GoogleTranslate(C209, ""en"", ""et"")"),"Hingamisteede või südamehaigustega inimesed, eakad ja lapsed peaksid vältima pikaajalist pingutust; kõik teised peaksid piirama pikaajalist pingutust.")</f>
        <v>Hingamisteede või südamehaigustega inimesed, eakad ja lapsed peaksid vältima pikaajalist pingutust; kõik teised peaksid piirama pikaajalist pingutust.</v>
      </c>
      <c r="V209" s="5" t="str">
        <f t="shared" si="3"/>
        <v>People with respiratory or heart disease, the elderly and children should avoid prolonged exertion; everyone else should limit prolonged exertion.</v>
      </c>
      <c r="W209" s="7" t="str">
        <f>IFERROR(__xludf.DUMMYFUNCTION("GoogleTranslate(C209, ""en"", ""fi"")"),"Hengitystie- tai sydänsairauksia sairastavien, vanhusten ja lasten tulee välttää pitkäaikaista rasitusta; kaikkien muiden pitäisi rajoittaa pitkäkestoista rasitusta.")</f>
        <v>Hengitystie- tai sydänsairauksia sairastavien, vanhusten ja lasten tulee välttää pitkäaikaista rasitusta; kaikkien muiden pitäisi rajoittaa pitkäkestoista rasitusta.</v>
      </c>
      <c r="X209" s="7" t="str">
        <f>IFERROR(__xludf.DUMMYFUNCTION("GoogleTranslate(C209, ""en"", ""fr"")"),"Les personnes souffrant de maladies respiratoires ou cardiaques, les personnes âgées et les enfants doivent éviter les efforts prolongés ; tout le monde devrait limiter les efforts prolongés.")</f>
        <v>Les personnes souffrant de maladies respiratoires ou cardiaques, les personnes âgées et les enfants doivent éviter les efforts prolongés ; tout le monde devrait limiter les efforts prolongés.</v>
      </c>
      <c r="Y209" s="7" t="str">
        <f>IFERROR(__xludf.DUMMYFUNCTION("GoogleTranslate(C209, ""en"", ""de"")"),"Menschen mit Atemwegs- oder Herzerkrankungen, ältere Menschen und Kinder sollten längere Anstrengungen vermeiden; Alle anderen sollten längere Anstrengungen begrenzen.")</f>
        <v>Menschen mit Atemwegs- oder Herzerkrankungen, ältere Menschen und Kinder sollten längere Anstrengungen vermeiden; Alle anderen sollten längere Anstrengungen begrenzen.</v>
      </c>
      <c r="Z209" s="7" t="str">
        <f>IFERROR(__xludf.DUMMYFUNCTION("GoogleTranslate(C209, ""en"", ""el"")"),"Άτομα με αναπνευστικές ή καρδιακές παθήσεις, ηλικιωμένοι και παιδιά πρέπει να αποφεύγουν την παρατεταμένη προσπάθεια. Όλοι οι άλλοι θα πρέπει να περιορίσουν την παρατεταμένη προσπάθεια.")</f>
        <v>Άτομα με αναπνευστικές ή καρδιακές παθήσεις, ηλικιωμένοι και παιδιά πρέπει να αποφεύγουν την παρατεταμένη προσπάθεια. Όλοι οι άλλοι θα πρέπει να περιορίσουν την παρατεταμένη προσπάθεια.</v>
      </c>
      <c r="AA209" s="7" t="str">
        <f>IFERROR(__xludf.DUMMYFUNCTION("GoogleTranslate(C209, ""en"", ""iw"")"),"אנשים עם מחלות נשימה או לב, קשישים וילדים צריכים להימנע ממאמץ ממושך; כל השאר צריכים להגביל מאמץ ממושך.")</f>
        <v>אנשים עם מחלות נשימה או לב, קשישים וילדים צריכים להימנע ממאמץ ממושך; כל השאר צריכים להגביל מאמץ ממושך.</v>
      </c>
      <c r="AB209" s="7" t="str">
        <f>IFERROR(__xludf.DUMMYFUNCTION("GoogleTranslate(C209, ""en"", ""hi"")"),"श्वसन या हृदय रोग से पीड़ित लोगों, बुजुर्गों और बच्चों को लंबे समय तक परिश्रम करने से बचना चाहिए; बाकी सभी को लंबे समय तक परिश्रम सीमित करना चाहिए।")</f>
        <v>श्वसन या हृदय रोग से पीड़ित लोगों, बुजुर्गों और बच्चों को लंबे समय तक परिश्रम करने से बचना चाहिए; बाकी सभी को लंबे समय तक परिश्रम सीमित करना चाहिए।</v>
      </c>
      <c r="AC209" s="7" t="str">
        <f>IFERROR(__xludf.DUMMYFUNCTION("GoogleTranslate(C209, ""en"", ""hu"")"),"Légúti vagy szívbetegségben szenvedők, idősek és gyermekek kerüljék a hosszan tartó erőfeszítést; mindenki másnak korlátoznia kell a hosszan tartó erőfeszítést.")</f>
        <v>Légúti vagy szívbetegségben szenvedők, idősek és gyermekek kerüljék a hosszan tartó erőfeszítést; mindenki másnak korlátoznia kell a hosszan tartó erőfeszítést.</v>
      </c>
      <c r="AD209" s="7" t="str">
        <f>IFERROR(__xludf.DUMMYFUNCTION("GoogleTranslate(C209, ""en"", ""is"")"),"Fólk með öndunarfæra- eða hjartasjúkdóma, aldraðir og börn ættu að forðast langvarandi áreynslu; allir aðrir ættu að takmarka langvarandi áreynslu.")</f>
        <v>Fólk með öndunarfæra- eða hjartasjúkdóma, aldraðir og börn ættu að forðast langvarandi áreynslu; allir aðrir ættu að takmarka langvarandi áreynslu.</v>
      </c>
      <c r="AE209" s="7" t="str">
        <f>IFERROR(__xludf.DUMMYFUNCTION("GoogleTranslate(C209, ""en"", ""id"")"),"Orang dengan penyakit pernapasan atau jantung, orang tua dan anak-anak harus menghindari aktivitas yang terlalu lama; semua orang harus membatasi aktivitas yang berkepanjangan.")</f>
        <v>Orang dengan penyakit pernapasan atau jantung, orang tua dan anak-anak harus menghindari aktivitas yang terlalu lama; semua orang harus membatasi aktivitas yang berkepanjangan.</v>
      </c>
      <c r="AF209" s="7" t="str">
        <f>IFERROR(__xludf.DUMMYFUNCTION("GoogleTranslate(C209, ""en"", ""in"")"),"Orang dengan penyakit pernapasan atau jantung, orang tua dan anak-anak harus menghindari aktivitas yang terlalu lama; semua orang harus membatasi aktivitas yang berkepanjangan.")</f>
        <v>Orang dengan penyakit pernapasan atau jantung, orang tua dan anak-anak harus menghindari aktivitas yang terlalu lama; semua orang harus membatasi aktivitas yang berkepanjangan.</v>
      </c>
      <c r="AG209" s="7" t="str">
        <f>IFERROR(__xludf.DUMMYFUNCTION("GoogleTranslate(C209, ""en"", ""it"")"),"Le persone con malattie respiratorie o cardiache, gli anziani e i bambini dovrebbero evitare sforzi prolungati; tutti gli altri dovrebbero limitare lo sforzo prolungato.")</f>
        <v>Le persone con malattie respiratorie o cardiache, gli anziani e i bambini dovrebbero evitare sforzi prolungati; tutti gli altri dovrebbero limitare lo sforzo prolungato.</v>
      </c>
      <c r="AH209" s="7" t="str">
        <f>IFERROR(__xludf.DUMMYFUNCTION("GoogleTranslate(C209, ""en"", ""ja"")"),"呼吸器疾患や心臓疾患のある人、高齢者、子供は長時間の運動を避けるべきです。他の人は長時間の運動を制限する必要があります。")</f>
        <v>呼吸器疾患や心臓疾患のある人、高齢者、子供は長時間の運動を避けるべきです。他の人は長時間の運動を制限する必要があります。</v>
      </c>
      <c r="AI209" s="7" t="str">
        <f>IFERROR(__xludf.DUMMYFUNCTION("GoogleTranslate(C209, ""en"", ""kn"")"),"ಉಸಿರಾಟ ಅಥವಾ ಹೃದ್ರೋಗ ಹೊಂದಿರುವ ಜನರು, ವೃದ್ಧರು ಮತ್ತು ಮಕ್ಕಳು ದೀರ್ಘಕಾಲದ ಪರಿಶ್ರಮವನ್ನು ತಪ್ಪಿಸಬೇಕು; ಉಳಿದವರೆಲ್ಲರೂ ದೀರ್ಘಕಾಲದ ಪರಿಶ್ರಮವನ್ನು ಮಿತಿಗೊಳಿಸಬೇಕು.")</f>
        <v>ಉಸಿರಾಟ ಅಥವಾ ಹೃದ್ರೋಗ ಹೊಂದಿರುವ ಜನರು, ವೃದ್ಧರು ಮತ್ತು ಮಕ್ಕಳು ದೀರ್ಘಕಾಲದ ಪರಿಶ್ರಮವನ್ನು ತಪ್ಪಿಸಬೇಕು; ಉಳಿದವರೆಲ್ಲರೂ ದೀರ್ಘಕಾಲದ ಪರಿಶ್ರಮವನ್ನು ಮಿತಿಗೊಳಿಸಬೇಕು.</v>
      </c>
      <c r="AJ209" s="7" t="str">
        <f>IFERROR(__xludf.DUMMYFUNCTION("GoogleTranslate(C209, ""en"", ""km"")"),"អ្នកដែលមានជំងឺផ្លូវដង្ហើម ឬបេះដូង មនុស្សចាស់ និងកុមារគួរជៀសវាងការធ្វើលំហាត់ប្រាណយូរ។ អ្នកផ្សេងទៀតគួរតែកំណត់ការប្រឹងប្រែងយូរ។")</f>
        <v>អ្នកដែលមានជំងឺផ្លូវដង្ហើម ឬបេះដូង មនុស្សចាស់ និងកុមារគួរជៀសវាងការធ្វើលំហាត់ប្រាណយូរ។ អ្នកផ្សេងទៀតគួរតែកំណត់ការប្រឹងប្រែងយូរ។</v>
      </c>
      <c r="AK209" s="7" t="str">
        <f>IFERROR(__xludf.DUMMYFUNCTION("GoogleTranslate(C209, ""en"", ""ko"")"),"호흡기 질환이나 심장 질환이 있는 사람, 노인, 어린이는 장시간의 운동을 피해야 합니다. 다른 모든 사람들은 장기간의 활동을 제한해야 합니다.")</f>
        <v>호흡기 질환이나 심장 질환이 있는 사람, 노인, 어린이는 장시간의 운동을 피해야 합니다. 다른 모든 사람들은 장기간의 활동을 제한해야 합니다.</v>
      </c>
      <c r="AL209" s="7" t="str">
        <f>IFERROR(__xludf.DUMMYFUNCTION("GoogleTranslate(C209, ""en"", ""lo"")"),"ຜູ້ທີ່ເປັນພະຍາດລະບົບຫາຍໃຈ ຫຼືຫົວໃຈ, ຜູ້ສູງອາຍຸ ແລະ ເດັກນ້ອຍຄວນຫຼີກລ້ຽງການອອກແຮງງານເປັນເວລາດົນ; ທຸກໆຄົນຄວນຈໍາກັດການອອກແຮງງານທີ່ຍາວນານ.")</f>
        <v>ຜູ້ທີ່ເປັນພະຍາດລະບົບຫາຍໃຈ ຫຼືຫົວໃຈ, ຜູ້ສູງອາຍຸ ແລະ ເດັກນ້ອຍຄວນຫຼີກລ້ຽງການອອກແຮງງານເປັນເວລາດົນ; ທຸກໆຄົນຄວນຈໍາກັດການອອກແຮງງານທີ່ຍາວນານ.</v>
      </c>
      <c r="AM209" s="7" t="str">
        <f>IFERROR(__xludf.DUMMYFUNCTION("GoogleTranslate(C209, ""en"", ""lv"")"),"Cilvēkiem ar elpceļu vai sirds slimībām, vecāka gadagājuma cilvēkiem un bērniem jāizvairās no ilgstošas ​​​​slodzes; visiem pārējiem jāierobežo ilgstoša slodze.")</f>
        <v>Cilvēkiem ar elpceļu vai sirds slimībām, vecāka gadagājuma cilvēkiem un bērniem jāizvairās no ilgstošas ​​​​slodzes; visiem pārējiem jāierobežo ilgstoša slodze.</v>
      </c>
      <c r="AN209" s="7" t="str">
        <f>IFERROR(__xludf.DUMMYFUNCTION("GoogleTranslate(C209, ""en"", ""lt"")"),"Žmonės, sergantys kvėpavimo takų ar širdies ligomis, pagyvenę žmonės ir vaikai, turėtų vengti ilgo fizinio krūvio; visi kiti turėtų apriboti ilgalaikį krūvį.")</f>
        <v>Žmonės, sergantys kvėpavimo takų ar širdies ligomis, pagyvenę žmonės ir vaikai, turėtų vengti ilgo fizinio krūvio; visi kiti turėtų apriboti ilgalaikį krūvį.</v>
      </c>
      <c r="AO209" s="7" t="str">
        <f>IFERROR(__xludf.DUMMYFUNCTION("GoogleTranslate(C209, ""en"", ""mk"")"),"Луѓето со респираторни или срцеви заболувања, постарите лица и децата треба да избегнуваат продолжен напор; сите останати треба да го ограничат продолжениот напор.")</f>
        <v>Луѓето со респираторни или срцеви заболувања, постарите лица и децата треба да избегнуваат продолжен напор; сите останати треба да го ограничат продолжениот напор.</v>
      </c>
      <c r="AP209" s="7" t="str">
        <f>IFERROR(__xludf.DUMMYFUNCTION("GoogleTranslate(C209, ""en"", ""ms"")"),"Orang yang mempunyai penyakit pernafasan atau jantung, orang tua dan kanak-kanak harus mengelak daripada melakukan aktiviti yang berpanjangan; orang lain harus mengehadkan usaha yang berpanjangan.")</f>
        <v>Orang yang mempunyai penyakit pernafasan atau jantung, orang tua dan kanak-kanak harus mengelak daripada melakukan aktiviti yang berpanjangan; orang lain harus mengehadkan usaha yang berpanjangan.</v>
      </c>
      <c r="AQ209" s="7" t="str">
        <f>IFERROR(__xludf.DUMMYFUNCTION("GoogleTranslate(C209, ""en"", ""ml"")"),"ശ്വാസകോശ സംബന്ധമായ അസുഖങ്ങളോ ഹൃദ്രോഗങ്ങളോ ഉള്ളവർ, പ്രായമായവരും കുട്ടികളും ദീർഘനേരം അദ്ധ്വാനിക്കുന്നത് ഒഴിവാക്കണം; മറ്റെല്ലാവരും നീണ്ട അദ്ധ്വാനം പരിമിതപ്പെടുത്തണം.")</f>
        <v>ശ്വാസകോശ സംബന്ധമായ അസുഖങ്ങളോ ഹൃദ്രോഗങ്ങളോ ഉള്ളവർ, പ്രായമായവരും കുട്ടികളും ദീർഘനേരം അദ്ധ്വാനിക്കുന്നത് ഒഴിവാക്കണം; മറ്റെല്ലാവരും നീണ്ട അദ്ധ്വാനം പരിമിതപ്പെടുത്തണം.</v>
      </c>
      <c r="AR209" s="7" t="str">
        <f>IFERROR(__xludf.DUMMYFUNCTION("GoogleTranslate(C209, ""en"", ""mr"")"),"श्वसन किंवा हृदयविकार असलेले लोक, वृद्ध आणि मुलांनी दीर्घकाळापर्यंत श्रम टाळावे; इतर सर्वांनी दीर्घकाळापर्यंत श्रम मर्यादित केले पाहिजेत.")</f>
        <v>श्वसन किंवा हृदयविकार असलेले लोक, वृद्ध आणि मुलांनी दीर्घकाळापर्यंत श्रम टाळावे; इतर सर्वांनी दीर्घकाळापर्यंत श्रम मर्यादित केले पाहिजेत.</v>
      </c>
      <c r="AS209" s="7" t="str">
        <f>IFERROR(__xludf.DUMMYFUNCTION("GoogleTranslate(C209, ""en"", ""mn"")"),"Амьсгалын замын болон зүрхний өвчтэй хүмүүс, өндөр настан, хүүхдүүд удаан хугацаагаар ачаалал өгөхөөс зайлсхийх; бусад бүх хүмүүс удаан хугацааны ачааллыг хязгаарлах ёстой.")</f>
        <v>Амьсгалын замын болон зүрхний өвчтэй хүмүүс, өндөр настан, хүүхдүүд удаан хугацаагаар ачаалал өгөхөөс зайлсхийх; бусад бүх хүмүүс удаан хугацааны ачааллыг хязгаарлах ёстой.</v>
      </c>
      <c r="AT209" s="7" t="str">
        <f>IFERROR(__xludf.DUMMYFUNCTION("GoogleTranslate(C209, ""en"", ""ne"")"),"श्वासप्रश्वास वा हृदय रोग भएका व्यक्तिहरू, वृद्धहरू र बालबालिकाहरूले लामो समयसम्म परिश्रम नगर्नु पर्छ; अरु सबैले लामो परिश्रमलाई सीमित गर्नुपर्छ।")</f>
        <v>श्वासप्रश्वास वा हृदय रोग भएका व्यक्तिहरू, वृद्धहरू र बालबालिकाहरूले लामो समयसम्म परिश्रम नगर्नु पर्छ; अरु सबैले लामो परिश्रमलाई सीमित गर्नुपर्छ।</v>
      </c>
      <c r="AU209" s="7" t="str">
        <f>IFERROR(__xludf.DUMMYFUNCTION("GoogleTranslate(C209, ""en"", ""nb"")"),"Personer med luftveis- eller hjertesykdom, eldre og barn bør unngå langvarig anstrengelse; alle andre bør begrense langvarig anstrengelse.")</f>
        <v>Personer med luftveis- eller hjertesykdom, eldre og barn bør unngå langvarig anstrengelse; alle andre bør begrense langvarig anstrengelse.</v>
      </c>
      <c r="AV209" s="7" t="str">
        <f>IFERROR(__xludf.DUMMYFUNCTION("GoogleTranslate(C209, ""en"", ""fa"")"),"افراد مبتلا به بیماری های تنفسی یا قلبی، افراد مسن و کودکان باید از فعالیت طولانی مدت خودداری کنند. هر کس دیگری باید تلاش طولانی مدت را محدود کند.")</f>
        <v>افراد مبتلا به بیماری های تنفسی یا قلبی، افراد مسن و کودکان باید از فعالیت طولانی مدت خودداری کنند. هر کس دیگری باید تلاش طولانی مدت را محدود کند.</v>
      </c>
      <c r="AW209" s="7" t="str">
        <f>IFERROR(__xludf.DUMMYFUNCTION("GoogleTranslate(C209, ""en"", ""pl"")"),"Osoby z chorobami układu oddechowego lub serca, osoby starsze i dzieci powinny unikać długotrwałego wysiłku; wszyscy inni powinni ograniczyć długotrwały wysiłek.")</f>
        <v>Osoby z chorobami układu oddechowego lub serca, osoby starsze i dzieci powinny unikać długotrwałego wysiłku; wszyscy inni powinni ograniczyć długotrwały wysiłek.</v>
      </c>
      <c r="AX209" s="7" t="str">
        <f>IFERROR(__xludf.DUMMYFUNCTION("GoogleTranslate(C209, ""en"", ""pt"")"),"Pessoas com doenças respiratórias ou cardíacas, idosos e crianças devem evitar esforços prolongados; todos os outros devem limitar o esforço prolongado.")</f>
        <v>Pessoas com doenças respiratórias ou cardíacas, idosos e crianças devem evitar esforços prolongados; todos os outros devem limitar o esforço prolongado.</v>
      </c>
      <c r="AY209" s="7" t="str">
        <f>IFERROR(__xludf.DUMMYFUNCTION("GoogleTranslate(C209, ""en"", ""ro"")"),"Persoanele cu boli respiratorii sau cardiace, vârstnicii și copiii ar trebui să evite efortul prelungit; toți ceilalți ar trebui să limiteze efortul prelungit.")</f>
        <v>Persoanele cu boli respiratorii sau cardiace, vârstnicii și copiii ar trebui să evite efortul prelungit; toți ceilalți ar trebui să limiteze efortul prelungit.</v>
      </c>
      <c r="AZ209" s="7" t="str">
        <f>IFERROR(__xludf.DUMMYFUNCTION("GoogleTranslate(C209, ""en"", ""ru"")"),"Людям с респираторными или сердечными заболеваниями, пожилым людям и детям следует избегать длительных нагрузок; всем остальным следует ограничить длительные нагрузки.")</f>
        <v>Людям с респираторными или сердечными заболеваниями, пожилым людям и детям следует избегать длительных нагрузок; всем остальным следует ограничить длительные нагрузки.</v>
      </c>
      <c r="BA209" s="7" t="str">
        <f>IFERROR(__xludf.DUMMYFUNCTION("GoogleTranslate(C209, ""en"", ""sr"")"),"Особе са респираторним или срчаним обољењима, старије особе и деца треба да избегавају продужени напор; сви остали треба да ограниче продужени напор.")</f>
        <v>Особе са респираторним или срчаним обољењима, старије особе и деца треба да избегавају продужени напор; сви остали треба да ограниче продужени напор.</v>
      </c>
      <c r="BB209" s="7" t="str">
        <f>IFERROR(__xludf.DUMMYFUNCTION("GoogleTranslate(C209, ""en"", ""si"")"),"ශ්වසන හෝ හෘද රෝග ඇති පුද්ගලයින්, වැඩිහිටියන් සහ ළමුන් දිගු වෙහෙසකින් වැළකී සිටිය යුතුය; අනෙක් සියල්ලන්ම දිගු වෙහෙස සීමා කළ යුතුය.")</f>
        <v>ශ්වසන හෝ හෘද රෝග ඇති පුද්ගලයින්, වැඩිහිටියන් සහ ළමුන් දිගු වෙහෙසකින් වැළකී සිටිය යුතුය; අනෙක් සියල්ලන්ම දිගු වෙහෙස සීමා කළ යුතුය.</v>
      </c>
      <c r="BC209" s="7" t="str">
        <f>IFERROR(__xludf.DUMMYFUNCTION("GoogleTranslate(C209, ""en"", ""sk"")"),"Ľudia s respiračným alebo srdcovým ochorením, starší ľudia a deti by sa mali vyhýbať dlhodobej námahe; všetci ostatní by mali obmedziť dlhotrvajúcu námahu.")</f>
        <v>Ľudia s respiračným alebo srdcovým ochorením, starší ľudia a deti by sa mali vyhýbať dlhodobej námahe; všetci ostatní by mali obmedziť dlhotrvajúcu námahu.</v>
      </c>
      <c r="BD209" s="7" t="str">
        <f>IFERROR(__xludf.DUMMYFUNCTION("GoogleTranslate(C209, ""en"", ""sl"")"),"Bolniki dihal ali srca, starejši in otroci naj se izogibajo dolgotrajnim naporom; vsi drugi bi morali omejiti dolgotrajne napore.")</f>
        <v>Bolniki dihal ali srca, starejši in otroci naj se izogibajo dolgotrajnim naporom; vsi drugi bi morali omejiti dolgotrajne napore.</v>
      </c>
      <c r="BE209" s="7" t="str">
        <f>IFERROR(__xludf.DUMMYFUNCTION("GoogleTranslate(C209, ""en"", ""es"")"),"Las personas con enfermedades respiratorias o cardíacas, los ancianos y los niños deben evitar esfuerzos prolongados; todos los demás deberían limitar el esfuerzo prolongado.")</f>
        <v>Las personas con enfermedades respiratorias o cardíacas, los ancianos y los niños deben evitar esfuerzos prolongados; todos los demás deberían limitar el esfuerzo prolongado.</v>
      </c>
      <c r="BF209" s="7" t="str">
        <f>IFERROR(__xludf.DUMMYFUNCTION("GoogleTranslate(C209, ""en"", ""sw"")"),"Watu wenye magonjwa ya kupumua au ya moyo, wazee na watoto wanapaswa kuepuka jitihada za muda mrefu; kila mtu anapaswa kupunguza bidii ya muda mrefu.")</f>
        <v>Watu wenye magonjwa ya kupumua au ya moyo, wazee na watoto wanapaswa kuepuka jitihada za muda mrefu; kila mtu anapaswa kupunguza bidii ya muda mrefu.</v>
      </c>
      <c r="BG209" s="7" t="str">
        <f>IFERROR(__xludf.DUMMYFUNCTION("GoogleTranslate(C209, ""en"", ""sv"")"),"Personer med andnings- eller hjärtsjukdomar, äldre och barn bör undvika långvarig ansträngning; alla andra bör begränsa långvarig ansträngning.")</f>
        <v>Personer med andnings- eller hjärtsjukdomar, äldre och barn bör undvika långvarig ansträngning; alla andra bör begränsa långvarig ansträngning.</v>
      </c>
      <c r="BH209" s="7" t="str">
        <f>IFERROR(__xludf.DUMMYFUNCTION("GoogleTranslate(C209, ""en"", ""te"")"),"శ్వాసకోశ లేదా గుండె జబ్బులు ఉన్న వ్యక్తులు, వృద్ధులు మరియు పిల్లలు సుదీర్ఘ శ్రమకు దూరంగా ఉండాలి; ప్రతి ఒక్కరూ సుదీర్ఘ శ్రమను పరిమితం చేయాలి.")</f>
        <v>శ్వాసకోశ లేదా గుండె జబ్బులు ఉన్న వ్యక్తులు, వృద్ధులు మరియు పిల్లలు సుదీర్ఘ శ్రమకు దూరంగా ఉండాలి; ప్రతి ఒక్కరూ సుదీర్ఘ శ్రమను పరిమితం చేయాలి.</v>
      </c>
      <c r="BI209" s="7" t="str">
        <f>IFERROR(__xludf.DUMMYFUNCTION("GoogleTranslate(C209, ""en"", ""th"")"),"ผู้ที่เป็นโรคระบบทางเดินหายใจหรือโรคหัวใจ ผู้สูงอายุ และเด็ก ควรหลีกเลี่ยงการออกแรงเป็นเวลานาน คนอื่นๆ ควรจำกัดการออกแรงที่ยืดเยื้อ")</f>
        <v>ผู้ที่เป็นโรคระบบทางเดินหายใจหรือโรคหัวใจ ผู้สูงอายุ และเด็ก ควรหลีกเลี่ยงการออกแรงเป็นเวลานาน คนอื่นๆ ควรจำกัดการออกแรงที่ยืดเยื้อ</v>
      </c>
      <c r="BJ209" s="7" t="str">
        <f>IFERROR(__xludf.DUMMYFUNCTION("GoogleTranslate(C209, ""en"", ""tr"")"),"Solunum veya kalp hastalığı olan kişiler, yaşlılar ve çocuklar uzun süreli efordan kaçınmalıdır; herkes uzun süreli eforu sınırlamalıdır.")</f>
        <v>Solunum veya kalp hastalığı olan kişiler, yaşlılar ve çocuklar uzun süreli efordan kaçınmalıdır; herkes uzun süreli eforu sınırlamalıdır.</v>
      </c>
      <c r="BK209" s="7" t="str">
        <f>IFERROR(__xludf.DUMMYFUNCTION("GoogleTranslate(C209, ""en"", ""uk"")"),"Людям із захворюваннями органів дихання чи серця, людям похилого віку та дітям слід уникати тривалих навантажень; всім іншим варто обмежити тривалі навантаження.")</f>
        <v>Людям із захворюваннями органів дихання чи серця, людям похилого віку та дітям слід уникати тривалих навантажень; всім іншим варто обмежити тривалі навантаження.</v>
      </c>
      <c r="BL209" s="7" t="str">
        <f>IFERROR(__xludf.DUMMYFUNCTION("GoogleTranslate(C209, ""en"", ""zu"")"),"Abantu abanesifo sokuphefumula noma senhliziyo, asebekhulile kanye nezingane kufanele bagweme ukuzikhandla isikhathi eside; wonke umuntu kufanele anciphise ukuzikhandla okude.")</f>
        <v>Abantu abanesifo sokuphefumula noma senhliziyo, asebekhulile kanye nezingane kufanele bagweme ukuzikhandla isikhathi eside; wonke umuntu kufanele anciphise ukuzikhandla okude.</v>
      </c>
    </row>
    <row r="210">
      <c r="A210" s="5" t="str">
        <f t="shared" si="1"/>
        <v>People_with_respiratory_or_heart_disease,_the_elderly_and_children_should_avoid_any_outdoor_activity;_everyone_else_should_avoid_prolonged_exertion.</v>
      </c>
      <c r="B210" s="4" t="s">
        <v>258</v>
      </c>
      <c r="C210" s="4" t="s">
        <v>258</v>
      </c>
      <c r="D210" s="7" t="str">
        <f>IFERROR(__xludf.DUMMYFUNCTION("GoogleTranslate(C210, ""en"", ""es"")"),"Las personas con enfermedades respiratorias o cardíacas, los ancianos y los niños deben evitar cualquier actividad al aire libre; todos los demás deben evitar el esfuerzo prolongado.")</f>
        <v>Las personas con enfermedades respiratorias o cardíacas, los ancianos y los niños deben evitar cualquier actividad al aire libre; todos los demás deben evitar el esfuerzo prolongado.</v>
      </c>
      <c r="E210" s="7" t="str">
        <f>IFERROR(__xludf.DUMMYFUNCTION("GoogleTranslate(C210, ""en"", ""ar"")"),"يجب على الأشخاص الذين يعانون من أمراض الجهاز التنفسي أو القلب وكبار السن والأطفال تجنب أي نشاط في الهواء الطلق؛ يجب على الجميع تجنب المجهود لفترات طويلة.")</f>
        <v>يجب على الأشخاص الذين يعانون من أمراض الجهاز التنفسي أو القلب وكبار السن والأطفال تجنب أي نشاط في الهواء الطلق؛ يجب على الجميع تجنب المجهود لفترات طويلة.</v>
      </c>
      <c r="F210" s="7" t="str">
        <f>IFERROR(__xludf.DUMMYFUNCTION("GoogleTranslate(C210, ""en"", ""hy"")"),"Շնչառական կամ սրտի հիվանդություններ ունեցող մարդիկ, տարեցները և երեխաները պետք է խուսափեն ցանկացած բացօթյա գործունեությունից. մնացած բոլորը պետք է խուսափեն երկարատև ջանքերից:")</f>
        <v>Շնչառական կամ սրտի հիվանդություններ ունեցող մարդիկ, տարեցները և երեխաները պետք է խուսափեն ցանկացած բացօթյա գործունեությունից. մնացած բոլորը պետք է խուսափեն երկարատև ջանքերից:</v>
      </c>
      <c r="G210" s="7" t="str">
        <f>IFERROR(__xludf.DUMMYFUNCTION("GoogleTranslate(C210, ""en"", ""vi"")"),"Những người mắc bệnh hô hấp hoặc tim mạch, người già và trẻ em nên tránh mọi hoạt động ngoài trời; mọi người khác nên tránh gắng sức kéo dài.")</f>
        <v>Những người mắc bệnh hô hấp hoặc tim mạch, người già và trẻ em nên tránh mọi hoạt động ngoài trời; mọi người khác nên tránh gắng sức kéo dài.</v>
      </c>
      <c r="H210" s="7" t="str">
        <f>IFERROR(__xludf.DUMMYFUNCTION("GoogleTranslate(C210, ""en"", ""az"")"),"Tənəffüs və ürək xəstəlikləri olan insanlar, yaşlılar və uşaqlar hər hansı açıq fəaliyyətdən çəkinməlidirlər; qalan hər kəs uzunmüddətli gərginlikdən çəkinməlidir.")</f>
        <v>Tənəffüs və ürək xəstəlikləri olan insanlar, yaşlılar və uşaqlar hər hansı açıq fəaliyyətdən çəkinməlidirlər; qalan hər kəs uzunmüddətli gərginlikdən çəkinməlidir.</v>
      </c>
      <c r="I210" s="7" t="str">
        <f>IFERROR(__xludf.DUMMYFUNCTION("GoogleTranslate(C210, ""en"", ""eu"")"),"Arnas edo bihotzeko gaixotasunak dituzten pertsonek, adinekoek eta haurrek kanpoko edozein jarduera saihestu behar dute; beste guztiek saihestu beharko lukete esfortzu luzea egitea.")</f>
        <v>Arnas edo bihotzeko gaixotasunak dituzten pertsonek, adinekoek eta haurrek kanpoko edozein jarduera saihestu behar dute; beste guztiek saihestu beharko lukete esfortzu luzea egitea.</v>
      </c>
      <c r="J210" s="7" t="str">
        <f>IFERROR(__xludf.DUMMYFUNCTION("GoogleTranslate(C210, ""en"", ""be"")"),"Людзям з рэспіраторнымі або сардэчнымі захворваннямі, пажылым людзям і дзецям варта пазбягаць любых заняткаў на свежым паветры; усе астатнія павінны пазбягаць працяглых нагрузак.")</f>
        <v>Людзям з рэспіраторнымі або сардэчнымі захворваннямі, пажылым людзям і дзецям варта пазбягаць любых заняткаў на свежым паветры; усе астатнія павінны пазбягаць працяглых нагрузак.</v>
      </c>
      <c r="K210" s="7" t="str">
        <f>IFERROR(__xludf.DUMMYFUNCTION("GoogleTranslate(C210, ""en"", ""bn"")"),"শ্বাসযন্ত্রের বা হৃদরোগে আক্রান্ত ব্যক্তিদের, বয়স্ক এবং শিশুদের যেকোন বাইরের কার্যকলাপ এড়ানো উচিত; বাকি সকলেরই দীর্ঘ পরিশ্রম এড়ানো উচিত।")</f>
        <v>শ্বাসযন্ত্রের বা হৃদরোগে আক্রান্ত ব্যক্তিদের, বয়স্ক এবং শিশুদের যেকোন বাইরের কার্যকলাপ এড়ানো উচিত; বাকি সকলেরই দীর্ঘ পরিশ্রম এড়ানো উচিত।</v>
      </c>
      <c r="L210" s="7" t="str">
        <f>IFERROR(__xludf.DUMMYFUNCTION("GoogleTranslate(C210, ""en"", ""bg"")"),"Хората с респираторни или сърдечни заболявания, възрастните хора и децата трябва да избягват всякаква дейност на открито; всички останали трябва да избягват продължително натоварване.")</f>
        <v>Хората с респираторни или сърдечни заболявания, възрастните хора и децата трябва да избягват всякаква дейност на открито; всички останали трябва да избягват продължително натоварване.</v>
      </c>
      <c r="M210" s="7" t="str">
        <f>IFERROR(__xludf.DUMMYFUNCTION("GoogleTranslate(C210, ""en"", ""my"")"),"အသက်ရှုလမ်းကြောင်းဆိုင်ရာ သို့မဟုတ် နှလုံးရောဂါရှိသူများ၊ သက်ကြီးရွယ်အိုများနှင့် ကလေးငယ်များသည် ပြင်ပလှုပ်ရှားမှုကို ရှောင်ကြဉ်သင့်သည်။ အခြားလူတိုင်းသည် အချိန်ကြာမြင့်စွာ အားထုတ်ခြင်းကို ရှောင်ကြဉ်သင့်သည်။")</f>
        <v>အသက်ရှုလမ်းကြောင်းဆိုင်ရာ သို့မဟုတ် နှလုံးရောဂါရှိသူများ၊ သက်ကြီးရွယ်အိုများနှင့် ကလေးငယ်များသည် ပြင်ပလှုပ်ရှားမှုကို ရှောင်ကြဉ်သင့်သည်။ အခြားလူတိုင်းသည် အချိန်ကြာမြင့်စွာ အားထုတ်ခြင်းကို ရှောင်ကြဉ်သင့်သည်။</v>
      </c>
      <c r="N210" s="7" t="str">
        <f>IFERROR(__xludf.DUMMYFUNCTION("GoogleTranslate(C210, ""en"", ""ca"")"),"Les persones amb malalties respiratòries o cardíaques, la gent gran i els nens han d'evitar qualsevol activitat a l'aire lliure; tots els altres haurien d'evitar l'esforç prolongat.")</f>
        <v>Les persones amb malalties respiratòries o cardíaques, la gent gran i els nens han d'evitar qualsevol activitat a l'aire lliure; tots els altres haurien d'evitar l'esforç prolongat.</v>
      </c>
      <c r="O210" s="7" t="str">
        <f>IFERROR(__xludf.DUMMYFUNCTION("GoogleTranslate(C210, ""en"", ""zh-cn"")"),"患有呼吸系统疾病或心脏病的人、老人和儿童应避免任何户外活动；其他人都应该避免长时间劳累。")</f>
        <v>患有呼吸系统疾病或心脏病的人、老人和儿童应避免任何户外活动；其他人都应该避免长时间劳累。</v>
      </c>
      <c r="P210" s="7" t="str">
        <f>IFERROR(__xludf.DUMMYFUNCTION("GoogleTranslate(C210, ""en"", ""zh-TW"")"),"患有呼吸系統疾病或心臟病的人、老人和兒童應避免任何戶外活動；其他人都應該避免長時間勞累。")</f>
        <v>患有呼吸系統疾病或心臟病的人、老人和兒童應避免任何戶外活動；其他人都應該避免長時間勞累。</v>
      </c>
      <c r="Q210" s="7" t="str">
        <f>IFERROR(__xludf.DUMMYFUNCTION("GoogleTranslate(C210, ""en"", ""hr"")"),"Osobe s dišnim i srčanim bolestima, starije osobe i djeca trebaju izbjegavati bilo kakvu aktivnost na otvorenom; svi ostali trebali bi izbjegavati dugotrajne napore.")</f>
        <v>Osobe s dišnim i srčanim bolestima, starije osobe i djeca trebaju izbjegavati bilo kakvu aktivnost na otvorenom; svi ostali trebali bi izbjegavati dugotrajne napore.</v>
      </c>
      <c r="R210" s="7" t="str">
        <f>IFERROR(__xludf.DUMMYFUNCTION("GoogleTranslate(C210, ""en"", ""cs"")"),"Lidé s respiračním nebo srdečním onemocněním, starší lidé a děti by se měli vyhýbat jakékoli venkovní aktivitě; všichni ostatní by se měli vyhýbat dlouhodobé námaze.")</f>
        <v>Lidé s respiračním nebo srdečním onemocněním, starší lidé a děti by se měli vyhýbat jakékoli venkovní aktivitě; všichni ostatní by se měli vyhýbat dlouhodobé námaze.</v>
      </c>
      <c r="S210" s="7" t="str">
        <f>IFERROR(__xludf.DUMMYFUNCTION("GoogleTranslate(C210, ""en"", ""da"")"),"Mennesker med luftvejs- eller hjertesygdomme, ældre og børn bør undgå enhver udendørs aktivitet; alle andre bør undgå langvarig anstrengelse.")</f>
        <v>Mennesker med luftvejs- eller hjertesygdomme, ældre og børn bør undgå enhver udendørs aktivitet; alle andre bør undgå langvarig anstrengelse.</v>
      </c>
      <c r="T210" s="7" t="str">
        <f>IFERROR(__xludf.DUMMYFUNCTION("GoogleTranslate(C210, ""en"", ""nl"")"),"Mensen met luchtweg- of hartaandoeningen, ouderen en kinderen moeten elke buitenactiviteit vermijden; alle anderen moeten langdurige inspanning vermijden.")</f>
        <v>Mensen met luchtweg- of hartaandoeningen, ouderen en kinderen moeten elke buitenactiviteit vermijden; alle anderen moeten langdurige inspanning vermijden.</v>
      </c>
      <c r="U210" s="7" t="str">
        <f>IFERROR(__xludf.DUMMYFUNCTION("GoogleTranslate(C210, ""en"", ""et"")"),"Hingamisteede või südamehaigustega inimesed, eakad ja lapsed peaksid vältima igasugust õuestegevust; kõik teised peaksid vältima pikaajalist pingutust.")</f>
        <v>Hingamisteede või südamehaigustega inimesed, eakad ja lapsed peaksid vältima igasugust õuestegevust; kõik teised peaksid vältima pikaajalist pingutust.</v>
      </c>
      <c r="V210" s="5" t="str">
        <f t="shared" si="3"/>
        <v>People with respiratory or heart disease, the elderly and children should avoid any outdoor activity; everyone else should avoid prolonged exertion.</v>
      </c>
      <c r="W210" s="7" t="str">
        <f>IFERROR(__xludf.DUMMYFUNCTION("GoogleTranslate(C210, ""en"", ""fi"")"),"Hengitystie- tai sydänsairauksia sairastavien, vanhusten ja lasten tulee välttää ulkoilua; kaikkien muiden tulee välttää pitkäkestoista rasitusta.")</f>
        <v>Hengitystie- tai sydänsairauksia sairastavien, vanhusten ja lasten tulee välttää ulkoilua; kaikkien muiden tulee välttää pitkäkestoista rasitusta.</v>
      </c>
      <c r="X210" s="7" t="str">
        <f>IFERROR(__xludf.DUMMYFUNCTION("GoogleTranslate(C210, ""en"", ""fr"")"),"Les personnes souffrant de maladies respiratoires ou cardiaques, les personnes âgées et les enfants doivent éviter toute activité extérieure ; tout le monde devrait éviter les efforts prolongés.")</f>
        <v>Les personnes souffrant de maladies respiratoires ou cardiaques, les personnes âgées et les enfants doivent éviter toute activité extérieure ; tout le monde devrait éviter les efforts prolongés.</v>
      </c>
      <c r="Y210" s="7" t="str">
        <f>IFERROR(__xludf.DUMMYFUNCTION("GoogleTranslate(C210, ""en"", ""de"")"),"Menschen mit Atemwegs- oder Herzerkrankungen, ältere Menschen und Kinder sollten jegliche Aktivitäten im Freien meiden; Alle anderen sollten längere Anstrengungen vermeiden.")</f>
        <v>Menschen mit Atemwegs- oder Herzerkrankungen, ältere Menschen und Kinder sollten jegliche Aktivitäten im Freien meiden; Alle anderen sollten längere Anstrengungen vermeiden.</v>
      </c>
      <c r="Z210" s="7" t="str">
        <f>IFERROR(__xludf.DUMMYFUNCTION("GoogleTranslate(C210, ""en"", ""el"")"),"Άτομα με αναπνευστικές ή καρδιακές παθήσεις, ηλικιωμένοι και παιδιά πρέπει να αποφεύγουν οποιαδήποτε υπαίθρια δραστηριότητα. Όλοι οι άλλοι θα πρέπει να αποφεύγουν την παρατεταμένη προσπάθεια.")</f>
        <v>Άτομα με αναπνευστικές ή καρδιακές παθήσεις, ηλικιωμένοι και παιδιά πρέπει να αποφεύγουν οποιαδήποτε υπαίθρια δραστηριότητα. Όλοι οι άλλοι θα πρέπει να αποφεύγουν την παρατεταμένη προσπάθεια.</v>
      </c>
      <c r="AA210" s="7" t="str">
        <f>IFERROR(__xludf.DUMMYFUNCTION("GoogleTranslate(C210, ""en"", ""iw"")"),"אנשים עם מחלות נשימה או לב, קשישים וילדים צריכים להימנע מכל פעילות חיצונית; כל השאר צריכים להימנע ממאמץ ממושך.")</f>
        <v>אנשים עם מחלות נשימה או לב, קשישים וילדים צריכים להימנע מכל פעילות חיצונית; כל השאר צריכים להימנע ממאמץ ממושך.</v>
      </c>
      <c r="AB210" s="7" t="str">
        <f>IFERROR(__xludf.DUMMYFUNCTION("GoogleTranslate(C210, ""en"", ""hi"")"),"श्वसन या हृदय रोग वाले लोगों, बुजुर्गों और बच्चों को किसी भी बाहरी गतिविधि से बचना चाहिए; बाकी सभी को लंबे समय तक परिश्रम करने से बचना चाहिए।")</f>
        <v>श्वसन या हृदय रोग वाले लोगों, बुजुर्गों और बच्चों को किसी भी बाहरी गतिविधि से बचना चाहिए; बाकी सभी को लंबे समय तक परिश्रम करने से बचना चाहिए।</v>
      </c>
      <c r="AC210" s="7" t="str">
        <f>IFERROR(__xludf.DUMMYFUNCTION("GoogleTranslate(C210, ""en"", ""hu"")"),"Légúti vagy szívbetegségben szenvedők, idősek és gyermekek kerüljenek minden szabadtéri tevékenységet; mindenki másnak kerülnie kell a hosszan tartó megerőltetést.")</f>
        <v>Légúti vagy szívbetegségben szenvedők, idősek és gyermekek kerüljenek minden szabadtéri tevékenységet; mindenki másnak kerülnie kell a hosszan tartó megerőltetést.</v>
      </c>
      <c r="AD210" s="7" t="str">
        <f>IFERROR(__xludf.DUMMYFUNCTION("GoogleTranslate(C210, ""en"", ""is"")"),"Fólk með öndunarfæra- eða hjartasjúkdóma, aldraðir og börn ættu að forðast alla útiveru; allir aðrir ættu að forðast langvarandi áreynslu.")</f>
        <v>Fólk með öndunarfæra- eða hjartasjúkdóma, aldraðir og börn ættu að forðast alla útiveru; allir aðrir ættu að forðast langvarandi áreynslu.</v>
      </c>
      <c r="AE210" s="7" t="str">
        <f>IFERROR(__xludf.DUMMYFUNCTION("GoogleTranslate(C210, ""en"", ""id"")"),"Orang dengan penyakit pernafasan atau jantung, orang tua dan anak-anak harus menghindari aktivitas di luar ruangan; semua orang harus menghindari aktivitas yang berkepanjangan.")</f>
        <v>Orang dengan penyakit pernafasan atau jantung, orang tua dan anak-anak harus menghindari aktivitas di luar ruangan; semua orang harus menghindari aktivitas yang berkepanjangan.</v>
      </c>
      <c r="AF210" s="7" t="str">
        <f>IFERROR(__xludf.DUMMYFUNCTION("GoogleTranslate(C210, ""en"", ""in"")"),"Orang dengan penyakit pernafasan atau jantung, orang tua dan anak-anak harus menghindari aktivitas di luar ruangan; semua orang harus menghindari aktivitas yang berkepanjangan.")</f>
        <v>Orang dengan penyakit pernafasan atau jantung, orang tua dan anak-anak harus menghindari aktivitas di luar ruangan; semua orang harus menghindari aktivitas yang berkepanjangan.</v>
      </c>
      <c r="AG210" s="7" t="str">
        <f>IFERROR(__xludf.DUMMYFUNCTION("GoogleTranslate(C210, ""en"", ""it"")"),"Le persone con malattie respiratorie o cardiache, gli anziani e i bambini dovrebbero evitare qualsiasi attività all’aperto; tutti gli altri dovrebbero evitare sforzi prolungati.")</f>
        <v>Le persone con malattie respiratorie o cardiache, gli anziani e i bambini dovrebbero evitare qualsiasi attività all’aperto; tutti gli altri dovrebbero evitare sforzi prolungati.</v>
      </c>
      <c r="AH210" s="7" t="str">
        <f>IFERROR(__xludf.DUMMYFUNCTION("GoogleTranslate(C210, ""en"", ""ja"")"),"呼吸器疾患や心臓疾患のある人、高齢者、子供は屋外での活動を避けるべきです。他の人は長時間の運動を避けるべきです。")</f>
        <v>呼吸器疾患や心臓疾患のある人、高齢者、子供は屋外での活動を避けるべきです。他の人は長時間の運動を避けるべきです。</v>
      </c>
      <c r="AI210" s="7" t="str">
        <f>IFERROR(__xludf.DUMMYFUNCTION("GoogleTranslate(C210, ""en"", ""kn"")"),"ಉಸಿರಾಟ ಅಥವಾ ಹೃದ್ರೋಗ ಹೊಂದಿರುವ ಜನರು, ವೃದ್ಧರು ಮತ್ತು ಮಕ್ಕಳು ಯಾವುದೇ ಹೊರಾಂಗಣ ಚಟುವಟಿಕೆಯನ್ನು ತಪ್ಪಿಸಬೇಕು; ಉಳಿದವರೆಲ್ಲರೂ ದೀರ್ಘಕಾಲದ ಶ್ರಮವನ್ನು ತಪ್ಪಿಸಬೇಕು.")</f>
        <v>ಉಸಿರಾಟ ಅಥವಾ ಹೃದ್ರೋಗ ಹೊಂದಿರುವ ಜನರು, ವೃದ್ಧರು ಮತ್ತು ಮಕ್ಕಳು ಯಾವುದೇ ಹೊರಾಂಗಣ ಚಟುವಟಿಕೆಯನ್ನು ತಪ್ಪಿಸಬೇಕು; ಉಳಿದವರೆಲ್ಲರೂ ದೀರ್ಘಕಾಲದ ಶ್ರಮವನ್ನು ತಪ್ಪಿಸಬೇಕು.</v>
      </c>
      <c r="AJ210" s="7" t="str">
        <f>IFERROR(__xludf.DUMMYFUNCTION("GoogleTranslate(C210, ""en"", ""km"")"),"អ្នកដែលមានជំងឺផ្លូវដង្ហើម ឬបេះដូង មនុស្សចាស់ និងកុមារគួរជៀសវាងសកម្មភាពក្រៅណាមួយ; អ្នកផ្សេងទៀតគួរតែជៀសវាងការប្រឹងប្រែងយូរ។")</f>
        <v>អ្នកដែលមានជំងឺផ្លូវដង្ហើម ឬបេះដូង មនុស្សចាស់ និងកុមារគួរជៀសវាងសកម្មភាពក្រៅណាមួយ; អ្នកផ្សេងទៀតគួរតែជៀសវាងការប្រឹងប្រែងយូរ។</v>
      </c>
      <c r="AK210" s="7" t="str">
        <f>IFERROR(__xludf.DUMMYFUNCTION("GoogleTranslate(C210, ""en"", ""ko"")"),"호흡기 질환이나 심장 질환이 있는 사람, 노인, 어린이는 야외 활동을 피해야 합니다. 다른 모든 사람들은 장기간의 활동을 피해야 합니다.")</f>
        <v>호흡기 질환이나 심장 질환이 있는 사람, 노인, 어린이는 야외 활동을 피해야 합니다. 다른 모든 사람들은 장기간의 활동을 피해야 합니다.</v>
      </c>
      <c r="AL210" s="7" t="str">
        <f>IFERROR(__xludf.DUMMYFUNCTION("GoogleTranslate(C210, ""en"", ""lo"")"),"ຜູ້ທີ່ເປັນພະຍາດລະບົບຫາຍໃຈ ຫຼືຫົວໃຈ, ຜູ້ສູງອາຍຸ ແລະ ເດັກນ້ອຍຄວນຫຼີກລ່ຽງກິດຈະກໍາກາງແຈ້ງ; ທຸກຄົນຄວນຫຼີກລ່ຽງການອອກແຮງງານເປັນເວລາດົນ.")</f>
        <v>ຜູ້ທີ່ເປັນພະຍາດລະບົບຫາຍໃຈ ຫຼືຫົວໃຈ, ຜູ້ສູງອາຍຸ ແລະ ເດັກນ້ອຍຄວນຫຼີກລ່ຽງກິດຈະກໍາກາງແຈ້ງ; ທຸກຄົນຄວນຫຼີກລ່ຽງການອອກແຮງງານເປັນເວລາດົນ.</v>
      </c>
      <c r="AM210" s="7" t="str">
        <f>IFERROR(__xludf.DUMMYFUNCTION("GoogleTranslate(C210, ""en"", ""lv"")"),"Cilvēkiem ar elpceļu vai sirds slimībām, veciem cilvēkiem un bērniem jāizvairās no jebkādām aktivitātēm brīvā dabā; visiem pārējiem vajadzētu izvairīties no ilgstošas ​​slodzes.")</f>
        <v>Cilvēkiem ar elpceļu vai sirds slimībām, veciem cilvēkiem un bērniem jāizvairās no jebkādām aktivitātēm brīvā dabā; visiem pārējiem vajadzētu izvairīties no ilgstošas ​​slodzes.</v>
      </c>
      <c r="AN210" s="7" t="str">
        <f>IFERROR(__xludf.DUMMYFUNCTION("GoogleTranslate(C210, ""en"", ""lt"")"),"Žmonės, sergantys kvėpavimo takų ar širdies ligomis, pagyvenę žmonės ir vaikai, turėtų vengti bet kokios veiklos lauke; visi kiti turėtų vengti ilgalaikio krūvio.")</f>
        <v>Žmonės, sergantys kvėpavimo takų ar širdies ligomis, pagyvenę žmonės ir vaikai, turėtų vengti bet kokios veiklos lauke; visi kiti turėtų vengti ilgalaikio krūvio.</v>
      </c>
      <c r="AO210" s="7" t="str">
        <f>IFERROR(__xludf.DUMMYFUNCTION("GoogleTranslate(C210, ""en"", ""mk"")"),"Луѓето со респираторни или срцеви заболувања, постарите лица и децата треба да избегнуваат какви било активности на отворено; сите останати треба да избегнуваат продолжен напор.")</f>
        <v>Луѓето со респираторни или срцеви заболувања, постарите лица и децата треба да избегнуваат какви било активности на отворено; сите останати треба да избегнуваат продолжен напор.</v>
      </c>
      <c r="AP210" s="7" t="str">
        <f>IFERROR(__xludf.DUMMYFUNCTION("GoogleTranslate(C210, ""en"", ""ms"")"),"Orang yang mempunyai penyakit pernafasan atau jantung, orang tua dan kanak-kanak harus mengelakkan sebarang aktiviti luar; orang lain harus mengelak daripada melakukan usaha yang berpanjangan.")</f>
        <v>Orang yang mempunyai penyakit pernafasan atau jantung, orang tua dan kanak-kanak harus mengelakkan sebarang aktiviti luar; orang lain harus mengelak daripada melakukan usaha yang berpanjangan.</v>
      </c>
      <c r="AQ210" s="7" t="str">
        <f>IFERROR(__xludf.DUMMYFUNCTION("GoogleTranslate(C210, ""en"", ""ml"")"),"ശ്വാസകോശ സംബന്ധമായ അസുഖങ്ങളോ ഹൃദ്രോഗമോ ഉള്ളവർ, പ്രായമായവർ, കുട്ടികൾ എന്നിവർ ബാഹ്യ പ്രവർത്തനങ്ങൾ ഒഴിവാക്കണം; മറ്റെല്ലാവരും നീണ്ട അദ്ധ്വാനം ഒഴിവാക്കണം.")</f>
        <v>ശ്വാസകോശ സംബന്ധമായ അസുഖങ്ങളോ ഹൃദ്രോഗമോ ഉള്ളവർ, പ്രായമായവർ, കുട്ടികൾ എന്നിവർ ബാഹ്യ പ്രവർത്തനങ്ങൾ ഒഴിവാക്കണം; മറ്റെല്ലാവരും നീണ്ട അദ്ധ്വാനം ഒഴിവാക്കണം.</v>
      </c>
      <c r="AR210" s="7" t="str">
        <f>IFERROR(__xludf.DUMMYFUNCTION("GoogleTranslate(C210, ""en"", ""mr"")"),"श्वसन किंवा हृदयविकार असलेले लोक, वृद्ध आणि मुलांनी कोणतीही बाह्य क्रियाकलाप टाळली पाहिजेत; इतर सर्वांनी प्रदीर्घ श्रम टाळावेत.")</f>
        <v>श्वसन किंवा हृदयविकार असलेले लोक, वृद्ध आणि मुलांनी कोणतीही बाह्य क्रियाकलाप टाळली पाहिजेत; इतर सर्वांनी प्रदीर्घ श्रम टाळावेत.</v>
      </c>
      <c r="AS210" s="7" t="str">
        <f>IFERROR(__xludf.DUMMYFUNCTION("GoogleTranslate(C210, ""en"", ""mn"")"),"Амьсгалын замын болон зүрхний өвчтэй хүмүүс, өндөр настан, хүүхдүүд гадаа үйл ажиллагаа явуулахаас зайлсхийх; бусад бүх хүмүүс удаан хугацаагаар ачаалал өгөхөөс зайлсхийх хэрэгтэй.")</f>
        <v>Амьсгалын замын болон зүрхний өвчтэй хүмүүс, өндөр настан, хүүхдүүд гадаа үйл ажиллагаа явуулахаас зайлсхийх; бусад бүх хүмүүс удаан хугацаагаар ачаалал өгөхөөс зайлсхийх хэрэгтэй.</v>
      </c>
      <c r="AT210" s="7" t="str">
        <f>IFERROR(__xludf.DUMMYFUNCTION("GoogleTranslate(C210, ""en"", ""ne"")"),"श्वासप्रश्वास वा हृदय रोग भएका व्यक्तिहरू, वृद्धहरू र बालबालिकाहरूले कुनै पनि बाहिरी गतिविधिबाट टाढा रहनुपर्छ; अरु सबैले लामो परिश्रमबाट बच्नुपर्छ।")</f>
        <v>श्वासप्रश्वास वा हृदय रोग भएका व्यक्तिहरू, वृद्धहरू र बालबालिकाहरूले कुनै पनि बाहिरी गतिविधिबाट टाढा रहनुपर्छ; अरु सबैले लामो परिश्रमबाट बच्नुपर्छ।</v>
      </c>
      <c r="AU210" s="7" t="str">
        <f>IFERROR(__xludf.DUMMYFUNCTION("GoogleTranslate(C210, ""en"", ""nb"")"),"Personer med luftveis- eller hjertesykdom, eldre og barn bør unngå utendørsaktiviteter; alle andre bør unngå langvarig anstrengelse.")</f>
        <v>Personer med luftveis- eller hjertesykdom, eldre og barn bør unngå utendørsaktiviteter; alle andre bør unngå langvarig anstrengelse.</v>
      </c>
      <c r="AV210" s="7" t="str">
        <f>IFERROR(__xludf.DUMMYFUNCTION("GoogleTranslate(C210, ""en"", ""fa"")"),"افراد مبتلا به بیماری های تنفسی یا قلبی، افراد مسن و کودکان باید از هرگونه فعالیت در فضای باز خودداری کنند. بقیه باید از فعالیت طولانی مدت اجتناب کنند.")</f>
        <v>افراد مبتلا به بیماری های تنفسی یا قلبی، افراد مسن و کودکان باید از هرگونه فعالیت در فضای باز خودداری کنند. بقیه باید از فعالیت طولانی مدت اجتناب کنند.</v>
      </c>
      <c r="AW210" s="7" t="str">
        <f>IFERROR(__xludf.DUMMYFUNCTION("GoogleTranslate(C210, ""en"", ""pl"")"),"Osoby cierpiące na choroby układu oddechowego lub serca, osoby starsze i dzieci powinny unikać wszelkiej aktywności na świeżym powietrzu; wszyscy inni powinni unikać długotrwałego wysiłku.")</f>
        <v>Osoby cierpiące na choroby układu oddechowego lub serca, osoby starsze i dzieci powinny unikać wszelkiej aktywności na świeżym powietrzu; wszyscy inni powinni unikać długotrwałego wysiłku.</v>
      </c>
      <c r="AX210" s="7" t="str">
        <f>IFERROR(__xludf.DUMMYFUNCTION("GoogleTranslate(C210, ""en"", ""pt"")"),"Pessoas com doenças respiratórias ou cardíacas, idosos e crianças devem evitar qualquer atividade ao ar livre; todos os outros devem evitar esforços prolongados.")</f>
        <v>Pessoas com doenças respiratórias ou cardíacas, idosos e crianças devem evitar qualquer atividade ao ar livre; todos os outros devem evitar esforços prolongados.</v>
      </c>
      <c r="AY210" s="7" t="str">
        <f>IFERROR(__xludf.DUMMYFUNCTION("GoogleTranslate(C210, ""en"", ""ro"")"),"Persoanele cu boli respiratorii sau cardiace, vârstnicii și copiii ar trebui să evite orice activitate în aer liber; toți ceilalți ar trebui să evite efortul prelungit.")</f>
        <v>Persoanele cu boli respiratorii sau cardiace, vârstnicii și copiii ar trebui să evite orice activitate în aer liber; toți ceilalți ar trebui să evite efortul prelungit.</v>
      </c>
      <c r="AZ210" s="7" t="str">
        <f>IFERROR(__xludf.DUMMYFUNCTION("GoogleTranslate(C210, ""en"", ""ru"")"),"Людям с респираторными или сердечными заболеваниями, пожилым людям и детям следует избегать любой деятельности на свежем воздухе; всем остальным следует избегать длительных нагрузок.")</f>
        <v>Людям с респираторными или сердечными заболеваниями, пожилым людям и детям следует избегать любой деятельности на свежем воздухе; всем остальным следует избегать длительных нагрузок.</v>
      </c>
      <c r="BA210" s="7" t="str">
        <f>IFERROR(__xludf.DUMMYFUNCTION("GoogleTranslate(C210, ""en"", ""sr"")"),"Особе са респираторним или срчаним обољењима, старије особе и деца треба да избегавају било какве активности на отвореном; сви остали треба да избегавају продужени напор.")</f>
        <v>Особе са респираторним или срчаним обољењима, старије особе и деца треба да избегавају било какве активности на отвореном; сви остали треба да избегавају продужени напор.</v>
      </c>
      <c r="BB210" s="7" t="str">
        <f>IFERROR(__xludf.DUMMYFUNCTION("GoogleTranslate(C210, ""en"", ""si"")"),"ශ්වසන හෝ හෘද රෝග ඇති පුද්ගලයින්, වැඩිහිටියන් සහ ළමුන් එළිමහන් ක්‍රියාකාරකම් වලින් වැළකී සිටිය යුතුය; අනෙක් සියල්ලන්ම දිගු වෙහෙසකින් වැළකී සිටිය යුතුය.")</f>
        <v>ශ්වසන හෝ හෘද රෝග ඇති පුද්ගලයින්, වැඩිහිටියන් සහ ළමුන් එළිමහන් ක්‍රියාකාරකම් වලින් වැළකී සිටිය යුතුය; අනෙක් සියල්ලන්ම දිගු වෙහෙසකින් වැළකී සිටිය යුතුය.</v>
      </c>
      <c r="BC210" s="7" t="str">
        <f>IFERROR(__xludf.DUMMYFUNCTION("GoogleTranslate(C210, ""en"", ""sk"")"),"Ľudia s respiračným alebo srdcovým ochorením, starší ľudia a deti by sa mali vyhýbať akejkoľvek vonkajšej aktivite; všetci ostatní by sa mali vyhýbať dlhodobej námahe.")</f>
        <v>Ľudia s respiračným alebo srdcovým ochorením, starší ľudia a deti by sa mali vyhýbať akejkoľvek vonkajšej aktivite; všetci ostatní by sa mali vyhýbať dlhodobej námahe.</v>
      </c>
      <c r="BD210" s="7" t="str">
        <f>IFERROR(__xludf.DUMMYFUNCTION("GoogleTranslate(C210, ""en"", ""sl"")"),"Osebe z boleznimi dihal ali srca, starejši in otroci naj se izogibajo vsaki dejavnosti na prostem; vsi ostali naj se izogibajo dolgotrajnemu naporu.")</f>
        <v>Osebe z boleznimi dihal ali srca, starejši in otroci naj se izogibajo vsaki dejavnosti na prostem; vsi ostali naj se izogibajo dolgotrajnemu naporu.</v>
      </c>
      <c r="BE210" s="7" t="str">
        <f>IFERROR(__xludf.DUMMYFUNCTION("GoogleTranslate(C210, ""en"", ""es"")"),"Las personas con enfermedades respiratorias o cardíacas, los ancianos y los niños deben evitar cualquier actividad al aire libre; todos los demás deben evitar el esfuerzo prolongado.")</f>
        <v>Las personas con enfermedades respiratorias o cardíacas, los ancianos y los niños deben evitar cualquier actividad al aire libre; todos los demás deben evitar el esfuerzo prolongado.</v>
      </c>
      <c r="BF210" s="7" t="str">
        <f>IFERROR(__xludf.DUMMYFUNCTION("GoogleTranslate(C210, ""en"", ""sw"")"),"Watu wenye magonjwa ya kupumua au ya moyo, wazee na watoto wanapaswa kuepuka shughuli yoyote ya nje; kila mtu anapaswa kuepuka bidii ya muda mrefu.")</f>
        <v>Watu wenye magonjwa ya kupumua au ya moyo, wazee na watoto wanapaswa kuepuka shughuli yoyote ya nje; kila mtu anapaswa kuepuka bidii ya muda mrefu.</v>
      </c>
      <c r="BG210" s="7" t="str">
        <f>IFERROR(__xludf.DUMMYFUNCTION("GoogleTranslate(C210, ""en"", ""sv"")"),"Personer med andnings- eller hjärtsjukdomar, äldre och barn bör undvika all utomhusaktivitet; alla andra bör undvika långvarig ansträngning.")</f>
        <v>Personer med andnings- eller hjärtsjukdomar, äldre och barn bör undvika all utomhusaktivitet; alla andra bör undvika långvarig ansträngning.</v>
      </c>
      <c r="BH210" s="7" t="str">
        <f>IFERROR(__xludf.DUMMYFUNCTION("GoogleTranslate(C210, ""en"", ""te"")"),"శ్వాసకోశ లేదా గుండె జబ్బులు ఉన్న వ్యక్తులు, వృద్ధులు మరియు పిల్లలు బహిరంగ కార్యకలాపాలకు దూరంగా ఉండాలి; ప్రతి ఒక్కరూ సుదీర్ఘ శ్రమకు దూరంగా ఉండాలి.")</f>
        <v>శ్వాసకోశ లేదా గుండె జబ్బులు ఉన్న వ్యక్తులు, వృద్ధులు మరియు పిల్లలు బహిరంగ కార్యకలాపాలకు దూరంగా ఉండాలి; ప్రతి ఒక్కరూ సుదీర్ఘ శ్రమకు దూరంగా ఉండాలి.</v>
      </c>
      <c r="BI210" s="7" t="str">
        <f>IFERROR(__xludf.DUMMYFUNCTION("GoogleTranslate(C210, ""en"", ""th"")"),"ผู้ที่เป็นโรคระบบทางเดินหายใจหรือโรคหัวใจ ผู้สูงอายุ และเด็ก ควรหลีกเลี่ยงกิจกรรมกลางแจ้ง คนอื่นๆ ควรหลีกเลี่ยงการออกแรงเป็นเวลานาน")</f>
        <v>ผู้ที่เป็นโรคระบบทางเดินหายใจหรือโรคหัวใจ ผู้สูงอายุ และเด็ก ควรหลีกเลี่ยงกิจกรรมกลางแจ้ง คนอื่นๆ ควรหลีกเลี่ยงการออกแรงเป็นเวลานาน</v>
      </c>
      <c r="BJ210" s="7" t="str">
        <f>IFERROR(__xludf.DUMMYFUNCTION("GoogleTranslate(C210, ""en"", ""tr"")"),"Solunum veya kalp hastalığı olan kişiler, yaşlılar ve çocuklar her türlü açık hava aktivitesinden kaçınmalıdır; herkes uzun süreli efordan kaçınmalıdır.")</f>
        <v>Solunum veya kalp hastalığı olan kişiler, yaşlılar ve çocuklar her türlü açık hava aktivitesinden kaçınmalıdır; herkes uzun süreli efordan kaçınmalıdır.</v>
      </c>
      <c r="BK210" s="7" t="str">
        <f>IFERROR(__xludf.DUMMYFUNCTION("GoogleTranslate(C210, ""en"", ""uk"")"),"Людям із захворюваннями органів дихання чи серця, людям похилого віку та дітям слід уникати будь-яких прогулянок на свіжому повітрі; всім іншим слід уникати тривалих навантажень.")</f>
        <v>Людям із захворюваннями органів дихання чи серця, людям похилого віку та дітям слід уникати будь-яких прогулянок на свіжому повітрі; всім іншим слід уникати тривалих навантажень.</v>
      </c>
      <c r="BL210" s="7" t="str">
        <f>IFERROR(__xludf.DUMMYFUNCTION("GoogleTranslate(C210, ""en"", ""zu"")"),"Abantu abanesifo sokuphefumula noma senhliziyo, asebekhulile kanye nezingane kufanele bagweme noma yimuphi umsebenzi wangaphandle; wonke umuntu kufanele agweme ukuzikhandla isikhathi eside.")</f>
        <v>Abantu abanesifo sokuphefumula noma senhliziyo, asebekhulile kanye nezingane kufanele bagweme noma yimuphi umsebenzi wangaphandle; wonke umuntu kufanele agweme ukuzikhandla isikhathi eside.</v>
      </c>
    </row>
    <row r="211">
      <c r="A211" s="5" t="str">
        <f t="shared" si="1"/>
        <v>Everyone_should_avoid_any_outdoor_exertion;_people_with_respiratory_or_heart_disease,_the_elderly_and_children_should_remain_indoors.</v>
      </c>
      <c r="B211" s="4" t="s">
        <v>259</v>
      </c>
      <c r="C211" s="4" t="s">
        <v>259</v>
      </c>
      <c r="D211" s="7" t="str">
        <f>IFERROR(__xludf.DUMMYFUNCTION("GoogleTranslate(C211, ""en"", ""es"")"),"Todo el mundo debería evitar cualquier esfuerzo al aire libre; las personas con enfermedades respiratorias o cardíacas, los ancianos y los niños deben permanecer en el interior.")</f>
        <v>Todo el mundo debería evitar cualquier esfuerzo al aire libre; las personas con enfermedades respiratorias o cardíacas, los ancianos y los niños deben permanecer en el interior.</v>
      </c>
      <c r="E211" s="7" t="str">
        <f>IFERROR(__xludf.DUMMYFUNCTION("GoogleTranslate(C211, ""en"", ""ar"")"),"يجب على الجميع تجنب أي مجهود في الهواء الطلق؛ يجب على الأشخاص الذين يعانون من أمراض الجهاز التنفسي أو القلب وكبار السن والأطفال البقاء في منازلهم.")</f>
        <v>يجب على الجميع تجنب أي مجهود في الهواء الطلق؛ يجب على الأشخاص الذين يعانون من أمراض الجهاز التنفسي أو القلب وكبار السن والأطفال البقاء في منازلهم.</v>
      </c>
      <c r="F211" s="7" t="str">
        <f>IFERROR(__xludf.DUMMYFUNCTION("GoogleTranslate(C211, ""en"", ""hy"")"),"Բոլորը պետք է խուսափեն բացօթյա ցանկացած աշխատանքից. շնչառական կամ սրտի հիվանդություն ունեցող մարդիկ, տարեցներն ու երեխաները պետք է մնան տանը։")</f>
        <v>Բոլորը պետք է խուսափեն բացօթյա ցանկացած աշխատանքից. շնչառական կամ սրտի հիվանդություն ունեցող մարդիկ, տարեցներն ու երեխաները պետք է մնան տանը։</v>
      </c>
      <c r="G211" s="7" t="str">
        <f>IFERROR(__xludf.DUMMYFUNCTION("GoogleTranslate(C211, ""en"", ""vi"")"),"Mọi người nên tránh mọi hoạt động gắng sức ngoài trời; những người mắc bệnh hô hấp hoặc tim mạch, người già và trẻ em nên ở trong nhà.")</f>
        <v>Mọi người nên tránh mọi hoạt động gắng sức ngoài trời; những người mắc bệnh hô hấp hoặc tim mạch, người già và trẻ em nên ở trong nhà.</v>
      </c>
      <c r="H211" s="7" t="str">
        <f>IFERROR(__xludf.DUMMYFUNCTION("GoogleTranslate(C211, ""en"", ""az"")"),"Hər kəs hər hansı açıq gücdən çəkinməlidir; tənəffüs və ya ürək xəstəlikləri olan insanlar, yaşlılar və uşaqlar evdə qalmalıdırlar.")</f>
        <v>Hər kəs hər hansı açıq gücdən çəkinməlidir; tənəffüs və ya ürək xəstəlikləri olan insanlar, yaşlılar və uşaqlar evdə qalmalıdırlar.</v>
      </c>
      <c r="I211" s="7" t="str">
        <f>IFERROR(__xludf.DUMMYFUNCTION("GoogleTranslate(C211, ""en"", ""eu"")"),"Denek saihestu beharko lukete kanpoko edozein esfortzu; arnas edo bihotzeko gaixotasunak dituzten pertsonek, adinekoek eta haurrek etxe barruan egon behar dute.")</f>
        <v>Denek saihestu beharko lukete kanpoko edozein esfortzu; arnas edo bihotzeko gaixotasunak dituzten pertsonek, adinekoek eta haurrek etxe barruan egon behar dute.</v>
      </c>
      <c r="J211" s="7" t="str">
        <f>IFERROR(__xludf.DUMMYFUNCTION("GoogleTranslate(C211, ""en"", ""be"")"),"Кожны павінен пазбягаць любых нагрузак на адкрытым паветры; людзям з захворваннямі органаў дыхання і сэрца, пажылым людзям і дзецям варта заставацца ў памяшканні.")</f>
        <v>Кожны павінен пазбягаць любых нагрузак на адкрытым паветры; людзям з захворваннямі органаў дыхання і сэрца, пажылым людзям і дзецям варта заставацца ў памяшканні.</v>
      </c>
      <c r="K211" s="7" t="str">
        <f>IFERROR(__xludf.DUMMYFUNCTION("GoogleTranslate(C211, ""en"", ""bn"")"),"প্রত্যেকেরই বাইরের পরিশ্রম এড়ানো উচিত; শ্বাসকষ্ট বা হৃদরোগে আক্রান্ত ব্যক্তিদের, বয়স্ক এবং শিশুদের বাড়ির ভিতরে থাকা উচিত।")</f>
        <v>প্রত্যেকেরই বাইরের পরিশ্রম এড়ানো উচিত; শ্বাসকষ্ট বা হৃদরোগে আক্রান্ত ব্যক্তিদের, বয়স্ক এবং শিশুদের বাড়ির ভিতরে থাকা উচিত।</v>
      </c>
      <c r="L211" s="7" t="str">
        <f>IFERROR(__xludf.DUMMYFUNCTION("GoogleTranslate(C211, ""en"", ""bg"")"),"Всеки трябва да избягва всякакво натоварване на открито; хората с респираторни или сърдечни заболявания, възрастните хора и децата трябва да останат на закрито.")</f>
        <v>Всеки трябва да избягва всякакво натоварване на открито; хората с респираторни или сърдечни заболявания, възрастните хора и децата трябва да останат на закрито.</v>
      </c>
      <c r="M211" s="7" t="str">
        <f>IFERROR(__xludf.DUMMYFUNCTION("GoogleTranslate(C211, ""en"", ""my"")"),"လူတိုင်းသည် အပြင်ဘက်၌ အားထုတ်ခြင်းကို ရှောင်ကြဉ်သင့်သည်။ အသက်ရှုလမ်းကြောင်းဆိုင်ရာ သို့မဟုတ် နှလုံးရောဂါရှိသူများ၊ သက်ကြီးရွယ်အိုများနှင့် ကလေးငယ်များသည် အိမ်ထဲတွင်သာ နေသင့်သည်။")</f>
        <v>လူတိုင်းသည် အပြင်ဘက်၌ အားထုတ်ခြင်းကို ရှောင်ကြဉ်သင့်သည်။ အသက်ရှုလမ်းကြောင်းဆိုင်ရာ သို့မဟုတ် နှလုံးရောဂါရှိသူများ၊ သက်ကြီးရွယ်အိုများနှင့် ကလေးငယ်များသည် အိမ်ထဲတွင်သာ နေသင့်သည်။</v>
      </c>
      <c r="N211" s="7" t="str">
        <f>IFERROR(__xludf.DUMMYFUNCTION("GoogleTranslate(C211, ""en"", ""ca"")"),"Tothom hauria d'evitar qualsevol esforç a l'aire lliure; les persones amb malalties respiratòries o cardíaques, la gent gran i els nens haurien de romandre a l'interior.")</f>
        <v>Tothom hauria d'evitar qualsevol esforç a l'aire lliure; les persones amb malalties respiratòries o cardíaques, la gent gran i els nens haurien de romandre a l'interior.</v>
      </c>
      <c r="O211" s="7" t="str">
        <f>IFERROR(__xludf.DUMMYFUNCTION("GoogleTranslate(C211, ""en"", ""zh-cn"")"),"每个人都应该避免任何户外活动；患有呼吸道疾病或心脏病的人、老人和儿童应留在室内。")</f>
        <v>每个人都应该避免任何户外活动；患有呼吸道疾病或心脏病的人、老人和儿童应留在室内。</v>
      </c>
      <c r="P211" s="7" t="str">
        <f>IFERROR(__xludf.DUMMYFUNCTION("GoogleTranslate(C211, ""en"", ""zh-TW"")"),"每個人都應該避免任何戶外活動；患有呼吸道疾病或心臟病的人、老人和兒童應留在室內。")</f>
        <v>每個人都應該避免任何戶外活動；患有呼吸道疾病或心臟病的人、老人和兒童應留在室內。</v>
      </c>
      <c r="Q211" s="7" t="str">
        <f>IFERROR(__xludf.DUMMYFUNCTION("GoogleTranslate(C211, ""en"", ""hr"")"),"Svatko bi trebao izbjegavati bilo kakav napor na otvorenom; osobe s dišnim i srčanim oboljenjima, starije osobe i djeca trebaju ostati u zatvorenom prostoru.")</f>
        <v>Svatko bi trebao izbjegavati bilo kakav napor na otvorenom; osobe s dišnim i srčanim oboljenjima, starije osobe i djeca trebaju ostati u zatvorenom prostoru.</v>
      </c>
      <c r="R211" s="7" t="str">
        <f>IFERROR(__xludf.DUMMYFUNCTION("GoogleTranslate(C211, ""en"", ""cs"")"),"Každý by se měl vyhýbat jakékoli venkovní námaze; lidé s respiračním nebo srdečním onemocněním, starší lidé a děti by měli zůstat uvnitř.")</f>
        <v>Každý by se měl vyhýbat jakékoli venkovní námaze; lidé s respiračním nebo srdečním onemocněním, starší lidé a děti by měli zůstat uvnitř.</v>
      </c>
      <c r="S211" s="7" t="str">
        <f>IFERROR(__xludf.DUMMYFUNCTION("GoogleTranslate(C211, ""en"", ""da"")"),"Alle bør undgå enhver udendørs anstrengelse; personer med luftvejs- eller hjertesygdomme, ældre og børn bør forblive indendørs.")</f>
        <v>Alle bør undgå enhver udendørs anstrengelse; personer med luftvejs- eller hjertesygdomme, ældre og børn bør forblive indendørs.</v>
      </c>
      <c r="T211" s="7" t="str">
        <f>IFERROR(__xludf.DUMMYFUNCTION("GoogleTranslate(C211, ""en"", ""nl"")"),"Iedereen moet elke inspanning in de buitenlucht vermijden; mensen met luchtweg- of hartaandoeningen, ouderen en kinderen moeten binnen blijven.")</f>
        <v>Iedereen moet elke inspanning in de buitenlucht vermijden; mensen met luchtweg- of hartaandoeningen, ouderen en kinderen moeten binnen blijven.</v>
      </c>
      <c r="U211" s="7" t="str">
        <f>IFERROR(__xludf.DUMMYFUNCTION("GoogleTranslate(C211, ""en"", ""et"")"),"Igaüks peaks vältima igasugust väljas pingutamist; hingamisteede või südamehaigustega inimesed, vanurid ja lapsed peaksid jääma siseruumidesse.")</f>
        <v>Igaüks peaks vältima igasugust väljas pingutamist; hingamisteede või südamehaigustega inimesed, vanurid ja lapsed peaksid jääma siseruumidesse.</v>
      </c>
      <c r="V211" s="5" t="str">
        <f t="shared" si="3"/>
        <v>Everyone should avoid any outdoor exertion; people with respiratory or heart disease, the elderly and children should remain indoors.</v>
      </c>
      <c r="W211" s="7" t="str">
        <f>IFERROR(__xludf.DUMMYFUNCTION("GoogleTranslate(C211, ""en"", ""fi"")"),"Kaikkien tulee välttää ulkona harjoittelua; hengitystie- tai sydänsairauksia sairastavien, vanhusten ja lasten tulee pysyä sisätiloissa.")</f>
        <v>Kaikkien tulee välttää ulkona harjoittelua; hengitystie- tai sydänsairauksia sairastavien, vanhusten ja lasten tulee pysyä sisätiloissa.</v>
      </c>
      <c r="X211" s="7" t="str">
        <f>IFERROR(__xludf.DUMMYFUNCTION("GoogleTranslate(C211, ""en"", ""fr"")"),"Tout le monde devrait éviter tout effort en plein air ; les personnes souffrant de maladies respiratoires ou cardiaques, les personnes âgées et les enfants doivent rester à l’intérieur.")</f>
        <v>Tout le monde devrait éviter tout effort en plein air ; les personnes souffrant de maladies respiratoires ou cardiaques, les personnes âgées et les enfants doivent rester à l’intérieur.</v>
      </c>
      <c r="Y211" s="7" t="str">
        <f>IFERROR(__xludf.DUMMYFUNCTION("GoogleTranslate(C211, ""en"", ""de"")"),"Jeder sollte jegliche Anstrengung im Freien vermeiden; Menschen mit Atemwegs- oder Herzerkrankungen, ältere Menschen und Kinder sollten drinnen bleiben.")</f>
        <v>Jeder sollte jegliche Anstrengung im Freien vermeiden; Menschen mit Atemwegs- oder Herzerkrankungen, ältere Menschen und Kinder sollten drinnen bleiben.</v>
      </c>
      <c r="Z211" s="7" t="str">
        <f>IFERROR(__xludf.DUMMYFUNCTION("GoogleTranslate(C211, ""en"", ""el"")"),"Όλοι πρέπει να αποφεύγουν οποιαδήποτε άσκηση σε εξωτερικούς χώρους. άτομα με αναπνευστικές ή καρδιακές παθήσεις, οι ηλικιωμένοι και τα παιδιά θα πρέπει να παραμείνουν σε κλειστούς χώρους.")</f>
        <v>Όλοι πρέπει να αποφεύγουν οποιαδήποτε άσκηση σε εξωτερικούς χώρους. άτομα με αναπνευστικές ή καρδιακές παθήσεις, οι ηλικιωμένοι και τα παιδιά θα πρέπει να παραμείνουν σε κλειστούς χώρους.</v>
      </c>
      <c r="AA211" s="7" t="str">
        <f>IFERROR(__xludf.DUMMYFUNCTION("GoogleTranslate(C211, ""en"", ""iw"")"),"כולם צריכים להימנע מכל מאמץ חיצוני; אנשים עם מחלות נשימה או לב, קשישים וילדים צריכים להישאר בבית.")</f>
        <v>כולם צריכים להימנע מכל מאמץ חיצוני; אנשים עם מחלות נשימה או לב, קשישים וילדים צריכים להישאר בבית.</v>
      </c>
      <c r="AB211" s="7" t="str">
        <f>IFERROR(__xludf.DUMMYFUNCTION("GoogleTranslate(C211, ""en"", ""hi"")"),"प्रत्येक व्यक्ति को किसी भी बाहरी परिश्रम से बचना चाहिए; श्वसन या हृदय रोग से पीड़ित लोगों, बुजुर्गों और बच्चों को घर के अंदर ही रहना चाहिए।")</f>
        <v>प्रत्येक व्यक्ति को किसी भी बाहरी परिश्रम से बचना चाहिए; श्वसन या हृदय रोग से पीड़ित लोगों, बुजुर्गों और बच्चों को घर के अंदर ही रहना चाहिए।</v>
      </c>
      <c r="AC211" s="7" t="str">
        <f>IFERROR(__xludf.DUMMYFUNCTION("GoogleTranslate(C211, ""en"", ""hu"")"),"Mindenkinek kerülnie kell a szabadtéri erőfeszítéseket; légúti vagy szívbetegségben szenvedők, idősek és gyermekek maradjanak bent.")</f>
        <v>Mindenkinek kerülnie kell a szabadtéri erőfeszítéseket; légúti vagy szívbetegségben szenvedők, idősek és gyermekek maradjanak bent.</v>
      </c>
      <c r="AD211" s="7" t="str">
        <f>IFERROR(__xludf.DUMMYFUNCTION("GoogleTranslate(C211, ""en"", ""is"")"),"Allir ættu að forðast áreynslu utandyra; fólk með öndunarfæra- eða hjartasjúkdóma, aldraðir og börn ættu að halda sig innandyra.")</f>
        <v>Allir ættu að forðast áreynslu utandyra; fólk með öndunarfæra- eða hjartasjúkdóma, aldraðir og börn ættu að halda sig innandyra.</v>
      </c>
      <c r="AE211" s="7" t="str">
        <f>IFERROR(__xludf.DUMMYFUNCTION("GoogleTranslate(C211, ""en"", ""id"")"),"Setiap orang harus menghindari aktivitas di luar ruangan; orang dengan penyakit pernapasan atau jantung, orang tua dan anak-anak harus tetap berada di dalam rumah.")</f>
        <v>Setiap orang harus menghindari aktivitas di luar ruangan; orang dengan penyakit pernapasan atau jantung, orang tua dan anak-anak harus tetap berada di dalam rumah.</v>
      </c>
      <c r="AF211" s="7" t="str">
        <f>IFERROR(__xludf.DUMMYFUNCTION("GoogleTranslate(C211, ""en"", ""in"")"),"Setiap orang harus menghindari aktivitas di luar ruangan; orang dengan penyakit pernapasan atau jantung, orang tua dan anak-anak harus tetap berada di dalam rumah.")</f>
        <v>Setiap orang harus menghindari aktivitas di luar ruangan; orang dengan penyakit pernapasan atau jantung, orang tua dan anak-anak harus tetap berada di dalam rumah.</v>
      </c>
      <c r="AG211" s="7" t="str">
        <f>IFERROR(__xludf.DUMMYFUNCTION("GoogleTranslate(C211, ""en"", ""it"")"),"Tutti dovrebbero evitare qualsiasi attività fisica all'aria aperta; le persone con malattie respiratorie o cardiache, gli anziani e i bambini dovrebbero rimanere in casa.")</f>
        <v>Tutti dovrebbero evitare qualsiasi attività fisica all'aria aperta; le persone con malattie respiratorie o cardiache, gli anziani e i bambini dovrebbero rimanere in casa.</v>
      </c>
      <c r="AH211" s="7" t="str">
        <f>IFERROR(__xludf.DUMMYFUNCTION("GoogleTranslate(C211, ""en"", ""ja"")"),"誰もが屋外での運動を避けるべきです。呼吸器疾患や心臓疾患のある人、高齢者、子供は屋内に留まるべきです。")</f>
        <v>誰もが屋外での運動を避けるべきです。呼吸器疾患や心臓疾患のある人、高齢者、子供は屋内に留まるべきです。</v>
      </c>
      <c r="AI211" s="7" t="str">
        <f>IFERROR(__xludf.DUMMYFUNCTION("GoogleTranslate(C211, ""en"", ""kn"")"),"ಪ್ರತಿಯೊಬ್ಬರೂ ಯಾವುದೇ ಹೊರಾಂಗಣ ಶ್ರಮವನ್ನು ತಪ್ಪಿಸಬೇಕು; ಉಸಿರಾಟ ಅಥವಾ ಹೃದ್ರೋಗ ಹೊಂದಿರುವ ಜನರು, ವೃದ್ಧರು ಮತ್ತು ಮಕ್ಕಳು ಮನೆಯೊಳಗೆ ಇರಬೇಕು.")</f>
        <v>ಪ್ರತಿಯೊಬ್ಬರೂ ಯಾವುದೇ ಹೊರಾಂಗಣ ಶ್ರಮವನ್ನು ತಪ್ಪಿಸಬೇಕು; ಉಸಿರಾಟ ಅಥವಾ ಹೃದ್ರೋಗ ಹೊಂದಿರುವ ಜನರು, ವೃದ್ಧರು ಮತ್ತು ಮಕ್ಕಳು ಮನೆಯೊಳಗೆ ಇರಬೇಕು.</v>
      </c>
      <c r="AJ211" s="7" t="str">
        <f>IFERROR(__xludf.DUMMYFUNCTION("GoogleTranslate(C211, ""en"", ""km"")"),"មនុស្សគ្រប់រូបគួរតែជៀសវាងការចេញក្រៅណាមួយ; អ្នកដែលមានជំងឺផ្លូវដង្ហើម ឬបេះដូង មនុស្សចាស់ និងកុមារគួរតែនៅក្នុងផ្ទះ។")</f>
        <v>មនុស្សគ្រប់រូបគួរតែជៀសវាងការចេញក្រៅណាមួយ; អ្នកដែលមានជំងឺផ្លូវដង្ហើម ឬបេះដូង មនុស្សចាស់ និងកុមារគួរតែនៅក្នុងផ្ទះ។</v>
      </c>
      <c r="AK211" s="7" t="str">
        <f>IFERROR(__xludf.DUMMYFUNCTION("GoogleTranslate(C211, ""en"", ""ko"")"),"모든 사람은 야외 활동을 피해야 합니다. 호흡기 질환이나 심장 질환이 있는 사람, 노인, 어린이는 실내에 머물러야 합니다.")</f>
        <v>모든 사람은 야외 활동을 피해야 합니다. 호흡기 질환이나 심장 질환이 있는 사람, 노인, 어린이는 실내에 머물러야 합니다.</v>
      </c>
      <c r="AL211" s="7" t="str">
        <f>IFERROR(__xludf.DUMMYFUNCTION("GoogleTranslate(C211, ""en"", ""lo"")"),"ທຸກຄົນຄວນຫຼີກລ່ຽງການອອກແຮງນອກ; ຜູ້ທີ່ເປັນພະຍາດລະບົບຫາຍໃຈ ຫຼືຫົວໃຈ, ຜູ້ສູງອາຍຸ ແລະເດັກນ້ອຍຄວນຢູ່ໃນເຮືອນ.")</f>
        <v>ທຸກຄົນຄວນຫຼີກລ່ຽງການອອກແຮງນອກ; ຜູ້ທີ່ເປັນພະຍາດລະບົບຫາຍໃຈ ຫຼືຫົວໃຈ, ຜູ້ສູງອາຍຸ ແລະເດັກນ້ອຍຄວນຢູ່ໃນເຮືອນ.</v>
      </c>
      <c r="AM211" s="7" t="str">
        <f>IFERROR(__xludf.DUMMYFUNCTION("GoogleTranslate(C211, ""en"", ""lv"")"),"Ikvienam vajadzētu izvairīties no jebkādas slodzes ārpus telpām; cilvēkiem ar elpceļu vai sirds slimībām, veciem cilvēkiem un bērniem jāpaliek telpās.")</f>
        <v>Ikvienam vajadzētu izvairīties no jebkādas slodzes ārpus telpām; cilvēkiem ar elpceļu vai sirds slimībām, veciem cilvēkiem un bērniem jāpaliek telpās.</v>
      </c>
      <c r="AN211" s="7" t="str">
        <f>IFERROR(__xludf.DUMMYFUNCTION("GoogleTranslate(C211, ""en"", ""lt"")"),"Kiekvienas turėtų vengti bet kokio fizinio krūvio lauke; žmonės, sergantys kvėpavimo takų ar širdies ligomis, pagyvenę žmonės ir vaikai turėtų likti patalpose.")</f>
        <v>Kiekvienas turėtų vengti bet kokio fizinio krūvio lauke; žmonės, sergantys kvėpavimo takų ar širdies ligomis, pagyvenę žmonės ir vaikai turėtų likti patalpose.</v>
      </c>
      <c r="AO211" s="7" t="str">
        <f>IFERROR(__xludf.DUMMYFUNCTION("GoogleTranslate(C211, ""en"", ""mk"")"),"Секој треба да избегнува каков било напор на отворено; лицата со респираторни или срцеви заболувања, постарите лица и децата треба да останат во затворени простории.")</f>
        <v>Секој треба да избегнува каков било напор на отворено; лицата со респираторни или срцеви заболувања, постарите лица и децата треба да останат во затворени простории.</v>
      </c>
      <c r="AP211" s="7" t="str">
        <f>IFERROR(__xludf.DUMMYFUNCTION("GoogleTranslate(C211, ""en"", ""ms"")"),"Setiap orang harus mengelakkan sebarang usaha luar; orang yang mempunyai penyakit pernafasan atau jantung, orang tua dan kanak-kanak harus berada di dalam rumah.")</f>
        <v>Setiap orang harus mengelakkan sebarang usaha luar; orang yang mempunyai penyakit pernafasan atau jantung, orang tua dan kanak-kanak harus berada di dalam rumah.</v>
      </c>
      <c r="AQ211" s="7" t="str">
        <f>IFERROR(__xludf.DUMMYFUNCTION("GoogleTranslate(C211, ""en"", ""ml"")"),"എല്ലാവരും പുറത്തെ അദ്ധ്വാനം ഒഴിവാക്കണം; ശ്വാസകോശ സംബന്ധമായ അസുഖമോ ഹൃദ്രോഗമോ ഉള്ളവർ, പ്രായമായവർ, കുട്ടികൾ എന്നിവർ വീടിനുള്ളിൽ തന്നെ കഴിയണം.")</f>
        <v>എല്ലാവരും പുറത്തെ അദ്ധ്വാനം ഒഴിവാക്കണം; ശ്വാസകോശ സംബന്ധമായ അസുഖമോ ഹൃദ്രോഗമോ ഉള്ളവർ, പ്രായമായവർ, കുട്ടികൾ എന്നിവർ വീടിനുള്ളിൽ തന്നെ കഴിയണം.</v>
      </c>
      <c r="AR211" s="7" t="str">
        <f>IFERROR(__xludf.DUMMYFUNCTION("GoogleTranslate(C211, ""en"", ""mr"")"),"प्रत्येकाने कोणतेही बाह्य श्रम टाळावे; श्वसन किंवा हृदयविकार असलेले लोक, वृद्ध आणि लहान मुलांनी घरातच राहावे.")</f>
        <v>प्रत्येकाने कोणतेही बाह्य श्रम टाळावे; श्वसन किंवा हृदयविकार असलेले लोक, वृद्ध आणि लहान मुलांनी घरातच राहावे.</v>
      </c>
      <c r="AS211" s="7" t="str">
        <f>IFERROR(__xludf.DUMMYFUNCTION("GoogleTranslate(C211, ""en"", ""mn"")"),"Хүн бүр гадаа дасгал хийхээс зайлсхийх ёстой; амьсгалын замын болон зүрхний өвчтэй хүмүүс, өндөр настан, хүүхдүүд гэртээ байх ёстой.")</f>
        <v>Хүн бүр гадаа дасгал хийхээс зайлсхийх ёстой; амьсгалын замын болон зүрхний өвчтэй хүмүүс, өндөр настан, хүүхдүүд гэртээ байх ёстой.</v>
      </c>
      <c r="AT211" s="7" t="str">
        <f>IFERROR(__xludf.DUMMYFUNCTION("GoogleTranslate(C211, ""en"", ""ne"")"),"सबैजना कुनै पनि बाहिरी परिश्रमबाट बच्नुपर्छ; श्वासप्रश्वास वा हृदय रोग भएका व्यक्तिहरू, वृद्धवृद्धा र बालबालिकाहरू घरभित्रै बस्नुपर्छ।")</f>
        <v>सबैजना कुनै पनि बाहिरी परिश्रमबाट बच्नुपर्छ; श्वासप्रश्वास वा हृदय रोग भएका व्यक्तिहरू, वृद्धवृद्धा र बालबालिकाहरू घरभित्रै बस्नुपर्छ।</v>
      </c>
      <c r="AU211" s="7" t="str">
        <f>IFERROR(__xludf.DUMMYFUNCTION("GoogleTranslate(C211, ""en"", ""nb"")"),"Alle bør unngå enhver utendørs anstrengelse; personer med luftveis- eller hjertesykdom, eldre og barn bør holde seg innendørs.")</f>
        <v>Alle bør unngå enhver utendørs anstrengelse; personer med luftveis- eller hjertesykdom, eldre og barn bør holde seg innendørs.</v>
      </c>
      <c r="AV211" s="7" t="str">
        <f>IFERROR(__xludf.DUMMYFUNCTION("GoogleTranslate(C211, ""en"", ""fa"")"),"همه باید از هرگونه فعالیت در فضای باز اجتناب کنند. افراد مبتلا به بیماری های تنفسی یا قلبی، سالمندان و کودکان باید در خانه بمانند.")</f>
        <v>همه باید از هرگونه فعالیت در فضای باز اجتناب کنند. افراد مبتلا به بیماری های تنفسی یا قلبی، سالمندان و کودکان باید در خانه بمانند.</v>
      </c>
      <c r="AW211" s="7" t="str">
        <f>IFERROR(__xludf.DUMMYFUNCTION("GoogleTranslate(C211, ""en"", ""pl"")"),"Każdy powinien unikać wysiłku na świeżym powietrzu; osoby z chorobami układu oddechowego lub serca, osoby starsze i dzieci powinny pozostać w pomieszczeniach zamkniętych.")</f>
        <v>Każdy powinien unikać wysiłku na świeżym powietrzu; osoby z chorobami układu oddechowego lub serca, osoby starsze i dzieci powinny pozostać w pomieszczeniach zamkniętych.</v>
      </c>
      <c r="AX211" s="7" t="str">
        <f>IFERROR(__xludf.DUMMYFUNCTION("GoogleTranslate(C211, ""en"", ""pt"")"),"Todos devem evitar qualquer esforço ao ar livre; pessoas com doenças respiratórias ou cardíacas, idosos e crianças devem permanecer em ambientes fechados.")</f>
        <v>Todos devem evitar qualquer esforço ao ar livre; pessoas com doenças respiratórias ou cardíacas, idosos e crianças devem permanecer em ambientes fechados.</v>
      </c>
      <c r="AY211" s="7" t="str">
        <f>IFERROR(__xludf.DUMMYFUNCTION("GoogleTranslate(C211, ""en"", ""ro"")"),"Toată lumea ar trebui să evite orice efort în aer liber; persoanele cu boli respiratorii sau cardiace, bătrânii și copiii ar trebui să rămână în casă.")</f>
        <v>Toată lumea ar trebui să evite orice efort în aer liber; persoanele cu boli respiratorii sau cardiace, bătrânii și copiii ar trebui să rămână în casă.</v>
      </c>
      <c r="AZ211" s="7" t="str">
        <f>IFERROR(__xludf.DUMMYFUNCTION("GoogleTranslate(C211, ""en"", ""ru"")"),"Каждый должен избегать любых физических нагрузок на свежем воздухе; люди с респираторными или сердечными заболеваниями, пожилые люди и дети должны оставаться в помещении.")</f>
        <v>Каждый должен избегать любых физических нагрузок на свежем воздухе; люди с респираторными или сердечными заболеваниями, пожилые люди и дети должны оставаться в помещении.</v>
      </c>
      <c r="BA211" s="7" t="str">
        <f>IFERROR(__xludf.DUMMYFUNCTION("GoogleTranslate(C211, ""en"", ""sr"")"),"Свако треба да избегава било какав напор на отвореном; особе са респираторним или срчаним обољењима, старије особе и деца треба да остану у затвореном простору.")</f>
        <v>Свако треба да избегава било какав напор на отвореном; особе са респираторним или срчаним обољењима, старије особе и деца треба да остану у затвореном простору.</v>
      </c>
      <c r="BB211" s="7" t="str">
        <f>IFERROR(__xludf.DUMMYFUNCTION("GoogleTranslate(C211, ""en"", ""si"")"),"සෑම කෙනෙකුම එළිමහන් වෙහෙසකින් වැළකී සිටිය යුතුය; ශ්වසන හෝ හෘද රෝග ඇති පුද්ගලයින්, වැඩිහිටියන් සහ ළමුන් ගෘහස්ථව සිටිය යුතුය.")</f>
        <v>සෑම කෙනෙකුම එළිමහන් වෙහෙසකින් වැළකී සිටිය යුතුය; ශ්වසන හෝ හෘද රෝග ඇති පුද්ගලයින්, වැඩිහිටියන් සහ ළමුන් ගෘහස්ථව සිටිය යුතුය.</v>
      </c>
      <c r="BC211" s="7" t="str">
        <f>IFERROR(__xludf.DUMMYFUNCTION("GoogleTranslate(C211, ""en"", ""sk"")"),"Každý by sa mal vyhýbať akejkoľvek vonkajšej námahe; ľudia s respiračným alebo srdcovým ochorením, starší ľudia a deti by mali zostať vo vnútri.")</f>
        <v>Každý by sa mal vyhýbať akejkoľvek vonkajšej námahe; ľudia s respiračným alebo srdcovým ochorením, starší ľudia a deti by mali zostať vo vnútri.</v>
      </c>
      <c r="BD211" s="7" t="str">
        <f>IFERROR(__xludf.DUMMYFUNCTION("GoogleTranslate(C211, ""en"", ""sl"")"),"Vsi naj se izogibajo kakršnim koli naporom na prostem; ljudje z boleznimi dihal ali srca, starejši in otroci naj ostanejo v zaprtih prostorih.")</f>
        <v>Vsi naj se izogibajo kakršnim koli naporom na prostem; ljudje z boleznimi dihal ali srca, starejši in otroci naj ostanejo v zaprtih prostorih.</v>
      </c>
      <c r="BE211" s="7" t="str">
        <f>IFERROR(__xludf.DUMMYFUNCTION("GoogleTranslate(C211, ""en"", ""es"")"),"Todo el mundo debería evitar cualquier esfuerzo al aire libre; las personas con enfermedades respiratorias o cardíacas, los ancianos y los niños deben permanecer en el interior.")</f>
        <v>Todo el mundo debería evitar cualquier esfuerzo al aire libre; las personas con enfermedades respiratorias o cardíacas, los ancianos y los niños deben permanecer en el interior.</v>
      </c>
      <c r="BF211" s="7" t="str">
        <f>IFERROR(__xludf.DUMMYFUNCTION("GoogleTranslate(C211, ""en"", ""sw"")"),"Kila mtu anapaswa kuepuka jitihada yoyote ya nje; watu wenye magonjwa ya kupumua au ya moyo, wazee na watoto wanapaswa kubaki ndani ya nyumba.")</f>
        <v>Kila mtu anapaswa kuepuka jitihada yoyote ya nje; watu wenye magonjwa ya kupumua au ya moyo, wazee na watoto wanapaswa kubaki ndani ya nyumba.</v>
      </c>
      <c r="BG211" s="7" t="str">
        <f>IFERROR(__xludf.DUMMYFUNCTION("GoogleTranslate(C211, ""en"", ""sv"")"),"Alla bör undvika all utomhusansträngning; personer med luftvägs- eller hjärtsjukdomar, äldre och barn ska stanna inomhus.")</f>
        <v>Alla bör undvika all utomhusansträngning; personer med luftvägs- eller hjärtsjukdomar, äldre och barn ska stanna inomhus.</v>
      </c>
      <c r="BH211" s="7" t="str">
        <f>IFERROR(__xludf.DUMMYFUNCTION("GoogleTranslate(C211, ""en"", ""te"")"),"ప్రతి ఒక్కరూ బహిరంగ శ్రమకు దూరంగా ఉండాలి; శ్వాసకోశ లేదా గుండె జబ్బులు ఉన్న వ్యక్తులు, వృద్ధులు మరియు పిల్లలు ఇంట్లోనే ఉండాలి.")</f>
        <v>ప్రతి ఒక్కరూ బహిరంగ శ్రమకు దూరంగా ఉండాలి; శ్వాసకోశ లేదా గుండె జబ్బులు ఉన్న వ్యక్తులు, వృద్ధులు మరియు పిల్లలు ఇంట్లోనే ఉండాలి.</v>
      </c>
      <c r="BI211" s="7" t="str">
        <f>IFERROR(__xludf.DUMMYFUNCTION("GoogleTranslate(C211, ""en"", ""th"")"),"ทุกคนควรหลีกเลี่ยงการออกแรงกลางแจ้ง ผู้ที่เป็นโรคระบบทางเดินหายใจหรือโรคหัวใจ ผู้สูงอายุ และเด็ก ควรอยู่ในบ้าน")</f>
        <v>ทุกคนควรหลีกเลี่ยงการออกแรงกลางแจ้ง ผู้ที่เป็นโรคระบบทางเดินหายใจหรือโรคหัวใจ ผู้สูงอายุ และเด็ก ควรอยู่ในบ้าน</v>
      </c>
      <c r="BJ211" s="7" t="str">
        <f>IFERROR(__xludf.DUMMYFUNCTION("GoogleTranslate(C211, ""en"", ""tr"")"),"Herkes açık havada herhangi bir efordan kaçınmalıdır; Solunum veya kalp hastalığı olan kişiler, yaşlılar ve çocuklar kapalı mekanlarda kalmalıdır.")</f>
        <v>Herkes açık havada herhangi bir efordan kaçınmalıdır; Solunum veya kalp hastalığı olan kişiler, yaşlılar ve çocuklar kapalı mekanlarda kalmalıdır.</v>
      </c>
      <c r="BK211" s="7" t="str">
        <f>IFERROR(__xludf.DUMMYFUNCTION("GoogleTranslate(C211, ""en"", ""uk"")"),"Кожен повинен уникати будь-яких навантажень на відкритому повітрі; людям із захворюваннями органів дихання та серця, людям похилого віку та дітям залишатися вдома.")</f>
        <v>Кожен повинен уникати будь-яких навантажень на відкритому повітрі; людям із захворюваннями органів дихання та серця, людям похилого віку та дітям залишатися вдома.</v>
      </c>
      <c r="BL211" s="7" t="str">
        <f>IFERROR(__xludf.DUMMYFUNCTION("GoogleTranslate(C211, ""en"", ""zu"")"),"Wonke umuntu kufanele agweme noma yikuphi ukuzikhandla kwangaphandle; abantu abanesifo sokuphefumula noma senhliziyo, abantu abadala kanye nezingane kufanele bahlale ezindlini.")</f>
        <v>Wonke umuntu kufanele agweme noma yikuphi ukuzikhandla kwangaphandle; abantu abanesifo sokuphefumula noma senhliziyo, abantu abadala kanye nezingane kufanele bahlale ezindlini.</v>
      </c>
    </row>
    <row r="212">
      <c r="A212" s="5" t="str">
        <f t="shared" si="1"/>
        <v>Air_quality_is_satisfactory</v>
      </c>
      <c r="B212" s="4" t="s">
        <v>260</v>
      </c>
      <c r="C212" s="4" t="s">
        <v>260</v>
      </c>
      <c r="D212" s="7" t="str">
        <f>IFERROR(__xludf.DUMMYFUNCTION("GoogleTranslate(C212, ""en"", ""es"")"),"La calidad del aire es satisfactoria.")</f>
        <v>La calidad del aire es satisfactoria.</v>
      </c>
      <c r="E212" s="7" t="str">
        <f>IFERROR(__xludf.DUMMYFUNCTION("GoogleTranslate(C212, ""en"", ""ar"")"),"نوعية الهواء مرضية")</f>
        <v>نوعية الهواء مرضية</v>
      </c>
      <c r="F212" s="7" t="str">
        <f>IFERROR(__xludf.DUMMYFUNCTION("GoogleTranslate(C212, ""en"", ""hy"")"),"Օդի որակը բավարար է")</f>
        <v>Օդի որակը բավարար է</v>
      </c>
      <c r="G212" s="7" t="str">
        <f>IFERROR(__xludf.DUMMYFUNCTION("GoogleTranslate(C212, ""en"", ""vi"")"),"Chất lượng không khí đạt yêu cầu")</f>
        <v>Chất lượng không khí đạt yêu cầu</v>
      </c>
      <c r="H212" s="7" t="str">
        <f>IFERROR(__xludf.DUMMYFUNCTION("GoogleTranslate(C212, ""en"", ""az"")"),"Havanın keyfiyyəti qənaətbəxşdir")</f>
        <v>Havanın keyfiyyəti qənaətbəxşdir</v>
      </c>
      <c r="I212" s="7" t="str">
        <f>IFERROR(__xludf.DUMMYFUNCTION("GoogleTranslate(C212, ""en"", ""eu"")"),"Airearen kalitatea pozgarria da")</f>
        <v>Airearen kalitatea pozgarria da</v>
      </c>
      <c r="J212" s="7" t="str">
        <f>IFERROR(__xludf.DUMMYFUNCTION("GoogleTranslate(C212, ""en"", ""be"")"),"Якасць паветра здавальняючая")</f>
        <v>Якасць паветра здавальняючая</v>
      </c>
      <c r="K212" s="7" t="str">
        <f>IFERROR(__xludf.DUMMYFUNCTION("GoogleTranslate(C212, ""en"", ""bn"")"),"বাতাসের মান সন্তোষজনক")</f>
        <v>বাতাসের মান সন্তোষজনক</v>
      </c>
      <c r="L212" s="7" t="str">
        <f>IFERROR(__xludf.DUMMYFUNCTION("GoogleTranslate(C212, ""en"", ""bg"")"),"Качеството на въздуха е задоволително")</f>
        <v>Качеството на въздуха е задоволително</v>
      </c>
      <c r="M212" s="7" t="str">
        <f>IFERROR(__xludf.DUMMYFUNCTION("GoogleTranslate(C212, ""en"", ""my"")"),"လေအရည်အသွေးက ကျေနပ်စရာပါ။")</f>
        <v>လေအရည်အသွေးက ကျေနပ်စရာပါ။</v>
      </c>
      <c r="N212" s="7" t="str">
        <f>IFERROR(__xludf.DUMMYFUNCTION("GoogleTranslate(C212, ""en"", ""ca"")"),"La qualitat de l'aire és satisfactòria")</f>
        <v>La qualitat de l'aire és satisfactòria</v>
      </c>
      <c r="O212" s="7" t="str">
        <f>IFERROR(__xludf.DUMMYFUNCTION("GoogleTranslate(C212, ""en"", ""zh-cn"")"),"空气质量令人满意")</f>
        <v>空气质量令人满意</v>
      </c>
      <c r="P212" s="7" t="str">
        <f>IFERROR(__xludf.DUMMYFUNCTION("GoogleTranslate(C212, ""en"", ""zh-TW"")"),"空氣品質令人滿意")</f>
        <v>空氣品質令人滿意</v>
      </c>
      <c r="Q212" s="7" t="str">
        <f>IFERROR(__xludf.DUMMYFUNCTION("GoogleTranslate(C212, ""en"", ""hr"")"),"Kvaliteta zraka je zadovoljavajuća")</f>
        <v>Kvaliteta zraka je zadovoljavajuća</v>
      </c>
      <c r="R212" s="7" t="str">
        <f>IFERROR(__xludf.DUMMYFUNCTION("GoogleTranslate(C212, ""en"", ""cs"")"),"Kvalita vzduchu je uspokojivá")</f>
        <v>Kvalita vzduchu je uspokojivá</v>
      </c>
      <c r="S212" s="7" t="str">
        <f>IFERROR(__xludf.DUMMYFUNCTION("GoogleTranslate(C212, ""en"", ""da"")"),"Luftkvaliteten er tilfredsstillende")</f>
        <v>Luftkvaliteten er tilfredsstillende</v>
      </c>
      <c r="T212" s="7" t="str">
        <f>IFERROR(__xludf.DUMMYFUNCTION("GoogleTranslate(C212, ""en"", ""nl"")"),"De luchtkwaliteit is bevredigend")</f>
        <v>De luchtkwaliteit is bevredigend</v>
      </c>
      <c r="U212" s="7" t="str">
        <f>IFERROR(__xludf.DUMMYFUNCTION("GoogleTranslate(C212, ""en"", ""et"")"),"Õhu kvaliteet on rahuldav")</f>
        <v>Õhu kvaliteet on rahuldav</v>
      </c>
      <c r="V212" s="5" t="str">
        <f t="shared" si="3"/>
        <v>Air quality is satisfactory</v>
      </c>
      <c r="W212" s="7" t="str">
        <f>IFERROR(__xludf.DUMMYFUNCTION("GoogleTranslate(C212, ""en"", ""fi"")"),"Ilmanlaatu on tyydyttävä")</f>
        <v>Ilmanlaatu on tyydyttävä</v>
      </c>
      <c r="X212" s="7" t="str">
        <f>IFERROR(__xludf.DUMMYFUNCTION("GoogleTranslate(C212, ""en"", ""fr"")"),"La qualité de l'air est satisfaisante")</f>
        <v>La qualité de l'air est satisfaisante</v>
      </c>
      <c r="Y212" s="7" t="str">
        <f>IFERROR(__xludf.DUMMYFUNCTION("GoogleTranslate(C212, ""en"", ""de"")"),"Die Luftqualität ist zufriedenstellend")</f>
        <v>Die Luftqualität ist zufriedenstellend</v>
      </c>
      <c r="Z212" s="7" t="str">
        <f>IFERROR(__xludf.DUMMYFUNCTION("GoogleTranslate(C212, ""en"", ""el"")"),"Η ποιότητα του αέρα είναι ικανοποιητική")</f>
        <v>Η ποιότητα του αέρα είναι ικανοποιητική</v>
      </c>
      <c r="AA212" s="7" t="str">
        <f>IFERROR(__xludf.DUMMYFUNCTION("GoogleTranslate(C212, ""en"", ""iw"")"),"איכות האוויר משביעת רצון")</f>
        <v>איכות האוויר משביעת רצון</v>
      </c>
      <c r="AB212" s="7" t="str">
        <f>IFERROR(__xludf.DUMMYFUNCTION("GoogleTranslate(C212, ""en"", ""hi"")"),"हवा की गुणवत्ता संतोषजनक है")</f>
        <v>हवा की गुणवत्ता संतोषजनक है</v>
      </c>
      <c r="AC212" s="7" t="str">
        <f>IFERROR(__xludf.DUMMYFUNCTION("GoogleTranslate(C212, ""en"", ""hu"")"),"A levegő minősége kielégítő")</f>
        <v>A levegő minősége kielégítő</v>
      </c>
      <c r="AD212" s="7" t="str">
        <f>IFERROR(__xludf.DUMMYFUNCTION("GoogleTranslate(C212, ""en"", ""is"")"),"Loftgæði eru viðunandi")</f>
        <v>Loftgæði eru viðunandi</v>
      </c>
      <c r="AE212" s="7" t="str">
        <f>IFERROR(__xludf.DUMMYFUNCTION("GoogleTranslate(C212, ""en"", ""id"")"),"Kualitas udara memuaskan")</f>
        <v>Kualitas udara memuaskan</v>
      </c>
      <c r="AF212" s="7" t="str">
        <f>IFERROR(__xludf.DUMMYFUNCTION("GoogleTranslate(C212, ""en"", ""in"")"),"Kualitas udara memuaskan")</f>
        <v>Kualitas udara memuaskan</v>
      </c>
      <c r="AG212" s="7" t="str">
        <f>IFERROR(__xludf.DUMMYFUNCTION("GoogleTranslate(C212, ""en"", ""it"")"),"La qualità dell'aria è soddisfacente")</f>
        <v>La qualità dell'aria è soddisfacente</v>
      </c>
      <c r="AH212" s="7" t="str">
        <f>IFERROR(__xludf.DUMMYFUNCTION("GoogleTranslate(C212, ""en"", ""ja"")"),"空気の質は満足です")</f>
        <v>空気の質は満足です</v>
      </c>
      <c r="AI212" s="7" t="str">
        <f>IFERROR(__xludf.DUMMYFUNCTION("GoogleTranslate(C212, ""en"", ""kn"")"),"ಗಾಳಿಯ ಗುಣಮಟ್ಟ ತೃಪ್ತಿಕರವಾಗಿದೆ")</f>
        <v>ಗಾಳಿಯ ಗುಣಮಟ್ಟ ತೃಪ್ತಿಕರವಾಗಿದೆ</v>
      </c>
      <c r="AJ212" s="7" t="str">
        <f>IFERROR(__xludf.DUMMYFUNCTION("GoogleTranslate(C212, ""en"", ""km"")"),"គុណភាពខ្យល់គឺពេញចិត្ត")</f>
        <v>គុណភាពខ្យល់គឺពេញចិត្ត</v>
      </c>
      <c r="AK212" s="7" t="str">
        <f>IFERROR(__xludf.DUMMYFUNCTION("GoogleTranslate(C212, ""en"", ""ko"")"),"공기질은 만족스럽습니다")</f>
        <v>공기질은 만족스럽습니다</v>
      </c>
      <c r="AL212" s="7" t="str">
        <f>IFERROR(__xludf.DUMMYFUNCTION("GoogleTranslate(C212, ""en"", ""lo"")"),"ຄຸນນະພາບອາກາດເປັນທີ່ພໍໃຈ")</f>
        <v>ຄຸນນະພາບອາກາດເປັນທີ່ພໍໃຈ</v>
      </c>
      <c r="AM212" s="7" t="str">
        <f>IFERROR(__xludf.DUMMYFUNCTION("GoogleTranslate(C212, ""en"", ""lv"")"),"Gaisa kvalitāte ir apmierinoša")</f>
        <v>Gaisa kvalitāte ir apmierinoša</v>
      </c>
      <c r="AN212" s="7" t="str">
        <f>IFERROR(__xludf.DUMMYFUNCTION("GoogleTranslate(C212, ""en"", ""lt"")"),"Oro kokybė patenkinama")</f>
        <v>Oro kokybė patenkinama</v>
      </c>
      <c r="AO212" s="7" t="str">
        <f>IFERROR(__xludf.DUMMYFUNCTION("GoogleTranslate(C212, ""en"", ""mk"")"),"Квалитетот на воздухот е задоволителен")</f>
        <v>Квалитетот на воздухот е задоволителен</v>
      </c>
      <c r="AP212" s="7" t="str">
        <f>IFERROR(__xludf.DUMMYFUNCTION("GoogleTranslate(C212, ""en"", ""ms"")"),"Kualiti udara memuaskan")</f>
        <v>Kualiti udara memuaskan</v>
      </c>
      <c r="AQ212" s="7" t="str">
        <f>IFERROR(__xludf.DUMMYFUNCTION("GoogleTranslate(C212, ""en"", ""ml"")"),"വായുവിൻ്റെ ഗുണനിലവാരം തൃപ്തികരമാണ്")</f>
        <v>വായുവിൻ്റെ ഗുണനിലവാരം തൃപ്തികരമാണ്</v>
      </c>
      <c r="AR212" s="7" t="str">
        <f>IFERROR(__xludf.DUMMYFUNCTION("GoogleTranslate(C212, ""en"", ""mr"")"),"हवेची गुणवत्ता समाधानकारक आहे")</f>
        <v>हवेची गुणवत्ता समाधानकारक आहे</v>
      </c>
      <c r="AS212" s="7" t="str">
        <f>IFERROR(__xludf.DUMMYFUNCTION("GoogleTranslate(C212, ""en"", ""mn"")"),"Агаарын чанар хангалттай")</f>
        <v>Агаарын чанар хангалттай</v>
      </c>
      <c r="AT212" s="7" t="str">
        <f>IFERROR(__xludf.DUMMYFUNCTION("GoogleTranslate(C212, ""en"", ""ne"")"),"हावाको गुणस्तर सन्तोषजनक छ")</f>
        <v>हावाको गुणस्तर सन्तोषजनक छ</v>
      </c>
      <c r="AU212" s="7" t="str">
        <f>IFERROR(__xludf.DUMMYFUNCTION("GoogleTranslate(C212, ""en"", ""nb"")"),"Luftkvaliteten er tilfredsstillende")</f>
        <v>Luftkvaliteten er tilfredsstillende</v>
      </c>
      <c r="AV212" s="7" t="str">
        <f>IFERROR(__xludf.DUMMYFUNCTION("GoogleTranslate(C212, ""en"", ""fa"")"),"کیفیت هوا رضایت بخش است")</f>
        <v>کیفیت هوا رضایت بخش است</v>
      </c>
      <c r="AW212" s="7" t="str">
        <f>IFERROR(__xludf.DUMMYFUNCTION("GoogleTranslate(C212, ""en"", ""pl"")"),"Jakość powietrza jest zadowalająca")</f>
        <v>Jakość powietrza jest zadowalająca</v>
      </c>
      <c r="AX212" s="7" t="str">
        <f>IFERROR(__xludf.DUMMYFUNCTION("GoogleTranslate(C212, ""en"", ""pt"")"),"A qualidade do ar é satisfatória")</f>
        <v>A qualidade do ar é satisfatória</v>
      </c>
      <c r="AY212" s="7" t="str">
        <f>IFERROR(__xludf.DUMMYFUNCTION("GoogleTranslate(C212, ""en"", ""ro"")"),"Calitatea aerului este satisfăcătoare")</f>
        <v>Calitatea aerului este satisfăcătoare</v>
      </c>
      <c r="AZ212" s="7" t="str">
        <f>IFERROR(__xludf.DUMMYFUNCTION("GoogleTranslate(C212, ""en"", ""ru"")"),"Качество воздуха удовлетворительное")</f>
        <v>Качество воздуха удовлетворительное</v>
      </c>
      <c r="BA212" s="7" t="str">
        <f>IFERROR(__xludf.DUMMYFUNCTION("GoogleTranslate(C212, ""en"", ""sr"")"),"Квалитет ваздуха је задовољавајући")</f>
        <v>Квалитет ваздуха је задовољавајући</v>
      </c>
      <c r="BB212" s="7" t="str">
        <f>IFERROR(__xludf.DUMMYFUNCTION("GoogleTranslate(C212, ""en"", ""si"")"),"වාතයේ ගුණාත්මකභාවය සතුටුදායකයි")</f>
        <v>වාතයේ ගුණාත්මකභාවය සතුටුදායකයි</v>
      </c>
      <c r="BC212" s="7" t="str">
        <f>IFERROR(__xludf.DUMMYFUNCTION("GoogleTranslate(C212, ""en"", ""sk"")"),"Kvalita vzduchu je uspokojivá")</f>
        <v>Kvalita vzduchu je uspokojivá</v>
      </c>
      <c r="BD212" s="7" t="str">
        <f>IFERROR(__xludf.DUMMYFUNCTION("GoogleTranslate(C212, ""en"", ""sl"")"),"Kakovost zraka je zadovoljiva")</f>
        <v>Kakovost zraka je zadovoljiva</v>
      </c>
      <c r="BE212" s="7" t="str">
        <f>IFERROR(__xludf.DUMMYFUNCTION("GoogleTranslate(C212, ""en"", ""es"")"),"La calidad del aire es satisfactoria.")</f>
        <v>La calidad del aire es satisfactoria.</v>
      </c>
      <c r="BF212" s="7" t="str">
        <f>IFERROR(__xludf.DUMMYFUNCTION("GoogleTranslate(C212, ""en"", ""sw"")"),"Ubora wa hewa ni wa kuridhisha")</f>
        <v>Ubora wa hewa ni wa kuridhisha</v>
      </c>
      <c r="BG212" s="7" t="str">
        <f>IFERROR(__xludf.DUMMYFUNCTION("GoogleTranslate(C212, ""en"", ""sv"")"),"Luftkvaliteten är tillfredsställande")</f>
        <v>Luftkvaliteten är tillfredsställande</v>
      </c>
      <c r="BH212" s="7" t="str">
        <f>IFERROR(__xludf.DUMMYFUNCTION("GoogleTranslate(C212, ""en"", ""te"")"),"గాలి నాణ్యత సంతృప్తికరంగా ఉంది")</f>
        <v>గాలి నాణ్యత సంతృప్తికరంగా ఉంది</v>
      </c>
      <c r="BI212" s="7" t="str">
        <f>IFERROR(__xludf.DUMMYFUNCTION("GoogleTranslate(C212, ""en"", ""th"")"),"คุณภาพอากาศอยู่ในเกณฑ์น่าพอใจ")</f>
        <v>คุณภาพอากาศอยู่ในเกณฑ์น่าพอใจ</v>
      </c>
      <c r="BJ212" s="7" t="str">
        <f>IFERROR(__xludf.DUMMYFUNCTION("GoogleTranslate(C212, ""en"", ""tr"")"),"Hava kalitesi tatmin edici")</f>
        <v>Hava kalitesi tatmin edici</v>
      </c>
      <c r="BK212" s="7" t="str">
        <f>IFERROR(__xludf.DUMMYFUNCTION("GoogleTranslate(C212, ""en"", ""uk"")"),"Якість повітря задовільна")</f>
        <v>Якість повітря задовільна</v>
      </c>
      <c r="BL212" s="7" t="str">
        <f>IFERROR(__xludf.DUMMYFUNCTION("GoogleTranslate(C212, ""en"", ""zu"")"),"Izinga lomoya liyagculisa")</f>
        <v>Izinga lomoya liyagculisa</v>
      </c>
    </row>
    <row r="213">
      <c r="A213" s="5" t="str">
        <f t="shared" si="1"/>
        <v>Air_quality_is_acceptable</v>
      </c>
      <c r="B213" s="4" t="s">
        <v>261</v>
      </c>
      <c r="C213" s="4" t="s">
        <v>261</v>
      </c>
      <c r="D213" s="7" t="str">
        <f>IFERROR(__xludf.DUMMYFUNCTION("GoogleTranslate(C213, ""en"", ""es"")"),"La calidad del aire es aceptable.")</f>
        <v>La calidad del aire es aceptable.</v>
      </c>
      <c r="E213" s="7" t="str">
        <f>IFERROR(__xludf.DUMMYFUNCTION("GoogleTranslate(C213, ""en"", ""ar"")"),"جودة الهواء مقبولة")</f>
        <v>جودة الهواء مقبولة</v>
      </c>
      <c r="F213" s="7" t="str">
        <f>IFERROR(__xludf.DUMMYFUNCTION("GoogleTranslate(C213, ""en"", ""hy"")"),"Օդի որակը ընդունելի է")</f>
        <v>Օդի որակը ընդունելի է</v>
      </c>
      <c r="G213" s="7" t="str">
        <f>IFERROR(__xludf.DUMMYFUNCTION("GoogleTranslate(C213, ""en"", ""vi"")"),"Chất lượng không khí ở mức chấp nhận được")</f>
        <v>Chất lượng không khí ở mức chấp nhận được</v>
      </c>
      <c r="H213" s="7" t="str">
        <f>IFERROR(__xludf.DUMMYFUNCTION("GoogleTranslate(C213, ""en"", ""az"")"),"Hava keyfiyyəti məqbuldur")</f>
        <v>Hava keyfiyyəti məqbuldur</v>
      </c>
      <c r="I213" s="7" t="str">
        <f>IFERROR(__xludf.DUMMYFUNCTION("GoogleTranslate(C213, ""en"", ""eu"")"),"Airearen kalitatea onargarria da")</f>
        <v>Airearen kalitatea onargarria da</v>
      </c>
      <c r="J213" s="7" t="str">
        <f>IFERROR(__xludf.DUMMYFUNCTION("GoogleTranslate(C213, ""en"", ""be"")"),"Якасць паветра прымальная")</f>
        <v>Якасць паветра прымальная</v>
      </c>
      <c r="K213" s="7" t="str">
        <f>IFERROR(__xludf.DUMMYFUNCTION("GoogleTranslate(C213, ""en"", ""bn"")"),"বায়ুর মান গ্রহণযোগ্য")</f>
        <v>বায়ুর মান গ্রহণযোগ্য</v>
      </c>
      <c r="L213" s="7" t="str">
        <f>IFERROR(__xludf.DUMMYFUNCTION("GoogleTranslate(C213, ""en"", ""bg"")"),"Качеството на въздуха е приемливо")</f>
        <v>Качеството на въздуха е приемливо</v>
      </c>
      <c r="M213" s="7" t="str">
        <f>IFERROR(__xludf.DUMMYFUNCTION("GoogleTranslate(C213, ""en"", ""my"")"),"လေထုအရည်အသွေးသည် လက်ခံနိုင်ဖွယ်ရှိသည်။")</f>
        <v>လေထုအရည်အသွေးသည် လက်ခံနိုင်ဖွယ်ရှိသည်။</v>
      </c>
      <c r="N213" s="7" t="str">
        <f>IFERROR(__xludf.DUMMYFUNCTION("GoogleTranslate(C213, ""en"", ""ca"")"),"La qualitat de l'aire és acceptable")</f>
        <v>La qualitat de l'aire és acceptable</v>
      </c>
      <c r="O213" s="7" t="str">
        <f>IFERROR(__xludf.DUMMYFUNCTION("GoogleTranslate(C213, ""en"", ""zh-cn"")"),"空气质量尚可")</f>
        <v>空气质量尚可</v>
      </c>
      <c r="P213" s="7" t="str">
        <f>IFERROR(__xludf.DUMMYFUNCTION("GoogleTranslate(C213, ""en"", ""zh-TW"")"),"空氣品質尚可")</f>
        <v>空氣品質尚可</v>
      </c>
      <c r="Q213" s="7" t="str">
        <f>IFERROR(__xludf.DUMMYFUNCTION("GoogleTranslate(C213, ""en"", ""hr"")"),"Kvaliteta zraka je prihvatljiva")</f>
        <v>Kvaliteta zraka je prihvatljiva</v>
      </c>
      <c r="R213" s="7" t="str">
        <f>IFERROR(__xludf.DUMMYFUNCTION("GoogleTranslate(C213, ""en"", ""cs"")"),"Kvalita vzduchu je přijatelná")</f>
        <v>Kvalita vzduchu je přijatelná</v>
      </c>
      <c r="S213" s="7" t="str">
        <f>IFERROR(__xludf.DUMMYFUNCTION("GoogleTranslate(C213, ""en"", ""da"")"),"Luftkvaliteten er acceptabel")</f>
        <v>Luftkvaliteten er acceptabel</v>
      </c>
      <c r="T213" s="7" t="str">
        <f>IFERROR(__xludf.DUMMYFUNCTION("GoogleTranslate(C213, ""en"", ""nl"")"),"De luchtkwaliteit is acceptabel")</f>
        <v>De luchtkwaliteit is acceptabel</v>
      </c>
      <c r="U213" s="7" t="str">
        <f>IFERROR(__xludf.DUMMYFUNCTION("GoogleTranslate(C213, ""en"", ""et"")"),"Õhu kvaliteet on vastuvõetav")</f>
        <v>Õhu kvaliteet on vastuvõetav</v>
      </c>
      <c r="V213" s="5" t="str">
        <f t="shared" si="3"/>
        <v>Air quality is acceptable</v>
      </c>
      <c r="W213" s="7" t="str">
        <f>IFERROR(__xludf.DUMMYFUNCTION("GoogleTranslate(C213, ""en"", ""fi"")"),"Ilmanlaatu on hyväksyttävä")</f>
        <v>Ilmanlaatu on hyväksyttävä</v>
      </c>
      <c r="X213" s="7" t="str">
        <f>IFERROR(__xludf.DUMMYFUNCTION("GoogleTranslate(C213, ""en"", ""fr"")"),"La qualité de l'air est acceptable")</f>
        <v>La qualité de l'air est acceptable</v>
      </c>
      <c r="Y213" s="7" t="str">
        <f>IFERROR(__xludf.DUMMYFUNCTION("GoogleTranslate(C213, ""en"", ""de"")"),"Die Luftqualität ist akzeptabel")</f>
        <v>Die Luftqualität ist akzeptabel</v>
      </c>
      <c r="Z213" s="7" t="str">
        <f>IFERROR(__xludf.DUMMYFUNCTION("GoogleTranslate(C213, ""en"", ""el"")"),"Η ποιότητα του αέρα είναι αποδεκτή")</f>
        <v>Η ποιότητα του αέρα είναι αποδεκτή</v>
      </c>
      <c r="AA213" s="7" t="str">
        <f>IFERROR(__xludf.DUMMYFUNCTION("GoogleTranslate(C213, ""en"", ""iw"")"),"איכות האוויר מקובלת")</f>
        <v>איכות האוויר מקובלת</v>
      </c>
      <c r="AB213" s="7" t="str">
        <f>IFERROR(__xludf.DUMMYFUNCTION("GoogleTranslate(C213, ""en"", ""hi"")"),"वायु गुणवत्ता स्वीकार्य है")</f>
        <v>वायु गुणवत्ता स्वीकार्य है</v>
      </c>
      <c r="AC213" s="7" t="str">
        <f>IFERROR(__xludf.DUMMYFUNCTION("GoogleTranslate(C213, ""en"", ""hu"")"),"A levegő minősége elfogadható")</f>
        <v>A levegő minősége elfogadható</v>
      </c>
      <c r="AD213" s="7" t="str">
        <f>IFERROR(__xludf.DUMMYFUNCTION("GoogleTranslate(C213, ""en"", ""is"")"),"Loftgæði eru ásættanleg")</f>
        <v>Loftgæði eru ásættanleg</v>
      </c>
      <c r="AE213" s="7" t="str">
        <f>IFERROR(__xludf.DUMMYFUNCTION("GoogleTranslate(C213, ""en"", ""id"")"),"Kualitas udara dapat diterima")</f>
        <v>Kualitas udara dapat diterima</v>
      </c>
      <c r="AF213" s="7" t="str">
        <f>IFERROR(__xludf.DUMMYFUNCTION("GoogleTranslate(C213, ""en"", ""in"")"),"Kualitas udara dapat diterima")</f>
        <v>Kualitas udara dapat diterima</v>
      </c>
      <c r="AG213" s="7" t="str">
        <f>IFERROR(__xludf.DUMMYFUNCTION("GoogleTranslate(C213, ""en"", ""it"")"),"La qualità dell'aria è accettabile")</f>
        <v>La qualità dell'aria è accettabile</v>
      </c>
      <c r="AH213" s="7" t="str">
        <f>IFERROR(__xludf.DUMMYFUNCTION("GoogleTranslate(C213, ""en"", ""ja"")"),"空気の質は許容範囲内です")</f>
        <v>空気の質は許容範囲内です</v>
      </c>
      <c r="AI213" s="7" t="str">
        <f>IFERROR(__xludf.DUMMYFUNCTION("GoogleTranslate(C213, ""en"", ""kn"")"),"ಗಾಳಿಯ ಗುಣಮಟ್ಟ ಸ್ವೀಕಾರಾರ್ಹವಾಗಿದೆ")</f>
        <v>ಗಾಳಿಯ ಗುಣಮಟ್ಟ ಸ್ವೀಕಾರಾರ್ಹವಾಗಿದೆ</v>
      </c>
      <c r="AJ213" s="7" t="str">
        <f>IFERROR(__xludf.DUMMYFUNCTION("GoogleTranslate(C213, ""en"", ""km"")"),"គុណភាពខ្យល់អាចទទួលយកបាន។")</f>
        <v>គុណភាពខ្យល់អាចទទួលយកបាន។</v>
      </c>
      <c r="AK213" s="7" t="str">
        <f>IFERROR(__xludf.DUMMYFUNCTION("GoogleTranslate(C213, ""en"", ""ko"")"),"공기질은 괜찮습니다")</f>
        <v>공기질은 괜찮습니다</v>
      </c>
      <c r="AL213" s="7" t="str">
        <f>IFERROR(__xludf.DUMMYFUNCTION("GoogleTranslate(C213, ""en"", ""lo"")"),"ຄຸນນະພາບອາກາດເປັນທີ່ຍອມຮັບ")</f>
        <v>ຄຸນນະພາບອາກາດເປັນທີ່ຍອມຮັບ</v>
      </c>
      <c r="AM213" s="7" t="str">
        <f>IFERROR(__xludf.DUMMYFUNCTION("GoogleTranslate(C213, ""en"", ""lv"")"),"Gaisa kvalitāte ir pieņemama")</f>
        <v>Gaisa kvalitāte ir pieņemama</v>
      </c>
      <c r="AN213" s="7" t="str">
        <f>IFERROR(__xludf.DUMMYFUNCTION("GoogleTranslate(C213, ""en"", ""lt"")"),"Oro kokybė yra priimtina")</f>
        <v>Oro kokybė yra priimtina</v>
      </c>
      <c r="AO213" s="7" t="str">
        <f>IFERROR(__xludf.DUMMYFUNCTION("GoogleTranslate(C213, ""en"", ""mk"")"),"Квалитетот на воздухот е прифатлив")</f>
        <v>Квалитетот на воздухот е прифатлив</v>
      </c>
      <c r="AP213" s="7" t="str">
        <f>IFERROR(__xludf.DUMMYFUNCTION("GoogleTranslate(C213, ""en"", ""ms"")"),"Kualiti udara boleh diterima")</f>
        <v>Kualiti udara boleh diterima</v>
      </c>
      <c r="AQ213" s="7" t="str">
        <f>IFERROR(__xludf.DUMMYFUNCTION("GoogleTranslate(C213, ""en"", ""ml"")"),"വായുവിൻ്റെ ഗുണനിലവാരം സ്വീകാര്യമാണ്")</f>
        <v>വായുവിൻ്റെ ഗുണനിലവാരം സ്വീകാര്യമാണ്</v>
      </c>
      <c r="AR213" s="7" t="str">
        <f>IFERROR(__xludf.DUMMYFUNCTION("GoogleTranslate(C213, ""en"", ""mr"")"),"हवेची गुणवत्ता स्वीकार्य आहे")</f>
        <v>हवेची गुणवत्ता स्वीकार्य आहे</v>
      </c>
      <c r="AS213" s="7" t="str">
        <f>IFERROR(__xludf.DUMMYFUNCTION("GoogleTranslate(C213, ""en"", ""mn"")"),"Агаарын чанарыг хүлээн зөвшөөрөх боломжтой")</f>
        <v>Агаарын чанарыг хүлээн зөвшөөрөх боломжтой</v>
      </c>
      <c r="AT213" s="7" t="str">
        <f>IFERROR(__xludf.DUMMYFUNCTION("GoogleTranslate(C213, ""en"", ""ne"")"),"हावा गुणस्तर स्वीकार्य छ")</f>
        <v>हावा गुणस्तर स्वीकार्य छ</v>
      </c>
      <c r="AU213" s="7" t="str">
        <f>IFERROR(__xludf.DUMMYFUNCTION("GoogleTranslate(C213, ""en"", ""nb"")"),"Luftkvaliteten er akseptabel")</f>
        <v>Luftkvaliteten er akseptabel</v>
      </c>
      <c r="AV213" s="7" t="str">
        <f>IFERROR(__xludf.DUMMYFUNCTION("GoogleTranslate(C213, ""en"", ""fa"")"),"کیفیت هوا قابل قبول است")</f>
        <v>کیفیت هوا قابل قبول است</v>
      </c>
      <c r="AW213" s="7" t="str">
        <f>IFERROR(__xludf.DUMMYFUNCTION("GoogleTranslate(C213, ""en"", ""pl"")"),"Jakość powietrza jest akceptowalna")</f>
        <v>Jakość powietrza jest akceptowalna</v>
      </c>
      <c r="AX213" s="7" t="str">
        <f>IFERROR(__xludf.DUMMYFUNCTION("GoogleTranslate(C213, ""en"", ""pt"")"),"A qualidade do ar é aceitável")</f>
        <v>A qualidade do ar é aceitável</v>
      </c>
      <c r="AY213" s="7" t="str">
        <f>IFERROR(__xludf.DUMMYFUNCTION("GoogleTranslate(C213, ""en"", ""ro"")"),"Calitatea aerului este acceptabilă")</f>
        <v>Calitatea aerului este acceptabilă</v>
      </c>
      <c r="AZ213" s="7" t="str">
        <f>IFERROR(__xludf.DUMMYFUNCTION("GoogleTranslate(C213, ""en"", ""ru"")"),"Качество воздуха приемлемое")</f>
        <v>Качество воздуха приемлемое</v>
      </c>
      <c r="BA213" s="7" t="str">
        <f>IFERROR(__xludf.DUMMYFUNCTION("GoogleTranslate(C213, ""en"", ""sr"")"),"Квалитет ваздуха је прихватљив")</f>
        <v>Квалитет ваздуха је прихватљив</v>
      </c>
      <c r="BB213" s="7" t="str">
        <f>IFERROR(__xludf.DUMMYFUNCTION("GoogleTranslate(C213, ""en"", ""si"")"),"වාතයේ ගුණාත්මකභාවය පිළිගත හැකි ය")</f>
        <v>වාතයේ ගුණාත්මකභාවය පිළිගත හැකි ය</v>
      </c>
      <c r="BC213" s="7" t="str">
        <f>IFERROR(__xludf.DUMMYFUNCTION("GoogleTranslate(C213, ""en"", ""sk"")"),"Kvalita vzduchu je prijateľná")</f>
        <v>Kvalita vzduchu je prijateľná</v>
      </c>
      <c r="BD213" s="7" t="str">
        <f>IFERROR(__xludf.DUMMYFUNCTION("GoogleTranslate(C213, ""en"", ""sl"")"),"Kakovost zraka je sprejemljiva")</f>
        <v>Kakovost zraka je sprejemljiva</v>
      </c>
      <c r="BE213" s="7" t="str">
        <f>IFERROR(__xludf.DUMMYFUNCTION("GoogleTranslate(C213, ""en"", ""es"")"),"La calidad del aire es aceptable.")</f>
        <v>La calidad del aire es aceptable.</v>
      </c>
      <c r="BF213" s="7" t="str">
        <f>IFERROR(__xludf.DUMMYFUNCTION("GoogleTranslate(C213, ""en"", ""sw"")"),"Ubora wa hewa unakubalika")</f>
        <v>Ubora wa hewa unakubalika</v>
      </c>
      <c r="BG213" s="7" t="str">
        <f>IFERROR(__xludf.DUMMYFUNCTION("GoogleTranslate(C213, ""en"", ""sv"")"),"Luftkvaliteten är acceptabel")</f>
        <v>Luftkvaliteten är acceptabel</v>
      </c>
      <c r="BH213" s="7" t="str">
        <f>IFERROR(__xludf.DUMMYFUNCTION("GoogleTranslate(C213, ""en"", ""te"")"),"గాలి నాణ్యత ఆమోదయోగ్యమైనది")</f>
        <v>గాలి నాణ్యత ఆమోదయోగ్యమైనది</v>
      </c>
      <c r="BI213" s="7" t="str">
        <f>IFERROR(__xludf.DUMMYFUNCTION("GoogleTranslate(C213, ""en"", ""th"")"),"คุณภาพอากาศเป็นที่ยอมรับ")</f>
        <v>คุณภาพอากาศเป็นที่ยอมรับ</v>
      </c>
      <c r="BJ213" s="7" t="str">
        <f>IFERROR(__xludf.DUMMYFUNCTION("GoogleTranslate(C213, ""en"", ""tr"")"),"Hava kalitesi kabul edilebilir")</f>
        <v>Hava kalitesi kabul edilebilir</v>
      </c>
      <c r="BK213" s="7" t="str">
        <f>IFERROR(__xludf.DUMMYFUNCTION("GoogleTranslate(C213, ""en"", ""uk"")"),"Якість повітря прийнятна")</f>
        <v>Якість повітря прийнятна</v>
      </c>
      <c r="BL213" s="7" t="str">
        <f>IFERROR(__xludf.DUMMYFUNCTION("GoogleTranslate(C213, ""en"", ""zu"")"),"Ikhwalithi yomoya yamukelekile")</f>
        <v>Ikhwalithi yomoya yamukelekile</v>
      </c>
    </row>
    <row r="214">
      <c r="A214" s="5" t="str">
        <f t="shared" si="1"/>
        <v>Members_of_sensitive_groups_may_experience_health_effects._The_general_public_is_less_likely_to_be_affected.</v>
      </c>
      <c r="B214" s="4" t="s">
        <v>252</v>
      </c>
      <c r="C214" s="4" t="s">
        <v>252</v>
      </c>
      <c r="D214" s="7" t="str">
        <f>IFERROR(__xludf.DUMMYFUNCTION("GoogleTranslate(C214,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E214" s="7" t="str">
        <f>IFERROR(__xludf.DUMMYFUNCTION("GoogleTranslate(C214, ""en"", ""ar"")"),"قد يتعرض أعضاء المجموعات الحساسة لآثار صحية. عامة الناس أقل عرضة للتأثر.")</f>
        <v>قد يتعرض أعضاء المجموعات الحساسة لآثار صحية. عامة الناس أقل عرضة للتأثر.</v>
      </c>
      <c r="F214" s="7" t="str">
        <f>IFERROR(__xludf.DUMMYFUNCTION("GoogleTranslate(C214, ""en"", ""hy"")"),"Զգայուն խմբերի անդամները կարող են ունենալ առողջական ազդեցություն: Լայն հանրությունը ավելի քիչ հավանական է, որ ազդի:")</f>
        <v>Զգայուն խմբերի անդամները կարող են ունենալ առողջական ազդեցություն: Լայն հանրությունը ավելի քիչ հավանական է, որ ազդի:</v>
      </c>
      <c r="G214" s="7" t="str">
        <f>IFERROR(__xludf.DUMMYFUNCTION("GoogleTranslate(C214, ""en"", ""vi"")"),"Thành viên của các nhóm nhạy cảm có thể bị ảnh hưởng sức khỏe. Công chúng ít có khả năng bị ảnh hưởng.")</f>
        <v>Thành viên của các nhóm nhạy cảm có thể bị ảnh hưởng sức khỏe. Công chúng ít có khả năng bị ảnh hưởng.</v>
      </c>
      <c r="H214" s="7" t="str">
        <f>IFERROR(__xludf.DUMMYFUNCTION("GoogleTranslate(C214, ""en"", ""az"")"),"Həssas qrupların üzvləri sağlamlığa təsir göstərə bilər. Ümumi ictimaiyyətin təsirlənmə ehtimalı azdır.")</f>
        <v>Həssas qrupların üzvləri sağlamlığa təsir göstərə bilər. Ümumi ictimaiyyətin təsirlənmə ehtimalı azdır.</v>
      </c>
      <c r="I214" s="7" t="str">
        <f>IFERROR(__xludf.DUMMYFUNCTION("GoogleTranslate(C214, ""en"", ""eu"")"),"Talde sentikorretako kideek osasun-ondorioak izan ditzakete. Publiko orokorrak eragin txikiagoa izango du.")</f>
        <v>Talde sentikorretako kideek osasun-ondorioak izan ditzakete. Publiko orokorrak eragin txikiagoa izango du.</v>
      </c>
      <c r="J214" s="7" t="str">
        <f>IFERROR(__xludf.DUMMYFUNCTION("GoogleTranslate(C214, ""en"", ""be"")"),"Члены адчувальных груп могуць адчуваць наступствы для здароўя. Шырокая грамадскасць будзе менш закранута.")</f>
        <v>Члены адчувальных груп могуць адчуваць наступствы для здароўя. Шырокая грамадскасць будзе менш закранута.</v>
      </c>
      <c r="K214" s="7" t="str">
        <f>IFERROR(__xludf.DUMMYFUNCTION("GoogleTranslate(C214, ""en"", ""bn"")"),"সংবেদনশীল গোষ্ঠীর সদস্যরা স্বাস্থ্যের প্রভাব অনুভব করতে পারে। এতে সাধারণ মানুষ ক্ষতিগ্রস্ত হওয়ার সম্ভাবনা কম।")</f>
        <v>সংবেদনশীল গোষ্ঠীর সদস্যরা স্বাস্থ্যের প্রভাব অনুভব করতে পারে। এতে সাধারণ মানুষ ক্ষতিগ্রস্ত হওয়ার সম্ভাবনা কম।</v>
      </c>
      <c r="L214" s="7" t="str">
        <f>IFERROR(__xludf.DUMMYFUNCTION("GoogleTranslate(C214, ""en"", ""bg"")"),"Членовете на чувствителни групи могат да изпитат последици за здравето. По-малко вероятно е широката общественост да бъде засегната.")</f>
        <v>Членовете на чувствителни групи могат да изпитат последици за здравето. По-малко вероятно е широката общественост да бъде засегната.</v>
      </c>
      <c r="M214" s="7" t="str">
        <f>IFERROR(__xludf.DUMMYFUNCTION("GoogleTranslate(C214, ""en"", ""my"")"),"ထိလွယ်ရှလွယ်သောအဖွဲ့များ၏ အဖွဲ့ဝင်များသည် ကျန်းမာရေးဆိုင်ရာ သက်ရောက်မှုများကို ခံစားရနိုင်သည်။ သာမန်ပြည်သူတွေ ထိခိုက်နိုင်ခြေ နည်းတယ်။")</f>
        <v>ထိလွယ်ရှလွယ်သောအဖွဲ့များ၏ အဖွဲ့ဝင်များသည် ကျန်းမာရေးဆိုင်ရာ သက်ရောက်မှုများကို ခံစားရနိုင်သည်။ သာမန်ပြည်သူတွေ ထိခိုက်နိုင်ခြေ နည်းတယ်။</v>
      </c>
      <c r="N214" s="7" t="str">
        <f>IFERROR(__xludf.DUMMYFUNCTION("GoogleTranslate(C214, ""en"", ""ca"")"),"Els membres de grups sensibles poden experimentar efectes sobre la salut. És menys probable que el públic en general es vegi afectat.")</f>
        <v>Els membres de grups sensibles poden experimentar efectes sobre la salut. És menys probable que el públic en general es vegi afectat.</v>
      </c>
      <c r="O214" s="7" t="str">
        <f>IFERROR(__xludf.DUMMYFUNCTION("GoogleTranslate(C214, ""en"", ""zh-cn"")"),"敏感群体的成员可能会受到健康影响。普通公众受到影响的可能性较小。")</f>
        <v>敏感群体的成员可能会受到健康影响。普通公众受到影响的可能性较小。</v>
      </c>
      <c r="P214" s="7" t="str">
        <f>IFERROR(__xludf.DUMMYFUNCTION("GoogleTranslate(C214, ""en"", ""zh-TW"")"),"敏感群體的成員可能會受到健康影響。一般公眾受到影響的可能性較小。")</f>
        <v>敏感群體的成員可能會受到健康影響。一般公眾受到影響的可能性較小。</v>
      </c>
      <c r="Q214" s="7" t="str">
        <f>IFERROR(__xludf.DUMMYFUNCTION("GoogleTranslate(C214, ""en"", ""hr"")"),"Pripadnici osjetljivih skupina mogu imati zdravstvene posljedice. Manje je vjerojatno da će biti pogođena šira javnost.")</f>
        <v>Pripadnici osjetljivih skupina mogu imati zdravstvene posljedice. Manje je vjerojatno da će biti pogođena šira javnost.</v>
      </c>
      <c r="R214" s="7" t="str">
        <f>IFERROR(__xludf.DUMMYFUNCTION("GoogleTranslate(C214, ""en"", ""cs"")"),"Členové citlivých skupin mohou pociťovat zdravotní účinky. Širší veřejnost je méně pravděpodobně zasažena.")</f>
        <v>Členové citlivých skupin mohou pociťovat zdravotní účinky. Širší veřejnost je méně pravděpodobně zasažena.</v>
      </c>
      <c r="S214" s="7" t="str">
        <f>IFERROR(__xludf.DUMMYFUNCTION("GoogleTranslate(C214, ""en"", ""da"")"),"Medlemmer af følsomme grupper kan opleve sundhedseffekter. Den brede offentlighed er mindre tilbøjelig til at blive berørt.")</f>
        <v>Medlemmer af følsomme grupper kan opleve sundhedseffekter. Den brede offentlighed er mindre tilbøjelig til at blive berørt.</v>
      </c>
      <c r="T214" s="7" t="str">
        <f>IFERROR(__xludf.DUMMYFUNCTION("GoogleTranslate(C214, ""en"", ""nl"")"),"Leden van gevoelige groepen kunnen gezondheidseffecten ervaren. Het grote publiek zal er minder snel last van hebben.")</f>
        <v>Leden van gevoelige groepen kunnen gezondheidseffecten ervaren. Het grote publiek zal er minder snel last van hebben.</v>
      </c>
      <c r="U214" s="7" t="str">
        <f>IFERROR(__xludf.DUMMYFUNCTION("GoogleTranslate(C214, ""en"", ""et"")"),"Tundlike rühmade liikmed võivad kogeda tervisemõjusid. Üldsust mõjutab see vähem tõenäoliselt.")</f>
        <v>Tundlike rühmade liikmed võivad kogeda tervisemõjusid. Üldsust mõjutab see vähem tõenäoliselt.</v>
      </c>
      <c r="V214" s="5" t="str">
        <f t="shared" si="3"/>
        <v>Members of sensitive groups may experience health effects. The general public is less likely to be affected.</v>
      </c>
      <c r="W214" s="7" t="str">
        <f>IFERROR(__xludf.DUMMYFUNCTION("GoogleTranslate(C214, ""en"", ""fi"")"),"Herkkien ryhmien jäsenet voivat kokea terveysvaikutuksia. Suuren yleisön vaikutus on vähemmän todennäköistä.")</f>
        <v>Herkkien ryhmien jäsenet voivat kokea terveysvaikutuksia. Suuren yleisön vaikutus on vähemmän todennäköistä.</v>
      </c>
      <c r="X214" s="7" t="str">
        <f>IFERROR(__xludf.DUMMYFUNCTION("GoogleTranslate(C214, ""en"", ""fr"")"),"Les membres des groupes sensibles peuvent subir des effets sur leur santé. Le grand public est moins susceptible d’être concerné.")</f>
        <v>Les membres des groupes sensibles peuvent subir des effets sur leur santé. Le grand public est moins susceptible d’être concerné.</v>
      </c>
      <c r="Y214" s="7" t="str">
        <f>IFERROR(__xludf.DUMMYFUNCTION("GoogleTranslate(C214, ""en"", ""de"")"),"Bei Angehörigen sensibler Gruppen kann es zu gesundheitlichen Auswirkungen kommen. Die breite Öffentlichkeit dürfte weniger betroffen sein.")</f>
        <v>Bei Angehörigen sensibler Gruppen kann es zu gesundheitlichen Auswirkungen kommen. Die breite Öffentlichkeit dürfte weniger betroffen sein.</v>
      </c>
      <c r="Z214" s="7" t="str">
        <f>IFERROR(__xludf.DUMMYFUNCTION("GoogleTranslate(C214, ""en"", ""el"")"),"Μέλη ευαίσθητων ομάδων μπορεί να παρουσιάσουν επιπτώσεις στην υγεία. Το ευρύ κοινό είναι λιγότερο πιθανό να επηρεαστεί.")</f>
        <v>Μέλη ευαίσθητων ομάδων μπορεί να παρουσιάσουν επιπτώσεις στην υγεία. Το ευρύ κοινό είναι λιγότερο πιθανό να επηρεαστεί.</v>
      </c>
      <c r="AA214" s="7" t="str">
        <f>IFERROR(__xludf.DUMMYFUNCTION("GoogleTranslate(C214, ""en"", ""iw"")"),"חברים בקבוצות רגישות עלולים לחוות השפעות בריאותיות. הציבור הרחב נוטה פחות להיפגע.")</f>
        <v>חברים בקבוצות רגישות עלולים לחוות השפעות בריאותיות. הציבור הרחב נוטה פחות להיפגע.</v>
      </c>
      <c r="AB214" s="7" t="str">
        <f>IFERROR(__xludf.DUMMYFUNCTION("GoogleTranslate(C214, ""en"", ""hi"")"),"संवेदनशील समूहों के सदस्यों को स्वास्थ्य प्रभावों का अनुभव हो सकता है। आम जनता के प्रभावित होने की संभावना कम है.")</f>
        <v>संवेदनशील समूहों के सदस्यों को स्वास्थ्य प्रभावों का अनुभव हो सकता है। आम जनता के प्रभावित होने की संभावना कम है.</v>
      </c>
      <c r="AC214" s="7" t="str">
        <f>IFERROR(__xludf.DUMMYFUNCTION("GoogleTranslate(C214, ""en"", ""hu"")"),"Az érzékeny csoportok tagjai egészségügyi hatásokat tapasztalhatnak. A nagyközönséget kevésbé valószínű, hogy ez érinti.")</f>
        <v>Az érzékeny csoportok tagjai egészségügyi hatásokat tapasztalhatnak. A nagyközönséget kevésbé valószínű, hogy ez érinti.</v>
      </c>
      <c r="AD214" s="7" t="str">
        <f>IFERROR(__xludf.DUMMYFUNCTION("GoogleTranslate(C214, ""en"", ""is"")"),"Meðlimir viðkvæmra hópa geta fundið fyrir heilsufarsáhrifum. Það er ólíklegra að almenningur verði fyrir áhrifum.")</f>
        <v>Meðlimir viðkvæmra hópa geta fundið fyrir heilsufarsáhrifum. Það er ólíklegra að almenningur verði fyrir áhrifum.</v>
      </c>
      <c r="AE214" s="7" t="str">
        <f>IFERROR(__xludf.DUMMYFUNCTION("GoogleTranslate(C214, ""en"", ""id"")"),"Anggota kelompok sensitif mungkin mengalami dampak kesehatan. Masyarakat umum cenderung tidak terkena dampaknya.")</f>
        <v>Anggota kelompok sensitif mungkin mengalami dampak kesehatan. Masyarakat umum cenderung tidak terkena dampaknya.</v>
      </c>
      <c r="AF214" s="7" t="str">
        <f>IFERROR(__xludf.DUMMYFUNCTION("GoogleTranslate(C214, ""en"", ""in"")"),"Anggota kelompok sensitif mungkin mengalami dampak kesehatan. Masyarakat umum cenderung tidak terkena dampaknya.")</f>
        <v>Anggota kelompok sensitif mungkin mengalami dampak kesehatan. Masyarakat umum cenderung tidak terkena dampaknya.</v>
      </c>
      <c r="AG214" s="7" t="str">
        <f>IFERROR(__xludf.DUMMYFUNCTION("GoogleTranslate(C214, ""en"", ""it"")"),"I membri di gruppi sensibili possono sperimentare effetti sulla salute. Il pubblico in generale ha meno probabilità di essere colpito.")</f>
        <v>I membri di gruppi sensibili possono sperimentare effetti sulla salute. Il pubblico in generale ha meno probabilità di essere colpito.</v>
      </c>
      <c r="AH214" s="7" t="str">
        <f>IFERROR(__xludf.DUMMYFUNCTION("GoogleTranslate(C214, ""en"", ""ja"")"),"敏感なグループのメンバーは健康への影響を経験する可能性があります。一般の人は影響を受ける可能性が低いです。")</f>
        <v>敏感なグループのメンバーは健康への影響を経験する可能性があります。一般の人は影響を受ける可能性が低いです。</v>
      </c>
      <c r="AI214" s="7" t="str">
        <f>IFERROR(__xludf.DUMMYFUNCTION("GoogleTranslate(C214, ""en"", ""kn"")"),"ಸೂಕ್ಷ್ಮ ಗುಂಪುಗಳ ಸದಸ್ಯರು ಆರೋಗ್ಯದ ಪರಿಣಾಮಗಳನ್ನು ಅನುಭವಿಸಬಹುದು. ಜನಸಾಮಾನ್ಯರಿಗೆ ತೊಂದರೆಯಾಗುವ ಸಾಧ್ಯತೆ ಕಡಿಮೆ.")</f>
        <v>ಸೂಕ್ಷ್ಮ ಗುಂಪುಗಳ ಸದಸ್ಯರು ಆರೋಗ್ಯದ ಪರಿಣಾಮಗಳನ್ನು ಅನುಭವಿಸಬಹುದು. ಜನಸಾಮಾನ್ಯರಿಗೆ ತೊಂದರೆಯಾಗುವ ಸಾಧ್ಯತೆ ಕಡಿಮೆ.</v>
      </c>
      <c r="AJ214" s="7" t="str">
        <f>IFERROR(__xludf.DUMMYFUNCTION("GoogleTranslate(C214, ""en"", ""km"")"),"សមាជិកនៃក្រុមរសើបអាចជួបប្រទះផលប៉ះពាល់សុខភាព។ សាធារណជន​ទូទៅ​មិន​សូវ​ទទួល​រង​ផល​ប៉ះពាល់​ទេ។")</f>
        <v>សមាជិកនៃក្រុមរសើបអាចជួបប្រទះផលប៉ះពាល់សុខភាព។ សាធារណជន​ទូទៅ​មិន​សូវ​ទទួល​រង​ផល​ប៉ះពាល់​ទេ។</v>
      </c>
      <c r="AK214" s="7" t="str">
        <f>IFERROR(__xludf.DUMMYFUNCTION("GoogleTranslate(C214, ""en"", ""ko"")"),"민감한 그룹의 구성원은 건강에 영향을 미칠 수 있습니다. 일반 대중은 영향을 받을 가능성이 적습니다.")</f>
        <v>민감한 그룹의 구성원은 건강에 영향을 미칠 수 있습니다. 일반 대중은 영향을 받을 가능성이 적습니다.</v>
      </c>
      <c r="AL214" s="7" t="str">
        <f>IFERROR(__xludf.DUMMYFUNCTION("GoogleTranslate(C214, ""en"", ""lo"")"),"ສະມາຊິກຂອງກຸ່ມທີ່ລະອຽດອ່ອນອາດຈະປະສົບຜົນກະທົບດ້ານສຸຂະພາບ. ປະຊາຊົນທົ່ວໄປແມ່ນຫນ້ອຍທີ່ຈະໄດ້ຮັບຜົນກະທົບ.")</f>
        <v>ສະມາຊິກຂອງກຸ່ມທີ່ລະອຽດອ່ອນອາດຈະປະສົບຜົນກະທົບດ້ານສຸຂະພາບ. ປະຊາຊົນທົ່ວໄປແມ່ນຫນ້ອຍທີ່ຈະໄດ້ຮັບຜົນກະທົບ.</v>
      </c>
      <c r="AM214" s="7" t="str">
        <f>IFERROR(__xludf.DUMMYFUNCTION("GoogleTranslate(C214, ""en"", ""lv"")"),"Sensitīvu grupu locekļi var saskarties ar ietekmi uz veselību. Visticamāk, ka sabiedrība tiks ietekmēta mazāk.")</f>
        <v>Sensitīvu grupu locekļi var saskarties ar ietekmi uz veselību. Visticamāk, ka sabiedrība tiks ietekmēta mazāk.</v>
      </c>
      <c r="AN214" s="7" t="str">
        <f>IFERROR(__xludf.DUMMYFUNCTION("GoogleTranslate(C214, ""en"", ""lt"")"),"Jautrių grupių nariai gali patirti poveikį sveikatai. Mažiau tikėtina, kad bus paveikta plačioji visuomenė.")</f>
        <v>Jautrių grupių nariai gali patirti poveikį sveikatai. Mažiau tikėtina, kad bus paveikta plačioji visuomenė.</v>
      </c>
      <c r="AO214" s="7" t="str">
        <f>IFERROR(__xludf.DUMMYFUNCTION("GoogleTranslate(C214, ""en"", ""mk"")"),"Членовите на чувствителните групи може да доживеат здравствени ефекти. Помалку е веројатно општата јавност да биде засегната.")</f>
        <v>Членовите на чувствителните групи може да доживеат здравствени ефекти. Помалку е веројатно општата јавност да биде засегната.</v>
      </c>
      <c r="AP214" s="7" t="str">
        <f>IFERROR(__xludf.DUMMYFUNCTION("GoogleTranslate(C214, ""en"", ""ms"")"),"Ahli kumpulan sensitif mungkin mengalami kesan kesihatan. Orang awam kurang berkemungkinan terjejas.")</f>
        <v>Ahli kumpulan sensitif mungkin mengalami kesan kesihatan. Orang awam kurang berkemungkinan terjejas.</v>
      </c>
      <c r="AQ214" s="7" t="str">
        <f>IFERROR(__xludf.DUMMYFUNCTION("GoogleTranslate(C214, ""en"", ""ml"")"),"സെൻസിറ്റീവ് ഗ്രൂപ്പുകളിലെ അംഗങ്ങൾക്ക് ആരോഗ്യപരമായ പ്രത്യാഘാതങ്ങൾ അനുഭവപ്പെട്ടേക്കാം. സാധാരണക്കാരെ ബാധിക്കാനുള്ള സാധ്യത കുറവാണ്.")</f>
        <v>സെൻസിറ്റീവ് ഗ്രൂപ്പുകളിലെ അംഗങ്ങൾക്ക് ആരോഗ്യപരമായ പ്രത്യാഘാതങ്ങൾ അനുഭവപ്പെട്ടേക്കാം. സാധാരണക്കാരെ ബാധിക്കാനുള്ള സാധ്യത കുറവാണ്.</v>
      </c>
      <c r="AR214" s="7" t="str">
        <f>IFERROR(__xludf.DUMMYFUNCTION("GoogleTranslate(C214, ""en"", ""mr"")"),"संवेदनशील गटातील सदस्यांना आरोग्यावर परिणाम होऊ शकतात. सर्वसामान्यांना याचा फटका बसण्याची शक्यता कमी आहे.")</f>
        <v>संवेदनशील गटातील सदस्यांना आरोग्यावर परिणाम होऊ शकतात. सर्वसामान्यांना याचा फटका बसण्याची शक्यता कमी आहे.</v>
      </c>
      <c r="AS214" s="7" t="str">
        <f>IFERROR(__xludf.DUMMYFUNCTION("GoogleTranslate(C214, ""en"", ""mn"")"),"Эмзэг бүлгийн гишүүд эрүүл мэндэд сөрөг нөлөө үзүүлж болзошгүй. Нийт ард иргэд өртөх магадлал бага байдаг.")</f>
        <v>Эмзэг бүлгийн гишүүд эрүүл мэндэд сөрөг нөлөө үзүүлж болзошгүй. Нийт ард иргэд өртөх магадлал бага байдаг.</v>
      </c>
      <c r="AT214" s="7" t="str">
        <f>IFERROR(__xludf.DUMMYFUNCTION("GoogleTranslate(C214, ""en"", ""ne"")"),"संवेदनशील समूहका सदस्यहरूले स्वास्थ्य प्रभावहरू अनुभव गर्न सक्छन्। सर्वसाधारणलाई भने कम असर परेको छ ।")</f>
        <v>संवेदनशील समूहका सदस्यहरूले स्वास्थ्य प्रभावहरू अनुभव गर्न सक्छन्। सर्वसाधारणलाई भने कम असर परेको छ ।</v>
      </c>
      <c r="AU214" s="7" t="str">
        <f>IFERROR(__xludf.DUMMYFUNCTION("GoogleTranslate(C214, ""en"", ""nb"")"),"Medlemmer av sensitive grupper kan oppleve helseeffekter. Allmennheten er mindre sannsynlig å bli berørt.")</f>
        <v>Medlemmer av sensitive grupper kan oppleve helseeffekter. Allmennheten er mindre sannsynlig å bli berørt.</v>
      </c>
      <c r="AV214" s="7" t="str">
        <f>IFERROR(__xludf.DUMMYFUNCTION("GoogleTranslate(C214, ""en"", ""fa"")"),"اعضای گروه های حساس ممکن است اثرات سلامتی را تجربه کنند. عموم مردم کمتر تحت تأثیر قرار می گیرند.")</f>
        <v>اعضای گروه های حساس ممکن است اثرات سلامتی را تجربه کنند. عموم مردم کمتر تحت تأثیر قرار می گیرند.</v>
      </c>
      <c r="AW214" s="7" t="str">
        <f>IFERROR(__xludf.DUMMYFUNCTION("GoogleTranslate(C214, ""en"", ""pl"")"),"Członkowie grup wrażliwych mogą doświadczyć skutków zdrowotnych. Jest mniejsze prawdopodobieństwo, że wpływ ten będzie dotyczył ogółu społeczeństwa.")</f>
        <v>Członkowie grup wrażliwych mogą doświadczyć skutków zdrowotnych. Jest mniejsze prawdopodobieństwo, że wpływ ten będzie dotyczył ogółu społeczeństwa.</v>
      </c>
      <c r="AX214" s="7" t="str">
        <f>IFERROR(__xludf.DUMMYFUNCTION("GoogleTranslate(C214, ""en"", ""pt"")"),"Membros de grupos sensíveis podem sofrer efeitos na saúde. O público em geral tem menos probabilidade de ser afetado.")</f>
        <v>Membros de grupos sensíveis podem sofrer efeitos na saúde. O público em geral tem menos probabilidade de ser afetado.</v>
      </c>
      <c r="AY214" s="7" t="str">
        <f>IFERROR(__xludf.DUMMYFUNCTION("GoogleTranslate(C214, ""en"", ""ro"")"),"Membrii grupurilor sensibile pot avea efecte asupra sănătății. Publicul larg este mai puțin probabil să fie afectat.")</f>
        <v>Membrii grupurilor sensibile pot avea efecte asupra sănătății. Publicul larg este mai puțin probabil să fie afectat.</v>
      </c>
      <c r="AZ214" s="7" t="str">
        <f>IFERROR(__xludf.DUMMYFUNCTION("GoogleTranslate(C214, ""en"", ""ru"")"),"Члены чувствительных групп могут испытывать последствия для здоровья. Широкая общественность пострадает в меньшей степени.")</f>
        <v>Члены чувствительных групп могут испытывать последствия для здоровья. Широкая общественность пострадает в меньшей степени.</v>
      </c>
      <c r="BA214" s="7" t="str">
        <f>IFERROR(__xludf.DUMMYFUNCTION("GoogleTranslate(C214, ""en"", ""sr"")"),"Припадници осетљивих група могу имати здравствене последице. Мање је вероватно да ће шира јавност бити погођена.")</f>
        <v>Припадници осетљивих група могу имати здравствене последице. Мање је вероватно да ће шира јавност бити погођена.</v>
      </c>
      <c r="BB214" s="7" t="str">
        <f>IFERROR(__xludf.DUMMYFUNCTION("GoogleTranslate(C214, ""en"", ""si"")"),"සංවේදී කණ්ඩායම්වල සාමාජිකයින්ට සෞඛ්ය බලපෑම් ඇති විය හැක. සාමාන්‍ය ජනතාව පීඩාවට පත්වීම අඩුයි.")</f>
        <v>සංවේදී කණ්ඩායම්වල සාමාජිකයින්ට සෞඛ්ය බලපෑම් ඇති විය හැක. සාමාන්‍ය ජනතාව පීඩාවට පත්වීම අඩුයි.</v>
      </c>
      <c r="BC214" s="7" t="str">
        <f>IFERROR(__xludf.DUMMYFUNCTION("GoogleTranslate(C214, ""en"", ""sk"")"),"Členovia citlivých skupín môžu pociťovať zdravotné účinky. Široká verejnosť je menej pravdepodobne ovplyvnená.")</f>
        <v>Členovia citlivých skupín môžu pociťovať zdravotné účinky. Široká verejnosť je menej pravdepodobne ovplyvnená.</v>
      </c>
      <c r="BD214" s="7" t="str">
        <f>IFERROR(__xludf.DUMMYFUNCTION("GoogleTranslate(C214, ""en"", ""sl"")"),"Člani občutljivih skupin lahko občutijo posledice za zdravje. Manj verjetno je, da bo prizadeta splošna javnost.")</f>
        <v>Člani občutljivih skupin lahko občutijo posledice za zdravje. Manj verjetno je, da bo prizadeta splošna javnost.</v>
      </c>
      <c r="BE214" s="7" t="str">
        <f>IFERROR(__xludf.DUMMYFUNCTION("GoogleTranslate(C214, ""en"", ""es"")"),"Los miembros de grupos sensibles pueden experimentar efectos sobre la salud. Es menos probable que el público en general se vea afectado.")</f>
        <v>Los miembros de grupos sensibles pueden experimentar efectos sobre la salud. Es menos probable que el público en general se vea afectado.</v>
      </c>
      <c r="BF214" s="7" t="str">
        <f>IFERROR(__xludf.DUMMYFUNCTION("GoogleTranslate(C214, ""en"", ""sw"")"),"Washiriki wa vikundi nyeti wanaweza kupata athari za kiafya. Umma kwa ujumla una uwezekano mdogo wa kuathirika.")</f>
        <v>Washiriki wa vikundi nyeti wanaweza kupata athari za kiafya. Umma kwa ujumla una uwezekano mdogo wa kuathirika.</v>
      </c>
      <c r="BG214" s="7" t="str">
        <f>IFERROR(__xludf.DUMMYFUNCTION("GoogleTranslate(C214, ""en"", ""sv"")"),"Medlemmar i känsliga grupper kan uppleva hälsoeffekter. Allmänheten är mindre sannolikt att drabbas.")</f>
        <v>Medlemmar i känsliga grupper kan uppleva hälsoeffekter. Allmänheten är mindre sannolikt att drabbas.</v>
      </c>
      <c r="BH214" s="7" t="str">
        <f>IFERROR(__xludf.DUMMYFUNCTION("GoogleTranslate(C214, ""en"", ""te"")"),"సున్నితమైన సమూహాల సభ్యులు ఆరోగ్య ప్రభావాలను అనుభవించవచ్చు. సామాన్య ప్రజానీకం దీని బారిన పడే అవకాశం తక్కువ.")</f>
        <v>సున్నితమైన సమూహాల సభ్యులు ఆరోగ్య ప్రభావాలను అనుభవించవచ్చు. సామాన్య ప్రజానీకం దీని బారిన పడే అవకాశం తక్కువ.</v>
      </c>
      <c r="BI214" s="7" t="str">
        <f>IFERROR(__xludf.DUMMYFUNCTION("GoogleTranslate(C214, ""en"", ""th"")"),"สมาชิกของกลุ่มที่มีความอ่อนไหวอาจได้รับผลกระทบต่อสุขภาพ ประชาชนทั่วไปมีโอกาสได้รับผลกระทบน้อย")</f>
        <v>สมาชิกของกลุ่มที่มีความอ่อนไหวอาจได้รับผลกระทบต่อสุขภาพ ประชาชนทั่วไปมีโอกาสได้รับผลกระทบน้อย</v>
      </c>
      <c r="BJ214" s="7" t="str">
        <f>IFERROR(__xludf.DUMMYFUNCTION("GoogleTranslate(C214, ""en"", ""tr"")"),"Hassas grupların üyeleri sağlık açısından etkilerle karşılaşabilir. Genel halkın etkilenme olasılığı daha düşüktür.")</f>
        <v>Hassas grupların üyeleri sağlık açısından etkilerle karşılaşabilir. Genel halkın etkilenme olasılığı daha düşüktür.</v>
      </c>
      <c r="BK214" s="7" t="str">
        <f>IFERROR(__xludf.DUMMYFUNCTION("GoogleTranslate(C214, ""en"", ""uk"")"),"Члени чутливих груп можуть мати наслідки для здоров'я. Менш імовірно, що це вплине на населення.")</f>
        <v>Члени чутливих груп можуть мати наслідки для здоров'я. Менш імовірно, що це вплине на населення.</v>
      </c>
      <c r="BL214" s="7" t="str">
        <f>IFERROR(__xludf.DUMMYFUNCTION("GoogleTranslate(C214, ""en"", ""zu"")"),"Amalungu amaqembu azwelayo angase abe nemiphumela yezempilo. Umphakathi jikelele mancane amathuba okuthi uthinteke.")</f>
        <v>Amalungu amaqembu azwelayo angase abe nemiphumela yezempilo. Umphakathi jikelele mancane amathuba okuthi uthinteke.</v>
      </c>
    </row>
    <row r="215">
      <c r="A215" s="5" t="str">
        <f t="shared" si="1"/>
        <v>Some_members_of_the_general_public_may_experience_health_effects;_members_of_sensitive_groups_may_experience_more_serious_health_effects.</v>
      </c>
      <c r="B215" s="4" t="s">
        <v>253</v>
      </c>
      <c r="C215" s="4" t="s">
        <v>253</v>
      </c>
      <c r="D215" s="7" t="str">
        <f>IFERROR(__xludf.DUMMYFUNCTION("GoogleTranslate(C215,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E215" s="7" t="str">
        <f>IFERROR(__xludf.DUMMYFUNCTION("GoogleTranslate(C215, ""en"", ""ar"")"),"قد يتعرض بعض أفراد عامة الناس لآثار صحية؛ قد يتعرض أعضاء المجموعات الحساسة لآثار صحية أكثر خطورة.")</f>
        <v>قد يتعرض بعض أفراد عامة الناس لآثار صحية؛ قد يتعرض أعضاء المجموعات الحساسة لآثار صحية أكثر خطورة.</v>
      </c>
      <c r="F215" s="7" t="str">
        <f>IFERROR(__xludf.DUMMYFUNCTION("GoogleTranslate(C215, ""en"", ""hy"")"),"Հասարակության որոշ անդամներ կարող են զգալ առողջական ազդեցություն. զգայուն խմբերի անդամները կարող են ավելի լուրջ առողջական հետևանքներ ունենալ:")</f>
        <v>Հասարակության որոշ անդամներ կարող են զգալ առողջական ազդեցություն. զգայուն խմբերի անդամները կարող են ավելի լուրջ առողջական հետևանքներ ունենալ:</v>
      </c>
      <c r="G215" s="7" t="str">
        <f>IFERROR(__xludf.DUMMYFUNCTION("GoogleTranslate(C215, ""en"", ""vi"")"),"Một số thành viên của cộng đồng nói chung có thể bị ảnh hưởng về sức khoẻ; thành viên của các nhóm nhạy cảm có thể bị ảnh hưởng sức khỏe nghiêm trọng hơn.")</f>
        <v>Một số thành viên của cộng đồng nói chung có thể bị ảnh hưởng về sức khoẻ; thành viên của các nhóm nhạy cảm có thể bị ảnh hưởng sức khỏe nghiêm trọng hơn.</v>
      </c>
      <c r="H215" s="7" t="str">
        <f>IFERROR(__xludf.DUMMYFUNCTION("GoogleTranslate(C215, ""en"", ""az"")"),"Cəmiyyətin bəzi üzvləri sağlamlığa təsir göstərə bilər; həssas qrupların üzvləri daha ciddi sağlamlıq təsirləri ilə üzləşə bilər.")</f>
        <v>Cəmiyyətin bəzi üzvləri sağlamlığa təsir göstərə bilər; həssas qrupların üzvləri daha ciddi sağlamlıq təsirləri ilə üzləşə bilər.</v>
      </c>
      <c r="I215" s="7" t="str">
        <f>IFERROR(__xludf.DUMMYFUNCTION("GoogleTranslate(C215, ""en"", ""eu"")"),"Publiko orokorreko kide batzuek osasun-ondorioak izan ditzakete; talde sentikorretako kideek osasun-ondorio larriagoak izan ditzakete.")</f>
        <v>Publiko orokorreko kide batzuek osasun-ondorioak izan ditzakete; talde sentikorretako kideek osasun-ondorio larriagoak izan ditzakete.</v>
      </c>
      <c r="J215" s="7" t="str">
        <f>IFERROR(__xludf.DUMMYFUNCTION("GoogleTranslate(C215, ""en"", ""be"")"),"Некаторыя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f>
        <v>Некаторыя прадстаўнікі шырокай грамадскасці могуць адчуваць наступствы для здароўя; члены адчувальных груп могуць адчуваць больш сур'ёзныя наступствы для здароўя.</v>
      </c>
      <c r="K215" s="7" t="str">
        <f>IFERROR(__xludf.DUMMYFUNCTION("GoogleTranslate(C215, ""en"", ""bn"")"),"সাধারণ জনগণের কিছু সদস্য স্বাস্থ্যের প্রভাব অনুভব করতে পারে; সংবেদনশীল গোষ্ঠীর সদস্যরা আরও গুরুতর স্বাস্থ্য প্রভাব অনুভব করতে পারে।")</f>
        <v>সাধারণ জনগণের কিছু সদস্য স্বাস্থ্যের প্রভাব অনুভব করতে পারে; সংবেদনশীল গোষ্ঠীর সদস্যরা আরও গুরুতর স্বাস্থ্য প্রভাব অনুভব করতে পারে।</v>
      </c>
      <c r="L215" s="7" t="str">
        <f>IFERROR(__xludf.DUMMYFUNCTION("GoogleTranslate(C215, ""en"", ""bg"")"),"Някои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f>
        <v>Някои членове на широката общественост могат да изпитат последици за здравето; членовете на чувствителни групи могат да изпитат по-сериозни последици за здравето.</v>
      </c>
      <c r="M215" s="7" t="str">
        <f>IFERROR(__xludf.DUMMYFUNCTION("GoogleTranslate(C215, ""en"", ""my"")"),"သာမန်ပြည်သူအချို့၏ ကျန်းမာရေးဆိုင်ရာ သက်ရောက်မှုများကို ခံစားရနိုင်သည်၊ ထိလွယ်ရှလွယ်သော အဖွဲ့များ၏ အဖွဲ့ဝင်များသည် ပိုမိုပြင်းထန်သော ကျန်းမာရေးဆိုင်ရာ သက်ရောက်မှုများကို ခံစားရနိုင်သည်။")</f>
        <v>သာမန်ပြည်သူအချို့၏ ကျန်းမာရေးဆိုင်ရာ သက်ရောက်မှုများကို ခံစားရနိုင်သည်၊ ထိလွယ်ရှလွယ်သော အဖွဲ့များ၏ အဖွဲ့ဝင်များသည် ပိုမိုပြင်းထန်သော ကျန်းမာရေးဆိုင်ရာ သက်ရောက်မှုများကို ခံစားရနိုင်သည်။</v>
      </c>
      <c r="N215" s="7" t="str">
        <f>IFERROR(__xludf.DUMMYFUNCTION("GoogleTranslate(C215, ""en"", ""ca"")"),"Alguns membres del públic en general poden experimentar efectes sobre la salut; els membres de grups sensibles poden experimentar efectes més greus per a la salut.")</f>
        <v>Alguns membres del públic en general poden experimentar efectes sobre la salut; els membres de grups sensibles poden experimentar efectes més greus per a la salut.</v>
      </c>
      <c r="O215" s="7" t="str">
        <f>IFERROR(__xludf.DUMMYFUNCTION("GoogleTranslate(C215, ""en"", ""zh-cn"")"),"一些公众可能会受到健康影响；敏感群体的成员可能会遭受更严重的健康影响。")</f>
        <v>一些公众可能会受到健康影响；敏感群体的成员可能会遭受更严重的健康影响。</v>
      </c>
      <c r="P215" s="7" t="str">
        <f>IFERROR(__xludf.DUMMYFUNCTION("GoogleTranslate(C215, ""en"", ""zh-TW"")"),"有些公眾可能會受到健康影響；敏感群體的成員可能會遭受更嚴重的健康影響。")</f>
        <v>有些公眾可能會受到健康影響；敏感群體的成員可能會遭受更嚴重的健康影響。</v>
      </c>
      <c r="Q215" s="7" t="str">
        <f>IFERROR(__xludf.DUMMYFUNCTION("GoogleTranslate(C215, ""en"", ""hr"")"),"Neki članovi opće javnosti mogu osjetiti zdravstvene učinke; pripadnici osjetljivih skupina mogu imati ozbiljnije zdravstvene posljedice.")</f>
        <v>Neki članovi opće javnosti mogu osjetiti zdravstvene učinke; pripadnici osjetljivih skupina mogu imati ozbiljnije zdravstvene posljedice.</v>
      </c>
      <c r="R215" s="7" t="str">
        <f>IFERROR(__xludf.DUMMYFUNCTION("GoogleTranslate(C215, ""en"", ""cs"")"),"Někteří členové široké veřejnosti mohou pociťovat zdravotní účinky; členové citlivých skupin mohou pociťovat vážnější zdravotní účinky.")</f>
        <v>Někteří členové široké veřejnosti mohou pociťovat zdravotní účinky; členové citlivých skupin mohou pociťovat vážnější zdravotní účinky.</v>
      </c>
      <c r="S215" s="7" t="str">
        <f>IFERROR(__xludf.DUMMYFUNCTION("GoogleTranslate(C215, ""en"", ""da"")"),"Nogle medlemmer af offentligheden kan opleve sundhedseffekter; medlemmer af følsomme grupper kan opleve mere alvorlige helbredseffekter.")</f>
        <v>Nogle medlemmer af offentligheden kan opleve sundhedseffekter; medlemmer af følsomme grupper kan opleve mere alvorlige helbredseffekter.</v>
      </c>
      <c r="T215" s="7" t="str">
        <f>IFERROR(__xludf.DUMMYFUNCTION("GoogleTranslate(C215, ""en"", ""nl"")"),"Sommige leden van het grote publiek kunnen gezondheidseffecten ervaren; leden van gevoelige groepen kunnen ernstigere gevolgen voor de gezondheid ervaren.")</f>
        <v>Sommige leden van het grote publiek kunnen gezondheidseffecten ervaren; leden van gevoelige groepen kunnen ernstigere gevolgen voor de gezondheid ervaren.</v>
      </c>
      <c r="U215" s="7" t="str">
        <f>IFERROR(__xludf.DUMMYFUNCTION("GoogleTranslate(C215, ""en"", ""et"")"),"Mõned üldsuse liikmed võivad kogeda tervisemõjusid; tundlike rühmade liikmed võivad kogeda tõsisemaid tervisemõjusid.")</f>
        <v>Mõned üldsuse liikmed võivad kogeda tervisemõjusid; tundlike rühmade liikmed võivad kogeda tõsisemaid tervisemõjusid.</v>
      </c>
      <c r="V215" s="5" t="str">
        <f t="shared" si="3"/>
        <v>Some members of the general public may experience health effects; members of sensitive groups may experience more serious health effects.</v>
      </c>
      <c r="W215" s="7" t="str">
        <f>IFERROR(__xludf.DUMMYFUNCTION("GoogleTranslate(C215, ""en"", ""fi"")"),"Jotkut suuren yleisön jäsenet voivat kokea terveysvaikutuksia; herkkien ryhmien jäsenillä voi olla vakavampia terveysvaikutuksia.")</f>
        <v>Jotkut suuren yleisön jäsenet voivat kokea terveysvaikutuksia; herkkien ryhmien jäsenillä voi olla vakavampia terveysvaikutuksia.</v>
      </c>
      <c r="X215" s="7" t="str">
        <f>IFERROR(__xludf.DUMMYFUNCTION("GoogleTranslate(C215, ""en"", ""fr"")"),"Certains membres du grand public peuvent subir des effets sur la santé ; les membres des groupes sensibles peuvent subir des effets plus graves sur leur santé.")</f>
        <v>Certains membres du grand public peuvent subir des effets sur la santé ; les membres des groupes sensibles peuvent subir des effets plus graves sur leur santé.</v>
      </c>
      <c r="Y215" s="7" t="str">
        <f>IFERROR(__xludf.DUMMYFUNCTION("GoogleTranslate(C215, ""en"", ""de"")"),"Bei einigen Mitgliedern der Öffentlichkeit können gesundheitliche Auswirkungen auftreten; Bei Mitgliedern sensibler Gruppen kann es zu schwerwiegenderen gesundheitlichen Auswirkungen kommen.")</f>
        <v>Bei einigen Mitgliedern der Öffentlichkeit können gesundheitliche Auswirkungen auftreten; Bei Mitgliedern sensibler Gruppen kann es zu schwerwiegenderen gesundheitlichen Auswirkungen kommen.</v>
      </c>
      <c r="Z215" s="7" t="str">
        <f>IFERROR(__xludf.DUMMYFUNCTION("GoogleTranslate(C215, ""en"", ""el"")"),"Ορισμένα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f>
        <v>Ορισμένα μέλη του ευρύτερου κοινού μπορεί να εμφανίσουν επιπτώσεις στην υγεία. μέλη ευαίσθητων ομάδων μπορεί να παρουσιάσουν πιο σοβαρές επιπτώσεις στην υγεία.</v>
      </c>
      <c r="AA215" s="7" t="str">
        <f>IFERROR(__xludf.DUMMYFUNCTION("GoogleTranslate(C215, ""en"", ""iw"")"),"חלק מהציבור הרחב עלולים לחוות השפעות בריאותיות; חברי קבוצות רגישות עלולים לחוות השפעות בריאותיות חמורות יותר.")</f>
        <v>חלק מהציבור הרחב עלולים לחוות השפעות בריאותיות; חברי קבוצות רגישות עלולים לחוות השפעות בריאותיות חמורות יותר.</v>
      </c>
      <c r="AB215" s="7" t="str">
        <f>IFERROR(__xludf.DUMMYFUNCTION("GoogleTranslate(C215, ""en"", ""hi"")"),"आम जनता के कुछ सदस्यों को स्वास्थ्य प्रभावों का अनुभव हो सकता है; संवेदनशील समूहों के सदस्यों को अधिक गंभीर स्वास्थ्य प्रभावों का अनुभव हो सकता है।")</f>
        <v>आम जनता के कुछ सदस्यों को स्वास्थ्य प्रभावों का अनुभव हो सकता है; संवेदनशील समूहों के सदस्यों को अधिक गंभीर स्वास्थ्य प्रभावों का अनुभव हो सकता है।</v>
      </c>
      <c r="AC215" s="7" t="str">
        <f>IFERROR(__xludf.DUMMYFUNCTION("GoogleTranslate(C215, ""en"", ""hu"")"),"A lakosság egy része egészségügyi hatásokat tapasztalhat; az érzékeny csoportok tagjai súlyosabb egészségügyi hatásokat tapasztalhatnak.")</f>
        <v>A lakosság egy része egészségügyi hatásokat tapasztalhat; az érzékeny csoportok tagjai súlyosabb egészségügyi hatásokat tapasztalhatnak.</v>
      </c>
      <c r="AD215" s="7" t="str">
        <f>IFERROR(__xludf.DUMMYFUNCTION("GoogleTranslate(C215, ""en"", ""is"")"),"Sumir meðlimir almennings geta fundið fyrir heilsufarsáhrifum; meðlimir viðkvæmra hópa geta fundið fyrir alvarlegri heilsufarsáhrifum.")</f>
        <v>Sumir meðlimir almennings geta fundið fyrir heilsufarsáhrifum; meðlimir viðkvæmra hópa geta fundið fyrir alvarlegri heilsufarsáhrifum.</v>
      </c>
      <c r="AE215" s="7" t="str">
        <f>IFERROR(__xludf.DUMMYFUNCTION("GoogleTranslate(C215, ""en"", ""id"")"),"Beberapa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F215" s="7" t="str">
        <f>IFERROR(__xludf.DUMMYFUNCTION("GoogleTranslate(C215, ""en"", ""in"")"),"Beberapa anggota masyarakat umum mungkin mengalami dampak kesehatan; anggota kelompok sensitif mungkin mengalami dampak kesehatan yang lebih serius.")</f>
        <v>Beberapa anggota masyarakat umum mungkin mengalami dampak kesehatan; anggota kelompok sensitif mungkin mengalami dampak kesehatan yang lebih serius.</v>
      </c>
      <c r="AG215" s="7" t="str">
        <f>IFERROR(__xludf.DUMMYFUNCTION("GoogleTranslate(C215, ""en"", ""it"")"),"Alcuni membri del pubblico in generale potrebbero sperimentare effetti sulla salute; i membri di gruppi sensibili possono sperimentare effetti sulla salute più gravi.")</f>
        <v>Alcuni membri del pubblico in generale potrebbero sperimentare effetti sulla salute; i membri di gruppi sensibili possono sperimentare effetti sulla salute più gravi.</v>
      </c>
      <c r="AH215" s="7" t="str">
        <f>IFERROR(__xludf.DUMMYFUNCTION("GoogleTranslate(C215, ""en"", ""ja"")"),"一般人の中には健康被害を経験する人もいるかもしれません。敏感なグループのメンバーは、より深刻な健康影響を経験する可能性があります。")</f>
        <v>一般人の中には健康被害を経験する人もいるかもしれません。敏感なグループのメンバーは、より深刻な健康影響を経験する可能性があります。</v>
      </c>
      <c r="AI215" s="7" t="str">
        <f>IFERROR(__xludf.DUMMYFUNCTION("GoogleTranslate(C215, ""en"", ""kn"")"),"ಸಾಮಾನ್ಯ ಜನರ ಕೆಲವು ಸದಸ್ಯರು ಆರೋಗ್ಯದ ಪರಿಣಾಮಗಳನ್ನು ಅನುಭವಿಸಬಹುದು; ಸೂಕ್ಷ್ಮ ಗುಂಪುಗಳ ಸದಸ್ಯರು ಹೆಚ್ಚು ಗಂಭೀರವಾದ ಆರೋಗ್ಯ ಪರಿಣಾಮಗಳನ್ನು ಅನುಭವಿಸಬಹುದು.")</f>
        <v>ಸಾಮಾನ್ಯ ಜನರ ಕೆಲವು ಸದಸ್ಯರು ಆರೋಗ್ಯದ ಪರಿಣಾಮಗಳನ್ನು ಅನುಭವಿಸಬಹುದು; ಸೂಕ್ಷ್ಮ ಗುಂಪುಗಳ ಸದಸ್ಯರು ಹೆಚ್ಚು ಗಂಭೀರವಾದ ಆರೋಗ್ಯ ಪರಿಣಾಮಗಳನ್ನು ಅನುಭವಿಸಬಹುದು.</v>
      </c>
      <c r="AJ215" s="7" t="str">
        <f>IFERROR(__xludf.DUMMYFUNCTION("GoogleTranslate(C215, ""en"", ""km"")"),"សមាជិកមួយចំនួននៃសាធារណជនទូទៅអាចជួបប្រទះផលប៉ះពាល់សុខភាព។ សមាជិកនៃក្រុមរសើបអាចជួបប្រទះផលប៉ះពាល់សុខភាពធ្ងន់ធ្ងរជាងនេះ។")</f>
        <v>សមាជិកមួយចំនួននៃសាធារណជនទូទៅអាចជួបប្រទះផលប៉ះពាល់សុខភាព។ សមាជិកនៃក្រុមរសើបអាចជួបប្រទះផលប៉ះពាល់សុខភាពធ្ងន់ធ្ងរជាងនេះ។</v>
      </c>
      <c r="AK215" s="7" t="str">
        <f>IFERROR(__xludf.DUMMYFUNCTION("GoogleTranslate(C215, ""en"", ""ko"")"),"일반 대중 중 일부는 건강에 영향을 미칠 수 있습니다. 민감한 그룹의 구성원은 건강에 더 심각한 영향을 미칠 수 있습니다.")</f>
        <v>일반 대중 중 일부는 건강에 영향을 미칠 수 있습니다. 민감한 그룹의 구성원은 건강에 더 심각한 영향을 미칠 수 있습니다.</v>
      </c>
      <c r="AL215" s="7" t="str">
        <f>IFERROR(__xludf.DUMMYFUNCTION("GoogleTranslate(C215, ""en"", ""lo"")"),"ສະມາຊິກບາງຄົນຂອງປະຊາຊົນທົ່ວໄປອາດຈະປະສົບຜົນກະທົບດ້ານສຸຂະພາບ;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f>
        <v>ສະມາຊິກບາງຄົນຂອງປະຊາຊົນທົ່ວໄປອາດຈະປະສົບຜົນກະທົບດ້ານສຸຂະພາບ; ສະມາຊິກຂອງກຸ່ມທີ່ລະອຽດອ່ອນອາດຈະປະສົບຜົນກະທົບດ້ານສຸຂະພາບທີ່ຮ້າຍແຮງກວ່າ.</v>
      </c>
      <c r="AM215" s="7" t="str">
        <f>IFERROR(__xludf.DUMMYFUNCTION("GoogleTranslate(C215, ""en"", ""lv"")"),"Dažiem plašas sabiedrības locekļiem var rasties ietekme uz veselību; jutīgu grupu locekļi var izjust nopietnāku ietekmi uz veselību.")</f>
        <v>Dažiem plašas sabiedrības locekļiem var rasties ietekme uz veselību; jutīgu grupu locekļi var izjust nopietnāku ietekmi uz veselību.</v>
      </c>
      <c r="AN215" s="7" t="str">
        <f>IFERROR(__xludf.DUMMYFUNCTION("GoogleTranslate(C215, ""en"", ""lt"")"),"Kai kurie plačiosios visuomenės nariai gali patirti poveikį sveikatai; jautrių grupių nariai gali patirti rimtesnį poveikį sveikatai.")</f>
        <v>Kai kurie plačiosios visuomenės nariai gali patirti poveikį sveikatai; jautrių grupių nariai gali patirti rimtesnį poveikį sveikatai.</v>
      </c>
      <c r="AO215" s="7" t="str">
        <f>IFERROR(__xludf.DUMMYFUNCTION("GoogleTranslate(C215, ""en"", ""mk"")"),"Некои членови на општата јавност може да доживеат здравствени ефекти; членовите на чувствителните групи може да доживеат посериозни здравствени ефекти.")</f>
        <v>Некои членови на општата јавност може да доживеат здравствени ефекти; членовите на чувствителните групи може да доживеат посериозни здравствени ефекти.</v>
      </c>
      <c r="AP215" s="7" t="str">
        <f>IFERROR(__xludf.DUMMYFUNCTION("GoogleTranslate(C215, ""en"", ""ms"")"),"Sesetengah orang awam mungkin mengalami kesan kesihatan; ahli kumpulan sensitif mungkin mengalami kesan kesihatan yang lebih serius.")</f>
        <v>Sesetengah orang awam mungkin mengalami kesan kesihatan; ahli kumpulan sensitif mungkin mengalami kesan kesihatan yang lebih serius.</v>
      </c>
      <c r="AQ215" s="7" t="str">
        <f>IFERROR(__xludf.DUMMYFUNCTION("GoogleTranslate(C215, ""en"", ""ml"")"),"പൊതുജനങ്ങളിൽ ചിലർക്ക് ആരോഗ്യപരമായ പ്രത്യാഘാതങ്ങൾ ഉണ്ടായേക്കാം; സെൻസിറ്റീവ് ഗ്രൂപ്പുകളിലെ അംഗങ്ങൾ കൂടുതൽ ഗുരുതരമായ ആരോഗ്യപ്രശ്നങ്ങൾ അനുഭവിച്ചേക്കാം.")</f>
        <v>പൊതുജനങ്ങളിൽ ചിലർക്ക് ആരോഗ്യപരമായ പ്രത്യാഘാതങ്ങൾ ഉണ്ടായേക്കാം; സെൻസിറ്റീവ് ഗ്രൂപ്പുകളിലെ അംഗങ്ങൾ കൂടുതൽ ഗുരുതരമായ ആരോഗ്യപ്രശ്നങ്ങൾ അനുഭവിച്ചേക്കാം.</v>
      </c>
      <c r="AR215" s="7" t="str">
        <f>IFERROR(__xludf.DUMMYFUNCTION("GoogleTranslate(C215, ""en"", ""mr"")"),"सामान्य लोकांच्या काही सदस्यांना आरोग्यावर परिणाम होऊ शकतात; संवेदनशील गटातील सदस्यांना आरोग्यावर अधिक गंभीर परिणाम होऊ शकतात.")</f>
        <v>सामान्य लोकांच्या काही सदस्यांना आरोग्यावर परिणाम होऊ शकतात; संवेदनशील गटातील सदस्यांना आरोग्यावर अधिक गंभीर परिणाम होऊ शकतात.</v>
      </c>
      <c r="AS215" s="7" t="str">
        <f>IFERROR(__xludf.DUMMYFUNCTION("GoogleTranslate(C215, ""en"", ""mn"")"),"Олон нийтийн зарим гишүүд эрүүл мэндэд сөрөг нөлөө үзүүлж болзошгүй; мэдрэмтгий бүлгийн гишүүд эрүүл мэндэд илүү ноцтой нөлөө үзүүлж болзошгүй.")</f>
        <v>Олон нийтийн зарим гишүүд эрүүл мэндэд сөрөг нөлөө үзүүлж болзошгүй; мэдрэмтгий бүлгийн гишүүд эрүүл мэндэд илүү ноцтой нөлөө үзүүлж болзошгүй.</v>
      </c>
      <c r="AT215" s="7" t="str">
        <f>IFERROR(__xludf.DUMMYFUNCTION("GoogleTranslate(C215, ""en"", ""ne"")"),"सामान्य जनताका केही सदस्यहरूले स्वास्थ्य प्रभावहरू अनुभव गर्न सक्छन्; संवेदनशील समूहका सदस्यहरूले थप गम्भीर स्वास्थ्य प्रभावहरू अनुभव गर्न सक्छन्।")</f>
        <v>सामान्य जनताका केही सदस्यहरूले स्वास्थ्य प्रभावहरू अनुभव गर्न सक्छन्; संवेदनशील समूहका सदस्यहरूले थप गम्भीर स्वास्थ्य प्रभावहरू अनुभव गर्न सक्छन्।</v>
      </c>
      <c r="AU215" s="7" t="str">
        <f>IFERROR(__xludf.DUMMYFUNCTION("GoogleTranslate(C215, ""en"", ""nb"")"),"Noen medlemmer av allmennheten kan oppleve helseeffekter; medlemmer av sensitive grupper kan oppleve mer alvorlige helseeffekter.")</f>
        <v>Noen medlemmer av allmennheten kan oppleve helseeffekter; medlemmer av sensitive grupper kan oppleve mer alvorlige helseeffekter.</v>
      </c>
      <c r="AV215" s="7" t="str">
        <f>IFERROR(__xludf.DUMMYFUNCTION("GoogleTranslate(C215, ""en"", ""fa"")"),"برخی از اعضای عموم ممکن است اثرات سلامتی را تجربه کنند. اعضای گروه های حساس ممکن است اثرات جدی تری بر سلامتی داشته باشند.")</f>
        <v>برخی از اعضای عموم ممکن است اثرات سلامتی را تجربه کنند. اعضای گروه های حساس ممکن است اثرات جدی تری بر سلامتی داشته باشند.</v>
      </c>
      <c r="AW215" s="7" t="str">
        <f>IFERROR(__xludf.DUMMYFUNCTION("GoogleTranslate(C215, ""en"", ""pl"")"),"Niektórzy członkowie społeczeństwa mogą doświadczyć skutków zdrowotnych; członkowie grup wrażliwych mogą doświadczyć poważniejszych skutków zdrowotnych.")</f>
        <v>Niektórzy członkowie społeczeństwa mogą doświadczyć skutków zdrowotnych; członkowie grup wrażliwych mogą doświadczyć poważniejszych skutków zdrowotnych.</v>
      </c>
      <c r="AX215" s="7" t="str">
        <f>IFERROR(__xludf.DUMMYFUNCTION("GoogleTranslate(C215, ""en"", ""pt"")"),"Alguns membros do público em geral podem sofrer efeitos na saúde; membros de grupos sensíveis podem sofrer efeitos mais graves para a saúde.")</f>
        <v>Alguns membros do público em geral podem sofrer efeitos na saúde; membros de grupos sensíveis podem sofrer efeitos mais graves para a saúde.</v>
      </c>
      <c r="AY215" s="7" t="str">
        <f>IFERROR(__xludf.DUMMYFUNCTION("GoogleTranslate(C215, ""en"", ""ro"")"),"Unii membri ai publicului larg pot avea efecte asupra sănătății; membrii grupurilor sensibile pot avea efecte mai grave asupra sănătății.")</f>
        <v>Unii membri ai publicului larg pot avea efecte asupra sănătății; membrii grupurilor sensibile pot avea efecte mai grave asupra sănătății.</v>
      </c>
      <c r="AZ215" s="7" t="str">
        <f>IFERROR(__xludf.DUMMYFUNCTION("GoogleTranslate(C215, ""en"", ""ru"")"),"Некоторые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f>
        <v>Некоторые представители общественности могут испытывать последствия для здоровья; члены чувствительных групп могут испытывать более серьезные последствия для здоровья.</v>
      </c>
      <c r="BA215" s="7" t="str">
        <f>IFERROR(__xludf.DUMMYFUNCTION("GoogleTranslate(C215, ""en"", ""sr"")"),"Неки припадници опште јавности могу имати здравствене последице; припадници осетљивих група могу имати озбиљније здравствене последице.")</f>
        <v>Неки припадници опште јавности могу имати здравствене последице; припадници осетљивих група могу имати озбиљније здравствене последице.</v>
      </c>
      <c r="BB215" s="7" t="str">
        <f>IFERROR(__xludf.DUMMYFUNCTION("GoogleTranslate(C215, ""en"", ""si"")"),"සාමාන්‍ය ජනතාවගේ සමහර සාමාජිකයින්ට සෞඛ්‍ය බලපෑම් ඇති විය හැක; සංවේදී කණ්ඩායම්වල සාමාජිකයින්ට වඩාත් බරපතල සෞඛ්ය බලපෑම් ඇති විය හැක.")</f>
        <v>සාමාන්‍ය ජනතාවගේ සමහර සාමාජිකයින්ට සෞඛ්‍ය බලපෑම් ඇති විය හැක; සංවේදී කණ්ඩායම්වල සාමාජිකයින්ට වඩාත් බරපතල සෞඛ්ය බලපෑම් ඇති විය හැක.</v>
      </c>
      <c r="BC215" s="7" t="str">
        <f>IFERROR(__xludf.DUMMYFUNCTION("GoogleTranslate(C215, ""en"", ""sk"")"),"Niektorí členovia širokej verejnosti môžu pociťovať zdravotné účinky; členovia citlivých skupín môžu pociťovať vážnejšie zdravotné účinky.")</f>
        <v>Niektorí členovia širokej verejnosti môžu pociťovať zdravotné účinky; členovia citlivých skupín môžu pociťovať vážnejšie zdravotné účinky.</v>
      </c>
      <c r="BD215" s="7" t="str">
        <f>IFERROR(__xludf.DUMMYFUNCTION("GoogleTranslate(C215, ""en"", ""sl"")"),"Nekateri člani širše javnosti lahko občutijo zdravstvene posledice; pripadniki občutljivih skupin imajo lahko resnejše posledice za zdravje.")</f>
        <v>Nekateri člani širše javnosti lahko občutijo zdravstvene posledice; pripadniki občutljivih skupin imajo lahko resnejše posledice za zdravje.</v>
      </c>
      <c r="BE215" s="7" t="str">
        <f>IFERROR(__xludf.DUMMYFUNCTION("GoogleTranslate(C215, ""en"", ""es"")"),"Algunos miembros del público en general pueden experimentar efectos sobre la salud; Los miembros de grupos sensibles pueden experimentar efectos de salud más graves.")</f>
        <v>Algunos miembros del público en general pueden experimentar efectos sobre la salud; Los miembros de grupos sensibles pueden experimentar efectos de salud más graves.</v>
      </c>
      <c r="BF215" s="7" t="str">
        <f>IFERROR(__xludf.DUMMYFUNCTION("GoogleTranslate(C215, ""en"", ""sw"")"),"Baadhi ya wananchi kwa ujumla wanaweza kupata madhara ya kiafya; wanachama wa makundi nyeti wanaweza kupata madhara makubwa zaidi ya afya.")</f>
        <v>Baadhi ya wananchi kwa ujumla wanaweza kupata madhara ya kiafya; wanachama wa makundi nyeti wanaweza kupata madhara makubwa zaidi ya afya.</v>
      </c>
      <c r="BG215" s="7" t="str">
        <f>IFERROR(__xludf.DUMMYFUNCTION("GoogleTranslate(C215, ""en"", ""sv"")"),"Vissa medlemmar av allmänheten kan uppleva hälsoeffekter; medlemmar i känsliga grupper kan uppleva allvarligare hälsoeffekter.")</f>
        <v>Vissa medlemmar av allmänheten kan uppleva hälsoeffekter; medlemmar i känsliga grupper kan uppleva allvarligare hälsoeffekter.</v>
      </c>
      <c r="BH215" s="7" t="str">
        <f>IFERROR(__xludf.DUMMYFUNCTION("GoogleTranslate(C215, ""en"", ""te"")"),"సాధారణ ప్రజలలోని కొందరు సభ్యులు ఆరోగ్య ప్రభావాలను అనుభవించవచ్చు; సున్నితమైన సమూహాల సభ్యులు మరింత తీవ్రమైన ఆరోగ్య ప్రభావాలను అనుభవించవచ్చు.")</f>
        <v>సాధారణ ప్రజలలోని కొందరు సభ్యులు ఆరోగ్య ప్రభావాలను అనుభవించవచ్చు; సున్నితమైన సమూహాల సభ్యులు మరింత తీవ్రమైన ఆరోగ్య ప్రభావాలను అనుభవించవచ్చు.</v>
      </c>
      <c r="BI215" s="7" t="str">
        <f>IFERROR(__xludf.DUMMYFUNCTION("GoogleTranslate(C215, ""en"", ""th"")"),"ประชาชนทั่วไปบางคนอาจได้รับผลกระทบต่อสุขภาพ สมาชิกของกลุ่มที่มีความอ่อนไหวอาจได้รับผลกระทบต่อสุขภาพที่รุนแรงยิ่งขึ้น")</f>
        <v>ประชาชนทั่วไปบางคนอาจได้รับผลกระทบต่อสุขภาพ สมาชิกของกลุ่มที่มีความอ่อนไหวอาจได้รับผลกระทบต่อสุขภาพที่รุนแรงยิ่งขึ้น</v>
      </c>
      <c r="BJ215" s="7" t="str">
        <f>IFERROR(__xludf.DUMMYFUNCTION("GoogleTranslate(C215, ""en"", ""tr"")"),"Halkın bazı üyeleri sağlıkla ilgili etkilerle karşılaşabilir; hassas grupların üyeleri daha ciddi sağlık etkileriyle karşılaşabilir.")</f>
        <v>Halkın bazı üyeleri sağlıkla ilgili etkilerle karşılaşabilir; hassas grupların üyeleri daha ciddi sağlık etkileriyle karşılaşabilir.</v>
      </c>
      <c r="BK215" s="7" t="str">
        <f>IFERROR(__xludf.DUMMYFUNCTION("GoogleTranslate(C215, ""en"", ""uk"")"),"Деякі представники широкої громадськості можуть відчувати вплив на здоров'я; члени чутливих груп можуть мати більш серйозні наслідки для здоров'я.")</f>
        <v>Деякі представники широкої громадськості можуть відчувати вплив на здоров'я; члени чутливих груп можуть мати більш серйозні наслідки для здоров'я.</v>
      </c>
      <c r="BL215" s="7" t="str">
        <f>IFERROR(__xludf.DUMMYFUNCTION("GoogleTranslate(C215, ""en"", ""zu"")"),"Amanye amalungu omphakathi jikelele angase abe nemiphumela yezempilo; amalungu amaqembu azwelayo angase abe nemiphumela emibi kakhulu yezempilo.")</f>
        <v>Amanye amalungu omphakathi jikelele angase abe nemiphumela yezempilo; amalungu amaqembu azwelayo angase abe nemiphumela emibi kakhulu yezempilo.</v>
      </c>
    </row>
    <row r="216">
      <c r="A216" s="5" t="str">
        <f t="shared" si="1"/>
        <v>Health_alert:_The_risk_of_health_effects_is_increased_for_everyone.</v>
      </c>
      <c r="B216" s="4" t="s">
        <v>254</v>
      </c>
      <c r="C216" s="4" t="s">
        <v>254</v>
      </c>
      <c r="D216" s="7" t="str">
        <f>IFERROR(__xludf.DUMMYFUNCTION("GoogleTranslate(C216, ""en"", ""es"")"),"Alerta sanitaria: El riesgo de efectos sobre la salud aumenta para todos.")</f>
        <v>Alerta sanitaria: El riesgo de efectos sobre la salud aumenta para todos.</v>
      </c>
      <c r="E216" s="7" t="str">
        <f>IFERROR(__xludf.DUMMYFUNCTION("GoogleTranslate(C216, ""en"", ""ar"")"),"تنبيه صحي: يزداد خطر حدوث آثار صحية على الجميع.")</f>
        <v>تنبيه صحي: يزداد خطر حدوث آثار صحية على الجميع.</v>
      </c>
      <c r="F216" s="7" t="str">
        <f>IFERROR(__xludf.DUMMYFUNCTION("GoogleTranslate(C216, ""en"", ""hy"")"),"Առողջության նախազգուշացում. առողջության վրա ազդեցության ռիսկը մեծանում է բոլորի համար:")</f>
        <v>Առողջության նախազգուշացում. առողջության վրա ազդեցության ռիսկը մեծանում է բոլորի համար:</v>
      </c>
      <c r="G216" s="7" t="str">
        <f>IFERROR(__xludf.DUMMYFUNCTION("GoogleTranslate(C216, ""en"", ""vi"")"),"Cảnh báo về sức khỏe: Nguy cơ ảnh hưởng đến sức khỏe ngày càng tăng đối với mọi người.")</f>
        <v>Cảnh báo về sức khỏe: Nguy cơ ảnh hưởng đến sức khỏe ngày càng tăng đối với mọi người.</v>
      </c>
      <c r="H216" s="7" t="str">
        <f>IFERROR(__xludf.DUMMYFUNCTION("GoogleTranslate(C216, ""en"", ""az"")"),"Sağlamlıq xəbərdarlığı: Sağlamlığa təsir riski hər kəs üçün artır.")</f>
        <v>Sağlamlıq xəbərdarlığı: Sağlamlığa təsir riski hər kəs üçün artır.</v>
      </c>
      <c r="I216" s="7" t="str">
        <f>IFERROR(__xludf.DUMMYFUNCTION("GoogleTranslate(C216, ""en"", ""eu"")"),"Osasun alerta: osasun-ondorioak izateko arriskua areagotu egiten da guztiontzat.")</f>
        <v>Osasun alerta: osasun-ondorioak izateko arriskua areagotu egiten da guztiontzat.</v>
      </c>
      <c r="J216" s="7" t="str">
        <f>IFERROR(__xludf.DUMMYFUNCTION("GoogleTranslate(C216, ""en"", ""be"")"),"Папярэджанне пра здароўе: рызыка наступстваў для здароўя павышаецца для ўсіх.")</f>
        <v>Папярэджанне пра здароўе: рызыка наступстваў для здароўя павышаецца для ўсіх.</v>
      </c>
      <c r="K216" s="7" t="str">
        <f>IFERROR(__xludf.DUMMYFUNCTION("GoogleTranslate(C216, ""en"", ""bn"")"),"স্বাস্থ্য সতর্কতা: প্রত্যেকের জন্য স্বাস্থ্যের প্রভাবের ঝুঁকি বেড়ে যায়।")</f>
        <v>স্বাস্থ্য সতর্কতা: প্রত্যেকের জন্য স্বাস্থ্যের প্রভাবের ঝুঁকি বেড়ে যায়।</v>
      </c>
      <c r="L216" s="7" t="str">
        <f>IFERROR(__xludf.DUMMYFUNCTION("GoogleTranslate(C216, ""en"", ""bg"")"),"Здравен сигнал: Рискът от последици за здравето е повишен за всички.")</f>
        <v>Здравен сигнал: Рискът от последици за здравето е повишен за всички.</v>
      </c>
      <c r="M216" s="7" t="str">
        <f>IFERROR(__xludf.DUMMYFUNCTION("GoogleTranslate(C216, ""en"", ""my"")"),"ကျန်းမာရေးသတိပေးချက်- လူတိုင်းအတွက် ကျန်းမာရေးအကျိုးသက်ရောက်မှုအန္တရာယ် တိုးလာပါသည်။")</f>
        <v>ကျန်းမာရေးသတိပေးချက်- လူတိုင်းအတွက် ကျန်းမာရေးအကျိုးသက်ရောက်မှုအန္တရာယ် တိုးလာပါသည်။</v>
      </c>
      <c r="N216" s="7" t="str">
        <f>IFERROR(__xludf.DUMMYFUNCTION("GoogleTranslate(C216, ""en"", ""ca"")"),"Alerta sanitària: augmenta el risc d'efectes sobre la salut per a tothom.")</f>
        <v>Alerta sanitària: augmenta el risc d'efectes sobre la salut per a tothom.</v>
      </c>
      <c r="O216" s="7" t="str">
        <f>IFERROR(__xludf.DUMMYFUNCTION("GoogleTranslate(C216, ""en"", ""zh-cn"")"),"健康警报：每个人的健康影响风险都会增加。")</f>
        <v>健康警报：每个人的健康影响风险都会增加。</v>
      </c>
      <c r="P216" s="7" t="str">
        <f>IFERROR(__xludf.DUMMYFUNCTION("GoogleTranslate(C216, ""en"", ""zh-TW"")"),"健康警報：每個人的健康影響風險都會增加。")</f>
        <v>健康警報：每個人的健康影響風險都會增加。</v>
      </c>
      <c r="Q216" s="7" t="str">
        <f>IFERROR(__xludf.DUMMYFUNCTION("GoogleTranslate(C216, ""en"", ""hr"")"),"Zdravstveno upozorenje: Rizik od zdravstvenih učinaka je povećan za sve.")</f>
        <v>Zdravstveno upozorenje: Rizik od zdravstvenih učinaka je povećan za sve.</v>
      </c>
      <c r="R216" s="7" t="str">
        <f>IFERROR(__xludf.DUMMYFUNCTION("GoogleTranslate(C216, ""en"", ""cs"")"),"Zdravotní upozornění: Riziko zdravotních účinků je pro každého zvýšené.")</f>
        <v>Zdravotní upozornění: Riziko zdravotních účinků je pro každého zvýšené.</v>
      </c>
      <c r="S216" s="7" t="str">
        <f>IFERROR(__xludf.DUMMYFUNCTION("GoogleTranslate(C216, ""en"", ""da"")"),"Sundhedsalarm: Risikoen for helbredspåvirkninger er øget for alle.")</f>
        <v>Sundhedsalarm: Risikoen for helbredspåvirkninger er øget for alle.</v>
      </c>
      <c r="T216" s="7" t="str">
        <f>IFERROR(__xludf.DUMMYFUNCTION("GoogleTranslate(C216, ""en"", ""nl"")"),"Gezondheidswaarschuwing: Het risico op gezondheidseffecten is voor iedereen groter.")</f>
        <v>Gezondheidswaarschuwing: Het risico op gezondheidseffecten is voor iedereen groter.</v>
      </c>
      <c r="U216" s="7" t="str">
        <f>IFERROR(__xludf.DUMMYFUNCTION("GoogleTranslate(C216, ""en"", ""et"")"),"Tervisehoiatus: tervisemõjude oht on kõigi jaoks suurenenud.")</f>
        <v>Tervisehoiatus: tervisemõjude oht on kõigi jaoks suurenenud.</v>
      </c>
      <c r="V216" s="5" t="str">
        <f t="shared" si="3"/>
        <v>Health alert: The risk of health effects is increased for everyone.</v>
      </c>
      <c r="W216" s="7" t="str">
        <f>IFERROR(__xludf.DUMMYFUNCTION("GoogleTranslate(C216, ""en"", ""fi"")"),"Terveysvaroitus: Terveysvaikutusten riski on lisääntynyt kaikilla.")</f>
        <v>Terveysvaroitus: Terveysvaikutusten riski on lisääntynyt kaikilla.</v>
      </c>
      <c r="X216" s="7" t="str">
        <f>IFERROR(__xludf.DUMMYFUNCTION("GoogleTranslate(C216, ""en"", ""fr"")"),"Alerte santé : Le risque d’effets sur la santé est accru pour tout le monde.")</f>
        <v>Alerte santé : Le risque d’effets sur la santé est accru pour tout le monde.</v>
      </c>
      <c r="Y216" s="7" t="str">
        <f>IFERROR(__xludf.DUMMYFUNCTION("GoogleTranslate(C216, ""en"", ""de"")"),"Gesundheitswarnung: Das Risiko gesundheitlicher Auswirkungen ist für alle erhöht.")</f>
        <v>Gesundheitswarnung: Das Risiko gesundheitlicher Auswirkungen ist für alle erhöht.</v>
      </c>
      <c r="Z216" s="7" t="str">
        <f>IFERROR(__xludf.DUMMYFUNCTION("GoogleTranslate(C216, ""en"", ""el"")"),"Προειδοποίηση για την υγεία: Ο κίνδυνος επιπτώσεων στην υγεία είναι αυξημένος για όλους.")</f>
        <v>Προειδοποίηση για την υγεία: Ο κίνδυνος επιπτώσεων στην υγεία είναι αυξημένος για όλους.</v>
      </c>
      <c r="AA216" s="7" t="str">
        <f>IFERROR(__xludf.DUMMYFUNCTION("GoogleTranslate(C216, ""en"", ""iw"")"),"התראת בריאות: הסיכון להשפעות בריאותיות מוגבר עבור כולם.")</f>
        <v>התראת בריאות: הסיכון להשפעות בריאותיות מוגבר עבור כולם.</v>
      </c>
      <c r="AB216" s="7" t="str">
        <f>IFERROR(__xludf.DUMMYFUNCTION("GoogleTranslate(C216, ""en"", ""hi"")"),"स्वास्थ्य चेतावनी: हर किसी के स्वास्थ्य पर प्रभाव पड़ने का खतरा बढ़ गया है।")</f>
        <v>स्वास्थ्य चेतावनी: हर किसी के स्वास्थ्य पर प्रभाव पड़ने का खतरा बढ़ गया है।</v>
      </c>
      <c r="AC216" s="7" t="str">
        <f>IFERROR(__xludf.DUMMYFUNCTION("GoogleTranslate(C216, ""en"", ""hu"")"),"Egészségügyi figyelmeztetés: Az egészségügyi hatások kockázata mindenki számára megnövekedett.")</f>
        <v>Egészségügyi figyelmeztetés: Az egészségügyi hatások kockázata mindenki számára megnövekedett.</v>
      </c>
      <c r="AD216" s="7" t="str">
        <f>IFERROR(__xludf.DUMMYFUNCTION("GoogleTranslate(C216, ""en"", ""is"")"),"Heilsuviðvörun: Hættan á heilsufarsáhrifum er aukin fyrir alla.")</f>
        <v>Heilsuviðvörun: Hættan á heilsufarsáhrifum er aukin fyrir alla.</v>
      </c>
      <c r="AE216" s="7" t="str">
        <f>IFERROR(__xludf.DUMMYFUNCTION("GoogleTranslate(C216, ""en"", ""id"")"),"Peringatan kesehatan: Risiko dampak kesehatan meningkat pada semua orang.")</f>
        <v>Peringatan kesehatan: Risiko dampak kesehatan meningkat pada semua orang.</v>
      </c>
      <c r="AF216" s="7" t="str">
        <f>IFERROR(__xludf.DUMMYFUNCTION("GoogleTranslate(C216, ""en"", ""in"")"),"Peringatan kesehatan: Risiko dampak kesehatan meningkat pada semua orang.")</f>
        <v>Peringatan kesehatan: Risiko dampak kesehatan meningkat pada semua orang.</v>
      </c>
      <c r="AG216" s="7" t="str">
        <f>IFERROR(__xludf.DUMMYFUNCTION("GoogleTranslate(C216, ""en"", ""it"")"),"Avviso sanitario: il rischio di effetti sulla salute aumenta per tutti.")</f>
        <v>Avviso sanitario: il rischio di effetti sulla salute aumenta per tutti.</v>
      </c>
      <c r="AH216" s="7" t="str">
        <f>IFERROR(__xludf.DUMMYFUNCTION("GoogleTranslate(C216, ""en"", ""ja"")"),"健康に関する警告: 健康影響のリスクは誰にとっても高まります。")</f>
        <v>健康に関する警告: 健康影響のリスクは誰にとっても高まります。</v>
      </c>
      <c r="AI216" s="7" t="str">
        <f>IFERROR(__xludf.DUMMYFUNCTION("GoogleTranslate(C216, ""en"", ""kn"")"),"ಆರೋಗ್ಯ ಎಚ್ಚರಿಕೆ: ಆರೋಗ್ಯದ ಪರಿಣಾಮಗಳ ಅಪಾಯವು ಎಲ್ಲರಿಗೂ ಹೆಚ್ಚಾಗುತ್ತದೆ.")</f>
        <v>ಆರೋಗ್ಯ ಎಚ್ಚರಿಕೆ: ಆರೋಗ್ಯದ ಪರಿಣಾಮಗಳ ಅಪಾಯವು ಎಲ್ಲರಿಗೂ ಹೆಚ್ಚಾಗುತ್ತದೆ.</v>
      </c>
      <c r="AJ216" s="7" t="str">
        <f>IFERROR(__xludf.DUMMYFUNCTION("GoogleTranslate(C216, ""en"", ""km"")"),"ការជូនដំណឹងអំពីសុខភាព៖ ហានិភ័យនៃផលប៉ះពាល់សុខភាពត្រូវបានកើនឡើងសម្រាប់មនុស្សគ្រប់គ្នា។")</f>
        <v>ការជូនដំណឹងអំពីសុខភាព៖ ហានិភ័យនៃផលប៉ះពាល់សុខភាពត្រូវបានកើនឡើងសម្រាប់មនុស្សគ្រប់គ្នា។</v>
      </c>
      <c r="AK216" s="7" t="str">
        <f>IFERROR(__xludf.DUMMYFUNCTION("GoogleTranslate(C216, ""en"", ""ko"")"),"건강 경고: 건강에 영향을 미칠 위험은 모든 사람에게 증가합니다.")</f>
        <v>건강 경고: 건강에 영향을 미칠 위험은 모든 사람에게 증가합니다.</v>
      </c>
      <c r="AL216" s="7" t="str">
        <f>IFERROR(__xludf.DUMMYFUNCTION("GoogleTranslate(C216, ""en"", ""lo"")"),"ການເຕືອນໄພສຸຂະພາບ: ຄວາມສ່ຽງຂອງຜົນກະທົບດ້ານສຸຂະພາບແມ່ນເພີ່ມຂຶ້ນສໍາລັບທຸກຄົນ.")</f>
        <v>ການເຕືອນໄພສຸຂະພາບ: ຄວາມສ່ຽງຂອງຜົນກະທົບດ້ານສຸຂະພາບແມ່ນເພີ່ມຂຶ້ນສໍາລັບທຸກຄົນ.</v>
      </c>
      <c r="AM216" s="7" t="str">
        <f>IFERROR(__xludf.DUMMYFUNCTION("GoogleTranslate(C216, ""en"", ""lv"")"),"Brīdinājums par veselību: Ikvienam ir paaugstināts ietekmes uz veselību risks.")</f>
        <v>Brīdinājums par veselību: Ikvienam ir paaugstināts ietekmes uz veselību risks.</v>
      </c>
      <c r="AN216" s="7" t="str">
        <f>IFERROR(__xludf.DUMMYFUNCTION("GoogleTranslate(C216, ""en"", ""lt"")"),"Įspėjimas apie sveikatą: Poveikio sveikatai rizika padidėja visiems.")</f>
        <v>Įspėjimas apie sveikatą: Poveikio sveikatai rizika padidėja visiems.</v>
      </c>
      <c r="AO216" s="7" t="str">
        <f>IFERROR(__xludf.DUMMYFUNCTION("GoogleTranslate(C216, ""en"", ""mk"")"),"Здравствено предупредување: Ризикот од здравствени ефекти е зголемен за секого.")</f>
        <v>Здравствено предупредување: Ризикот од здравствени ефекти е зголемен за секого.</v>
      </c>
      <c r="AP216" s="7" t="str">
        <f>IFERROR(__xludf.DUMMYFUNCTION("GoogleTranslate(C216, ""en"", ""ms"")"),"Amaran kesihatan: Risiko kesan kesihatan meningkat untuk semua orang.")</f>
        <v>Amaran kesihatan: Risiko kesan kesihatan meningkat untuk semua orang.</v>
      </c>
      <c r="AQ216" s="7" t="str">
        <f>IFERROR(__xludf.DUMMYFUNCTION("GoogleTranslate(C216, ""en"", ""ml"")"),"ആരോഗ്യ മുന്നറിയിപ്പ്: ആരോഗ്യപരമായ പ്രത്യാഘാതങ്ങളുടെ സാധ്യത എല്ലാവർക്കും വർധിച്ചിരിക്കുന്നു.")</f>
        <v>ആരോഗ്യ മുന്നറിയിപ്പ്: ആരോഗ്യപരമായ പ്രത്യാഘാതങ്ങളുടെ സാധ്യത എല്ലാവർക്കും വർധിച്ചിരിക്കുന്നു.</v>
      </c>
      <c r="AR216" s="7" t="str">
        <f>IFERROR(__xludf.DUMMYFUNCTION("GoogleTranslate(C216, ""en"", ""mr"")"),"आरोग्य सूचना: प्रत्येकासाठी आरोग्यावर परिणाम होण्याचा धोका वाढला आहे.")</f>
        <v>आरोग्य सूचना: प्रत्येकासाठी आरोग्यावर परिणाम होण्याचा धोका वाढला आहे.</v>
      </c>
      <c r="AS216" s="7" t="str">
        <f>IFERROR(__xludf.DUMMYFUNCTION("GoogleTranslate(C216, ""en"", ""mn"")"),"Эрүүл мэндийн сэрэмжлүүлэг: Эрүүл мэндэд нөлөөлөх эрсдэл хүн бүрийн хувьд нэмэгддэг.")</f>
        <v>Эрүүл мэндийн сэрэмжлүүлэг: Эрүүл мэндэд нөлөөлөх эрсдэл хүн бүрийн хувьд нэмэгддэг.</v>
      </c>
      <c r="AT216" s="7" t="str">
        <f>IFERROR(__xludf.DUMMYFUNCTION("GoogleTranslate(C216, ""en"", ""ne"")"),"स्वास्थ्य सतर्कता: स्वास्थ्य प्रभावहरूको जोखिम सबैको लागि बढेको छ।")</f>
        <v>स्वास्थ्य सतर्कता: स्वास्थ्य प्रभावहरूको जोखिम सबैको लागि बढेको छ।</v>
      </c>
      <c r="AU216" s="7" t="str">
        <f>IFERROR(__xludf.DUMMYFUNCTION("GoogleTranslate(C216, ""en"", ""nb"")"),"Helsevarsling: Risikoen for helseeffekter øker for alle.")</f>
        <v>Helsevarsling: Risikoen for helseeffekter øker for alle.</v>
      </c>
      <c r="AV216" s="7" t="str">
        <f>IFERROR(__xludf.DUMMYFUNCTION("GoogleTranslate(C216, ""en"", ""fa"")"),"هشدار سلامت: خطر عوارض سلامتی برای همه افزایش می یابد.")</f>
        <v>هشدار سلامت: خطر عوارض سلامتی برای همه افزایش می یابد.</v>
      </c>
      <c r="AW216" s="7" t="str">
        <f>IFERROR(__xludf.DUMMYFUNCTION("GoogleTranslate(C216, ""en"", ""pl"")"),"Uwaga zdrowotna: Ryzyko wystąpienia skutków zdrowotnych jest zwiększone u każdego.")</f>
        <v>Uwaga zdrowotna: Ryzyko wystąpienia skutków zdrowotnych jest zwiększone u każdego.</v>
      </c>
      <c r="AX216" s="7" t="str">
        <f>IFERROR(__xludf.DUMMYFUNCTION("GoogleTranslate(C216, ""en"", ""pt"")"),"Alerta de saúde: O risco de efeitos na saúde aumenta para todos.")</f>
        <v>Alerta de saúde: O risco de efeitos na saúde aumenta para todos.</v>
      </c>
      <c r="AY216" s="7" t="str">
        <f>IFERROR(__xludf.DUMMYFUNCTION("GoogleTranslate(C216, ""en"", ""ro"")"),"Alertă de sănătate: Riscul de efecte asupra sănătății este crescut pentru toată lumea.")</f>
        <v>Alertă de sănătate: Riscul de efecte asupra sănătății este crescut pentru toată lumea.</v>
      </c>
      <c r="AZ216" s="7" t="str">
        <f>IFERROR(__xludf.DUMMYFUNCTION("GoogleTranslate(C216, ""en"", ""ru"")"),"Предупреждение о здоровье: риск последствий для здоровья увеличивается для всех.")</f>
        <v>Предупреждение о здоровье: риск последствий для здоровья увеличивается для всех.</v>
      </c>
      <c r="BA216" s="7" t="str">
        <f>IFERROR(__xludf.DUMMYFUNCTION("GoogleTranslate(C216, ""en"", ""sr"")"),"Здравствено упозорење: Ризик од здравствених ефеката је повећан за све.")</f>
        <v>Здравствено упозорење: Ризик од здравствених ефеката је повећан за све.</v>
      </c>
      <c r="BB216" s="7" t="str">
        <f>IFERROR(__xludf.DUMMYFUNCTION("GoogleTranslate(C216, ""en"", ""si"")"),"සෞඛ්‍ය අනතුරු ඇඟවීම: සෞඛ්‍ය බලපෑම් අවදානම සෑම කෙනෙකුටම වැඩි වේ.")</f>
        <v>සෞඛ්‍ය අනතුරු ඇඟවීම: සෞඛ්‍ය බලපෑම් අවදානම සෑම කෙනෙකුටම වැඩි වේ.</v>
      </c>
      <c r="BC216" s="7" t="str">
        <f>IFERROR(__xludf.DUMMYFUNCTION("GoogleTranslate(C216, ""en"", ""sk"")"),"Zdravotné upozornenie: Riziko zdravotných účinkov je zvýšené pre každého.")</f>
        <v>Zdravotné upozornenie: Riziko zdravotných účinkov je zvýšené pre každého.</v>
      </c>
      <c r="BD216" s="7" t="str">
        <f>IFERROR(__xludf.DUMMYFUNCTION("GoogleTranslate(C216, ""en"", ""sl"")"),"Zdravstveno opozorilo: Tveganje za učinke na zdravje je povečano za vse.")</f>
        <v>Zdravstveno opozorilo: Tveganje za učinke na zdravje je povečano za vse.</v>
      </c>
      <c r="BE216" s="7" t="str">
        <f>IFERROR(__xludf.DUMMYFUNCTION("GoogleTranslate(C216, ""en"", ""es"")"),"Alerta sanitaria: El riesgo de efectos sobre la salud aumenta para todos.")</f>
        <v>Alerta sanitaria: El riesgo de efectos sobre la salud aumenta para todos.</v>
      </c>
      <c r="BF216" s="7" t="str">
        <f>IFERROR(__xludf.DUMMYFUNCTION("GoogleTranslate(C216, ""en"", ""sw"")"),"Tahadhari ya kiafya: Hatari ya athari za kiafya huongezeka kwa kila mtu.")</f>
        <v>Tahadhari ya kiafya: Hatari ya athari za kiafya huongezeka kwa kila mtu.</v>
      </c>
      <c r="BG216" s="7" t="str">
        <f>IFERROR(__xludf.DUMMYFUNCTION("GoogleTranslate(C216, ""en"", ""sv"")"),"Hälsovarning: Risken för hälsoeffekter ökar för alla.")</f>
        <v>Hälsovarning: Risken för hälsoeffekter ökar för alla.</v>
      </c>
      <c r="BH216" s="7" t="str">
        <f>IFERROR(__xludf.DUMMYFUNCTION("GoogleTranslate(C216, ""en"", ""te"")"),"ఆరోగ్య హెచ్చరిక: ఆరోగ్య ప్రభావాల ప్రమాదం అందరికీ పెరుగుతుంది.")</f>
        <v>ఆరోగ్య హెచ్చరిక: ఆరోగ్య ప్రభావాల ప్రమాదం అందరికీ పెరుగుతుంది.</v>
      </c>
      <c r="BI216" s="7" t="str">
        <f>IFERROR(__xludf.DUMMYFUNCTION("GoogleTranslate(C216, ""en"", ""th"")"),"การแจ้งเตือนด้านสุขภาพ: ความเสี่ยงต่อผลกระทบต่อสุขภาพเพิ่มขึ้นสำหรับทุกคน")</f>
        <v>การแจ้งเตือนด้านสุขภาพ: ความเสี่ยงต่อผลกระทบต่อสุขภาพเพิ่มขึ้นสำหรับทุกคน</v>
      </c>
      <c r="BJ216" s="7" t="str">
        <f>IFERROR(__xludf.DUMMYFUNCTION("GoogleTranslate(C216, ""en"", ""tr"")"),"Sağlık uyarısı: Sağlık etkileri riski herkes için artar.")</f>
        <v>Sağlık uyarısı: Sağlık etkileri riski herkes için artar.</v>
      </c>
      <c r="BK216" s="7" t="str">
        <f>IFERROR(__xludf.DUMMYFUNCTION("GoogleTranslate(C216, ""en"", ""uk"")"),"Попередження про здоров’я: ризики для здоров’я підвищуються для всіх.")</f>
        <v>Попередження про здоров’я: ризики для здоров’я підвищуються для всіх.</v>
      </c>
      <c r="BL216" s="7" t="str">
        <f>IFERROR(__xludf.DUMMYFUNCTION("GoogleTranslate(C216, ""en"", ""zu"")"),"Isexwayiso sezempilo: Ingozi yemiphumela yezempilo iyanda kuwo wonke umuntu.")</f>
        <v>Isexwayiso sezempilo: Ingozi yemiphumela yezempilo iyanda kuwo wonke umuntu.</v>
      </c>
    </row>
    <row r="217">
      <c r="A217" s="5" t="str">
        <f t="shared" si="1"/>
        <v>Health_warning_of_emergency_conditions:_everyone_is_more_likely_to_be_affected.</v>
      </c>
      <c r="B217" s="4" t="s">
        <v>255</v>
      </c>
      <c r="C217" s="4" t="s">
        <v>255</v>
      </c>
      <c r="D217" s="7" t="str">
        <f>IFERROR(__xludf.DUMMYFUNCTION("GoogleTranslate(C217, ""en"", ""es"")"),"Advertencia sanitaria de condiciones de emergencia: todos tienen más probabilidades de verse afectados.")</f>
        <v>Advertencia sanitaria de condiciones de emergencia: todos tienen más probabilidades de verse afectados.</v>
      </c>
      <c r="E217" s="7" t="str">
        <f>IFERROR(__xludf.DUMMYFUNCTION("GoogleTranslate(C217, ""en"", ""ar"")"),"التحذير الصحي من الظروف الطارئة: الجميع أكثر عرضة للتأثر.")</f>
        <v>التحذير الصحي من الظروف الطارئة: الجميع أكثر عرضة للتأثر.</v>
      </c>
      <c r="F217" s="7" t="str">
        <f>IFERROR(__xludf.DUMMYFUNCTION("GoogleTranslate(C217, ""en"", ""hy"")"),"Առողջապահական նախազգուշացում արտակարգ իրավիճակների մասին. բոլորը ավելի հավանական է, որ տուժեն:")</f>
        <v>Առողջապահական նախազգուշացում արտակարգ իրավիճակների մասին. բոլորը ավելի հավանական է, որ տուժեն:</v>
      </c>
      <c r="G217" s="7" t="str">
        <f>IFERROR(__xludf.DUMMYFUNCTION("GoogleTranslate(C217, ""en"", ""vi"")"),"Cảnh báo sức khỏe về tình trạng khẩn cấp: mọi người đều có nhiều khả năng bị ảnh hưởng hơn.")</f>
        <v>Cảnh báo sức khỏe về tình trạng khẩn cấp: mọi người đều có nhiều khả năng bị ảnh hưởng hơn.</v>
      </c>
      <c r="H217" s="7" t="str">
        <f>IFERROR(__xludf.DUMMYFUNCTION("GoogleTranslate(C217, ""en"", ""az"")"),"Fövqəladə vəziyyətlər barədə sağlamlıq xəbərdarlığı: hər kəsin təsirlənmə ehtimalı daha yüksəkdir.")</f>
        <v>Fövqəladə vəziyyətlər barədə sağlamlıq xəbərdarlığı: hər kəsin təsirlənmə ehtimalı daha yüksəkdir.</v>
      </c>
      <c r="I217" s="7" t="str">
        <f>IFERROR(__xludf.DUMMYFUNCTION("GoogleTranslate(C217, ""en"", ""eu"")"),"Larrialdi-baldintzei buruzko osasun-abisua: denek gehiago dute kaltetua.")</f>
        <v>Larrialdi-baldintzei buruzko osasun-abisua: denek gehiago dute kaltetua.</v>
      </c>
      <c r="J217" s="7" t="str">
        <f>IFERROR(__xludf.DUMMYFUNCTION("GoogleTranslate(C217, ""en"", ""be"")"),"Медыцынскае папярэджанне аб надзвычайных сітуацыях: больш шанцаў пацярпець для ўсіх.")</f>
        <v>Медыцынскае папярэджанне аб надзвычайных сітуацыях: больш шанцаў пацярпець для ўсіх.</v>
      </c>
      <c r="K217" s="7" t="str">
        <f>IFERROR(__xludf.DUMMYFUNCTION("GoogleTranslate(C217, ""en"", ""bn"")"),"জরুরি অবস্থার স্বাস্থ্য সতর্কতা: প্রত্যেকেরই আক্রান্ত হওয়ার সম্ভাবনা বেশি।")</f>
        <v>জরুরি অবস্থার স্বাস্থ্য সতর্কতা: প্রত্যেকেরই আক্রান্ত হওয়ার সম্ভাবনা বেশি।</v>
      </c>
      <c r="L217" s="7" t="str">
        <f>IFERROR(__xludf.DUMMYFUNCTION("GoogleTranslate(C217, ""en"", ""bg"")"),"Здравно предупреждение за извънредни ситуации: всеки е по-вероятно да бъде засегнат.")</f>
        <v>Здравно предупреждение за извънредни ситуации: всеки е по-вероятно да бъде засегнат.</v>
      </c>
      <c r="M217" s="7" t="str">
        <f>IFERROR(__xludf.DUMMYFUNCTION("GoogleTranslate(C217, ""en"", ""my"")"),"အရေးပေါ်အခြေအနေများအတွက် ကျန်းမာရေးသတိပေးချက်- လူတိုင်းသည် ထိခိုက်နိုင်ခြေပိုများသည်။")</f>
        <v>အရေးပေါ်အခြေအနေများအတွက် ကျန်းမာရေးသတိပေးချက်- လူတိုင်းသည် ထိခိုက်နိုင်ခြေပိုများသည်။</v>
      </c>
      <c r="N217" s="7" t="str">
        <f>IFERROR(__xludf.DUMMYFUNCTION("GoogleTranslate(C217, ""en"", ""ca"")"),"Alerta sanitària de condicions d'emergència: tothom és més probable que es vegi afectat.")</f>
        <v>Alerta sanitària de condicions d'emergència: tothom és més probable que es vegi afectat.</v>
      </c>
      <c r="O217" s="7" t="str">
        <f>IFERROR(__xludf.DUMMYFUNCTION("GoogleTranslate(C217, ""en"", ""zh-cn"")"),"紧急情况健康警告：每个人都更有可能受到影响。")</f>
        <v>紧急情况健康警告：每个人都更有可能受到影响。</v>
      </c>
      <c r="P217" s="7" t="str">
        <f>IFERROR(__xludf.DUMMYFUNCTION("GoogleTranslate(C217, ""en"", ""zh-TW"")"),"緊急情況健康警告：每個人都更有可能受到影響。")</f>
        <v>緊急情況健康警告：每個人都更有可能受到影響。</v>
      </c>
      <c r="Q217" s="7" t="str">
        <f>IFERROR(__xludf.DUMMYFUNCTION("GoogleTranslate(C217, ""en"", ""hr"")"),"Zdravstveno upozorenje o hitnim stanjima: veća je vjerojatnost da će svi biti pogođeni.")</f>
        <v>Zdravstveno upozorenje o hitnim stanjima: veća je vjerojatnost da će svi biti pogođeni.</v>
      </c>
      <c r="R217" s="7" t="str">
        <f>IFERROR(__xludf.DUMMYFUNCTION("GoogleTranslate(C217, ""en"", ""cs"")"),"Zdravotní varování před nouzovými podmínkami: všichni jsou pravděpodobněji postiženi.")</f>
        <v>Zdravotní varování před nouzovými podmínkami: všichni jsou pravděpodobněji postiženi.</v>
      </c>
      <c r="S217" s="7" t="str">
        <f>IFERROR(__xludf.DUMMYFUNCTION("GoogleTranslate(C217, ""en"", ""da"")"),"Sundhedsadvarsel om nødsituationer: alle er mere tilbøjelige til at blive ramt.")</f>
        <v>Sundhedsadvarsel om nødsituationer: alle er mere tilbøjelige til at blive ramt.</v>
      </c>
      <c r="T217" s="7" t="str">
        <f>IFERROR(__xludf.DUMMYFUNCTION("GoogleTranslate(C217, ""en"", ""nl"")"),"Gezondheidswaarschuwing voor noodsituaties: de kans is groter dat iedereen hierdoor wordt getroffen.")</f>
        <v>Gezondheidswaarschuwing voor noodsituaties: de kans is groter dat iedereen hierdoor wordt getroffen.</v>
      </c>
      <c r="U217" s="7" t="str">
        <f>IFERROR(__xludf.DUMMYFUNCTION("GoogleTranslate(C217, ""en"", ""et"")"),"Tervisehoiatus hädaolukordade eest: kõik on tõenäolisemalt mõjutatud.")</f>
        <v>Tervisehoiatus hädaolukordade eest: kõik on tõenäolisemalt mõjutatud.</v>
      </c>
      <c r="V217" s="5" t="str">
        <f t="shared" si="3"/>
        <v>Health warning of emergency conditions: everyone is more likely to be affected.</v>
      </c>
      <c r="W217" s="7" t="str">
        <f>IFERROR(__xludf.DUMMYFUNCTION("GoogleTranslate(C217, ""en"", ""fi"")"),"Terveysvaroitus hätätilanteista: kaikki kärsivät todennäköisemmin.")</f>
        <v>Terveysvaroitus hätätilanteista: kaikki kärsivät todennäköisemmin.</v>
      </c>
      <c r="X217" s="7" t="str">
        <f>IFERROR(__xludf.DUMMYFUNCTION("GoogleTranslate(C217, ""en"", ""fr"")"),"Avertissement sanitaire concernant les conditions d’urgence : tout le monde est plus susceptible d’être touché.")</f>
        <v>Avertissement sanitaire concernant les conditions d’urgence : tout le monde est plus susceptible d’être touché.</v>
      </c>
      <c r="Y217" s="7" t="str">
        <f>IFERROR(__xludf.DUMMYFUNCTION("GoogleTranslate(C217, ""en"", ""de"")"),"Gesundheitswarnung vor Notfällen: Es ist wahrscheinlicher, dass jeder betroffen ist.")</f>
        <v>Gesundheitswarnung vor Notfällen: Es ist wahrscheinlicher, dass jeder betroffen ist.</v>
      </c>
      <c r="Z217" s="7" t="str">
        <f>IFERROR(__xludf.DUMMYFUNCTION("GoogleTranslate(C217, ""en"", ""el"")"),"Προειδοποίηση υγείας για καταστάσεις έκτακτης ανάγκης: όλοι είναι πιο πιθανό να επηρεαστούν.")</f>
        <v>Προειδοποίηση υγείας για καταστάσεις έκτακτης ανάγκης: όλοι είναι πιο πιθανό να επηρεαστούν.</v>
      </c>
      <c r="AA217" s="7" t="str">
        <f>IFERROR(__xludf.DUMMYFUNCTION("GoogleTranslate(C217, ""en"", ""iw"")"),"אזהרת בריאות מפני מצבי חירום: סביר יותר שכולם ייפגעו.")</f>
        <v>אזהרת בריאות מפני מצבי חירום: סביר יותר שכולם ייפגעו.</v>
      </c>
      <c r="AB217" s="7" t="str">
        <f>IFERROR(__xludf.DUMMYFUNCTION("GoogleTranslate(C217, ""en"", ""hi"")"),"आपातकालीन स्थितियों की स्वास्थ्य चेतावनी: हर किसी के प्रभावित होने की अधिक संभावना है।")</f>
        <v>आपातकालीन स्थितियों की स्वास्थ्य चेतावनी: हर किसी के प्रभावित होने की अधिक संभावना है।</v>
      </c>
      <c r="AC217" s="7" t="str">
        <f>IFERROR(__xludf.DUMMYFUNCTION("GoogleTranslate(C217, ""en"", ""hu"")"),"Egészségügyi figyelmeztetés vészhelyzetekre: mindenki nagyobb valószínűséggel érintett.")</f>
        <v>Egészségügyi figyelmeztetés vészhelyzetekre: mindenki nagyobb valószínűséggel érintett.</v>
      </c>
      <c r="AD217" s="7" t="str">
        <f>IFERROR(__xludf.DUMMYFUNCTION("GoogleTranslate(C217, ""en"", ""is"")"),"Heilsuviðvörun vegna neyðarástands: líklegra er að allir verði fyrir áhrifum.")</f>
        <v>Heilsuviðvörun vegna neyðarástands: líklegra er að allir verði fyrir áhrifum.</v>
      </c>
      <c r="AE217" s="7" t="str">
        <f>IFERROR(__xludf.DUMMYFUNCTION("GoogleTranslate(C217, ""en"", ""id"")"),"Peringatan kesehatan mengenai kondisi darurat: semua orang lebih mungkin terkena dampaknya.")</f>
        <v>Peringatan kesehatan mengenai kondisi darurat: semua orang lebih mungkin terkena dampaknya.</v>
      </c>
      <c r="AF217" s="7" t="str">
        <f>IFERROR(__xludf.DUMMYFUNCTION("GoogleTranslate(C217, ""en"", ""in"")"),"Peringatan kesehatan mengenai kondisi darurat: semua orang lebih mungkin terkena dampaknya.")</f>
        <v>Peringatan kesehatan mengenai kondisi darurat: semua orang lebih mungkin terkena dampaknya.</v>
      </c>
      <c r="AG217" s="7" t="str">
        <f>IFERROR(__xludf.DUMMYFUNCTION("GoogleTranslate(C217, ""en"", ""it"")"),"Allarme sanitario sulle condizioni di emergenza: tutti hanno maggiori probabilità di essere colpiti.")</f>
        <v>Allarme sanitario sulle condizioni di emergenza: tutti hanno maggiori probabilità di essere colpiti.</v>
      </c>
      <c r="AH217" s="7" t="str">
        <f>IFERROR(__xludf.DUMMYFUNCTION("GoogleTranslate(C217, ""en"", ""ja"")"),"緊急事態に関する健康上の警告: 誰もが影響を受ける可能性が高くなります。")</f>
        <v>緊急事態に関する健康上の警告: 誰もが影響を受ける可能性が高くなります。</v>
      </c>
      <c r="AI217" s="7" t="str">
        <f>IFERROR(__xludf.DUMMYFUNCTION("GoogleTranslate(C217, ""en"", ""kn"")"),"ತುರ್ತು ಪರಿಸ್ಥಿತಿಗಳ ಆರೋಗ್ಯ ಎಚ್ಚರಿಕೆ: ಪ್ರತಿಯೊಬ್ಬರೂ ಪರಿಣಾಮ ಬೀರುವ ಸಾಧ್ಯತೆ ಹೆಚ್ಚು.")</f>
        <v>ತುರ್ತು ಪರಿಸ್ಥಿತಿಗಳ ಆರೋಗ್ಯ ಎಚ್ಚರಿಕೆ: ಪ್ರತಿಯೊಬ್ಬರೂ ಪರಿಣಾಮ ಬೀರುವ ಸಾಧ್ಯತೆ ಹೆಚ್ಚು.</v>
      </c>
      <c r="AJ217" s="7" t="str">
        <f>IFERROR(__xludf.DUMMYFUNCTION("GoogleTranslate(C217, ""en"", ""km"")"),"ការ​ព្រមាន​សុខភាព​នៃ​ស្ថានភាព​អាសន្ន៖ អ្នក​រាល់​គ្នា​ងាយ​នឹង​រង​ផល​ប៉ះពាល់។")</f>
        <v>ការ​ព្រមាន​សុខភាព​នៃ​ស្ថានភាព​អាសន្ន៖ អ្នក​រាល់​គ្នា​ងាយ​នឹង​រង​ផល​ប៉ះពាល់។</v>
      </c>
      <c r="AK217" s="7" t="str">
        <f>IFERROR(__xludf.DUMMYFUNCTION("GoogleTranslate(C217, ""en"", ""ko"")"),"비상 상황에 대한 건강 경고: 모든 사람이 영향을 받을 가능성이 더 높습니다.")</f>
        <v>비상 상황에 대한 건강 경고: 모든 사람이 영향을 받을 가능성이 더 높습니다.</v>
      </c>
      <c r="AL217" s="7" t="str">
        <f>IFERROR(__xludf.DUMMYFUNCTION("GoogleTranslate(C217, ""en"", ""lo"")"),"ການເຕືອນໄພສຸຂະພາບຂອງສະຖານະການສຸກເສີນ: ທຸກຄົນມັກຈະໄດ້ຮັບຜົນກະທົບ.")</f>
        <v>ການເຕືອນໄພສຸຂະພາບຂອງສະຖານະການສຸກເສີນ: ທຸກຄົນມັກຈະໄດ້ຮັບຜົນກະທົບ.</v>
      </c>
      <c r="AM217" s="7" t="str">
        <f>IFERROR(__xludf.DUMMYFUNCTION("GoogleTranslate(C217, ""en"", ""lv"")"),"Brīdinājums par veselību ārkārtas situācijās: visticamāk, ka tas tiks ietekmēts ikvienam.")</f>
        <v>Brīdinājums par veselību ārkārtas situācijās: visticamāk, ka tas tiks ietekmēts ikvienam.</v>
      </c>
      <c r="AN217" s="7" t="str">
        <f>IFERROR(__xludf.DUMMYFUNCTION("GoogleTranslate(C217, ""en"", ""lt"")"),"Sveikatos įspėjimas apie ekstremalias situacijas: labiau tikėtina, kad nukentės kiekvienas.")</f>
        <v>Sveikatos įspėjimas apie ekstremalias situacijas: labiau tikėtina, kad nukentės kiekvienas.</v>
      </c>
      <c r="AO217" s="7" t="str">
        <f>IFERROR(__xludf.DUMMYFUNCTION("GoogleTranslate(C217, ""en"", ""mk"")"),"Здравствено предупредување за вонредни состојби: поверојатно е секој да биде погоден.")</f>
        <v>Здравствено предупредување за вонредни состојби: поверојатно е секој да биде погоден.</v>
      </c>
      <c r="AP217" s="7" t="str">
        <f>IFERROR(__xludf.DUMMYFUNCTION("GoogleTranslate(C217, ""en"", ""ms"")"),"Amaran kesihatan tentang keadaan kecemasan: semua orang lebih berkemungkinan terjejas.")</f>
        <v>Amaran kesihatan tentang keadaan kecemasan: semua orang lebih berkemungkinan terjejas.</v>
      </c>
      <c r="AQ217" s="7" t="str">
        <f>IFERROR(__xludf.DUMMYFUNCTION("GoogleTranslate(C217, ""en"", ""ml"")"),"അടിയന്തര സാഹചര്യങ്ങളെക്കുറിച്ചുള്ള ആരോഗ്യ മുന്നറിയിപ്പ്: എല്ലാവരേയും ബാധിക്കാനുള്ള സാധ്യത കൂടുതലാണ്.")</f>
        <v>അടിയന്തര സാഹചര്യങ്ങളെക്കുറിച്ചുള്ള ആരോഗ്യ മുന്നറിയിപ്പ്: എല്ലാവരേയും ബാധിക്കാനുള്ള സാധ്യത കൂടുതലാണ്.</v>
      </c>
      <c r="AR217" s="7" t="str">
        <f>IFERROR(__xludf.DUMMYFUNCTION("GoogleTranslate(C217, ""en"", ""mr"")"),"आपत्कालीन परिस्थितींबद्दल आरोग्य चेतावणी: प्रत्येकजण प्रभावित होण्याची शक्यता जास्त असते.")</f>
        <v>आपत्कालीन परिस्थितींबद्दल आरोग्य चेतावणी: प्रत्येकजण प्रभावित होण्याची शक्यता जास्त असते.</v>
      </c>
      <c r="AS217" s="7" t="str">
        <f>IFERROR(__xludf.DUMMYFUNCTION("GoogleTranslate(C217, ""en"", ""mn"")"),"Онцгой байдлын эрүүл мэндийн сэрэмжлүүлэг: хүн бүр өртөх магадлал өндөр байдаг.")</f>
        <v>Онцгой байдлын эрүүл мэндийн сэрэмжлүүлэг: хүн бүр өртөх магадлал өндөр байдаг.</v>
      </c>
      <c r="AT217" s="7" t="str">
        <f>IFERROR(__xludf.DUMMYFUNCTION("GoogleTranslate(C217, ""en"", ""ne"")"),"आपतकालीन अवस्थाहरूको स्वास्थ्य चेतावनी: सबैजना प्रभावित हुने सम्भावना बढी हुन्छ।")</f>
        <v>आपतकालीन अवस्थाहरूको स्वास्थ्य चेतावनी: सबैजना प्रभावित हुने सम्भावना बढी हुन्छ।</v>
      </c>
      <c r="AU217" s="7" t="str">
        <f>IFERROR(__xludf.DUMMYFUNCTION("GoogleTranslate(C217, ""en"", ""nb"")"),"Helseadvarsel om nødsituasjoner: alle er mer sannsynlig å bli berørt.")</f>
        <v>Helseadvarsel om nødsituasjoner: alle er mer sannsynlig å bli berørt.</v>
      </c>
      <c r="AV217" s="7" t="str">
        <f>IFERROR(__xludf.DUMMYFUNCTION("GoogleTranslate(C217, ""en"", ""fa"")"),"هشدار بهداشتی در مورد شرایط اضطراری: احتمال ابتلا به همه افراد بیشتر است.")</f>
        <v>هشدار بهداشتی در مورد شرایط اضطراری: احتمال ابتلا به همه افراد بیشتر است.</v>
      </c>
      <c r="AW217" s="7" t="str">
        <f>IFERROR(__xludf.DUMMYFUNCTION("GoogleTranslate(C217, ""en"", ""pl"")"),"Ostrzeżenie zdrowotne dotyczące sytuacji nadzwyczajnych: ryzyko wystąpienia sytuacji awaryjnej jest większe u każdego.")</f>
        <v>Ostrzeżenie zdrowotne dotyczące sytuacji nadzwyczajnych: ryzyko wystąpienia sytuacji awaryjnej jest większe u każdego.</v>
      </c>
      <c r="AX217" s="7" t="str">
        <f>IFERROR(__xludf.DUMMYFUNCTION("GoogleTranslate(C217, ""en"", ""pt"")"),"Alerta de saúde sobre condições de emergência: é mais provável que todos sejam afetados.")</f>
        <v>Alerta de saúde sobre condições de emergência: é mais provável que todos sejam afetados.</v>
      </c>
      <c r="AY217" s="7" t="str">
        <f>IFERROR(__xludf.DUMMYFUNCTION("GoogleTranslate(C217, ""en"", ""ro"")"),"Avertisment de sănătate privind condițiile de urgență: toată lumea este mai probabil să fie afectată.")</f>
        <v>Avertisment de sănătate privind condițiile de urgență: toată lumea este mai probabil să fie afectată.</v>
      </c>
      <c r="AZ217" s="7" t="str">
        <f>IFERROR(__xludf.DUMMYFUNCTION("GoogleTranslate(C217, ""en"", ""ru"")"),"Предупреждение о чрезвычайных ситуациях для здоровья: вероятность того, что пострадают все, выше.")</f>
        <v>Предупреждение о чрезвычайных ситуациях для здоровья: вероятность того, что пострадают все, выше.</v>
      </c>
      <c r="BA217" s="7" t="str">
        <f>IFERROR(__xludf.DUMMYFUNCTION("GoogleTranslate(C217, ""en"", ""sr"")"),"Здравствено упозорење о ванредним ситуацијама: већа је вероватноћа да ће сви бити погођени.")</f>
        <v>Здравствено упозорење о ванредним ситуацијама: већа је вероватноћа да ће сви бити погођени.</v>
      </c>
      <c r="BB217" s="7" t="str">
        <f>IFERROR(__xludf.DUMMYFUNCTION("GoogleTranslate(C217, ""en"", ""si"")"),"හදිසි තත්වයන් පිළිබඳ සෞඛ්‍ය අනතුරු ඇඟවීම: සෑම කෙනෙකුම පීඩාවට පත්වීමට වැඩි ඉඩක් ඇත.")</f>
        <v>හදිසි තත්වයන් පිළිබඳ සෞඛ්‍ය අනතුරු ඇඟවීම: සෑම කෙනෙකුම පීඩාවට පත්වීමට වැඩි ඉඩක් ඇත.</v>
      </c>
      <c r="BC217" s="7" t="str">
        <f>IFERROR(__xludf.DUMMYFUNCTION("GoogleTranslate(C217, ""en"", ""sk"")"),"Zdravotné varovanie pred mimoriadnymi podmienkami: pravdepodobnejšie budú postihnutí všetci.")</f>
        <v>Zdravotné varovanie pred mimoriadnymi podmienkami: pravdepodobnejšie budú postihnutí všetci.</v>
      </c>
      <c r="BD217" s="7" t="str">
        <f>IFERROR(__xludf.DUMMYFUNCTION("GoogleTranslate(C217, ""en"", ""sl"")"),"Zdravstveno opozorilo o izrednih razmerah: verjetneje je, da bodo prizadeti vsi.")</f>
        <v>Zdravstveno opozorilo o izrednih razmerah: verjetneje je, da bodo prizadeti vsi.</v>
      </c>
      <c r="BE217" s="7" t="str">
        <f>IFERROR(__xludf.DUMMYFUNCTION("GoogleTranslate(C217, ""en"", ""es"")"),"Advertencia sanitaria de condiciones de emergencia: todos tienen más probabilidades de verse afectados.")</f>
        <v>Advertencia sanitaria de condiciones de emergencia: todos tienen más probabilidades de verse afectados.</v>
      </c>
      <c r="BF217" s="7" t="str">
        <f>IFERROR(__xludf.DUMMYFUNCTION("GoogleTranslate(C217, ""en"", ""sw"")"),"Onyo la kiafya la hali ya dharura: kila mtu ana uwezekano mkubwa wa kuathiriwa.")</f>
        <v>Onyo la kiafya la hali ya dharura: kila mtu ana uwezekano mkubwa wa kuathiriwa.</v>
      </c>
      <c r="BG217" s="7" t="str">
        <f>IFERROR(__xludf.DUMMYFUNCTION("GoogleTranslate(C217, ""en"", ""sv"")"),"Hälsovarning för akuta tillstånd: alla är mer benägna att drabbas.")</f>
        <v>Hälsovarning för akuta tillstånd: alla är mer benägna att drabbas.</v>
      </c>
      <c r="BH217" s="7" t="str">
        <f>IFERROR(__xludf.DUMMYFUNCTION("GoogleTranslate(C217, ""en"", ""te"")"),"అత్యవసర పరిస్థితుల గురించి ఆరోగ్య హెచ్చరిక: ప్రతి ఒక్కరూ ప్రభావితమయ్యే అవకాశం ఉంది.")</f>
        <v>అత్యవసర పరిస్థితుల గురించి ఆరోగ్య హెచ్చరిక: ప్రతి ఒక్కరూ ప్రభావితమయ్యే అవకాశం ఉంది.</v>
      </c>
      <c r="BI217" s="7" t="str">
        <f>IFERROR(__xludf.DUMMYFUNCTION("GoogleTranslate(C217, ""en"", ""th"")"),"คำเตือนด้านสุขภาพสำหรับสภาวะฉุกเฉิน: ทุกคนมีแนวโน้มที่จะได้รับผลกระทบมากขึ้น")</f>
        <v>คำเตือนด้านสุขภาพสำหรับสภาวะฉุกเฉิน: ทุกคนมีแนวโน้มที่จะได้รับผลกระทบมากขึ้น</v>
      </c>
      <c r="BJ217" s="7" t="str">
        <f>IFERROR(__xludf.DUMMYFUNCTION("GoogleTranslate(C217, ""en"", ""tr"")"),"Acil durumlara ilişkin sağlık uyarısı: Herkesin etkilenme olasılığı daha yüksektir.")</f>
        <v>Acil durumlara ilişkin sağlık uyarısı: Herkesin etkilenme olasılığı daha yüksektir.</v>
      </c>
      <c r="BK217" s="7" t="str">
        <f>IFERROR(__xludf.DUMMYFUNCTION("GoogleTranslate(C217, ""en"", ""uk"")"),"Медичне попередження про надзвичайні ситуації: імовірність постраждати у всіх є більшою.")</f>
        <v>Медичне попередження про надзвичайні ситуації: імовірність постраждати у всіх є більшою.</v>
      </c>
      <c r="BL217" s="7" t="str">
        <f>IFERROR(__xludf.DUMMYFUNCTION("GoogleTranslate(C217, ""en"", ""zu"")"),"Isixwayiso sezempilo sezimo eziphuthumayo: wonke umuntu kungenzeka ukuthi athinteke.")</f>
        <v>Isixwayiso sezempilo sezimo eziphuthumayo: wonke umuntu kungenzeka ukuthi athinteke.</v>
      </c>
    </row>
    <row r="218">
      <c r="A218" s="5" t="str">
        <f t="shared" si="1"/>
        <v>O3_(Ozone)</v>
      </c>
      <c r="B218" s="4" t="s">
        <v>262</v>
      </c>
      <c r="C218" s="4" t="s">
        <v>262</v>
      </c>
      <c r="D218" s="7" t="str">
        <f>IFERROR(__xludf.DUMMYFUNCTION("GoogleTranslate(C218, ""en"", ""es"")"),"O3 (Ozono)")</f>
        <v>O3 (Ozono)</v>
      </c>
      <c r="E218" s="7" t="str">
        <f>IFERROR(__xludf.DUMMYFUNCTION("GoogleTranslate(C218, ""en"", ""ar"")"),"O3 (الأوزون)")</f>
        <v>O3 (الأوزون)</v>
      </c>
      <c r="F218" s="7" t="str">
        <f>IFERROR(__xludf.DUMMYFUNCTION("GoogleTranslate(C218, ""en"", ""hy"")"),"O3 (օզոն)")</f>
        <v>O3 (օզոն)</v>
      </c>
      <c r="G218" s="7" t="str">
        <f>IFERROR(__xludf.DUMMYFUNCTION("GoogleTranslate(C218, ""en"", ""vi"")"),"O3 (Ozon)")</f>
        <v>O3 (Ozon)</v>
      </c>
      <c r="H218" s="7" t="str">
        <f>IFERROR(__xludf.DUMMYFUNCTION("GoogleTranslate(C218, ""en"", ""az"")"),"O3 (Ozon)")</f>
        <v>O3 (Ozon)</v>
      </c>
      <c r="I218" s="7" t="str">
        <f>IFERROR(__xludf.DUMMYFUNCTION("GoogleTranslate(C218, ""en"", ""eu"")"),"O3 (ozonoa)")</f>
        <v>O3 (ozonoa)</v>
      </c>
      <c r="J218" s="7" t="str">
        <f>IFERROR(__xludf.DUMMYFUNCTION("GoogleTranslate(C218, ""en"", ""be"")"),"O3 (азон)")</f>
        <v>O3 (азон)</v>
      </c>
      <c r="K218" s="7" t="str">
        <f>IFERROR(__xludf.DUMMYFUNCTION("GoogleTranslate(C218, ""en"", ""bn"")"),"O3 (ওজোন)")</f>
        <v>O3 (ওজোন)</v>
      </c>
      <c r="L218" s="7" t="str">
        <f>IFERROR(__xludf.DUMMYFUNCTION("GoogleTranslate(C218, ""en"", ""bg"")"),"O3 (озон)")</f>
        <v>O3 (озон)</v>
      </c>
      <c r="M218" s="7" t="str">
        <f>IFERROR(__xludf.DUMMYFUNCTION("GoogleTranslate(C218, ""en"", ""my"")"),"O3 (အိုဇုန်း)")</f>
        <v>O3 (အိုဇုန်း)</v>
      </c>
      <c r="N218" s="7" t="str">
        <f>IFERROR(__xludf.DUMMYFUNCTION("GoogleTranslate(C218, ""en"", ""ca"")"),"O3 (ozó)")</f>
        <v>O3 (ozó)</v>
      </c>
      <c r="O218" s="7" t="str">
        <f>IFERROR(__xludf.DUMMYFUNCTION("GoogleTranslate(C218, ""en"", ""zh-cn"")"),"O3（臭氧）")</f>
        <v>O3（臭氧）</v>
      </c>
      <c r="P218" s="7" t="str">
        <f>IFERROR(__xludf.DUMMYFUNCTION("GoogleTranslate(C218, ""en"", ""zh-TW"")"),"O3（臭氧）")</f>
        <v>O3（臭氧）</v>
      </c>
      <c r="Q218" s="7" t="str">
        <f>IFERROR(__xludf.DUMMYFUNCTION("GoogleTranslate(C218, ""en"", ""hr"")"),"O3 (ozon)")</f>
        <v>O3 (ozon)</v>
      </c>
      <c r="R218" s="7" t="str">
        <f>IFERROR(__xludf.DUMMYFUNCTION("GoogleTranslate(C218, ""en"", ""cs"")"),"O3 (ozón)")</f>
        <v>O3 (ozón)</v>
      </c>
      <c r="S218" s="7" t="str">
        <f>IFERROR(__xludf.DUMMYFUNCTION("GoogleTranslate(C218, ""en"", ""da"")"),"O3 (ozon)")</f>
        <v>O3 (ozon)</v>
      </c>
      <c r="T218" s="7" t="str">
        <f>IFERROR(__xludf.DUMMYFUNCTION("GoogleTranslate(C218, ""en"", ""nl"")"),"O3 (ozon)")</f>
        <v>O3 (ozon)</v>
      </c>
      <c r="U218" s="7" t="str">
        <f>IFERROR(__xludf.DUMMYFUNCTION("GoogleTranslate(C218, ""en"", ""et"")"),"O3 (osoon)")</f>
        <v>O3 (osoon)</v>
      </c>
      <c r="V218" s="5" t="str">
        <f t="shared" si="3"/>
        <v>O3 (Ozone)</v>
      </c>
      <c r="W218" s="7" t="str">
        <f>IFERROR(__xludf.DUMMYFUNCTION("GoogleTranslate(C218, ""en"", ""fi"")"),"O3 (otsoni)")</f>
        <v>O3 (otsoni)</v>
      </c>
      <c r="X218" s="7" t="str">
        <f>IFERROR(__xludf.DUMMYFUNCTION("GoogleTranslate(C218, ""en"", ""fr"")"),"O3 (ozone)")</f>
        <v>O3 (ozone)</v>
      </c>
      <c r="Y218" s="7" t="str">
        <f>IFERROR(__xludf.DUMMYFUNCTION("GoogleTranslate(C218, ""en"", ""de"")"),"O3 (Ozon)")</f>
        <v>O3 (Ozon)</v>
      </c>
      <c r="Z218" s="7" t="str">
        <f>IFERROR(__xludf.DUMMYFUNCTION("GoogleTranslate(C218, ""en"", ""el"")"),"O3 (Όζον)")</f>
        <v>O3 (Όζον)</v>
      </c>
      <c r="AA218" s="7" t="str">
        <f>IFERROR(__xludf.DUMMYFUNCTION("GoogleTranslate(C218, ""en"", ""iw"")"),"O3 (אוזון)")</f>
        <v>O3 (אוזון)</v>
      </c>
      <c r="AB218" s="7" t="str">
        <f>IFERROR(__xludf.DUMMYFUNCTION("GoogleTranslate(C218, ""en"", ""hi"")"),"O3 (ओजोन)")</f>
        <v>O3 (ओजोन)</v>
      </c>
      <c r="AC218" s="7" t="str">
        <f>IFERROR(__xludf.DUMMYFUNCTION("GoogleTranslate(C218, ""en"", ""hu"")"),"O3 (ózon)")</f>
        <v>O3 (ózon)</v>
      </c>
      <c r="AD218" s="7" t="str">
        <f>IFERROR(__xludf.DUMMYFUNCTION("GoogleTranslate(C218, ""en"", ""is"")"),"O3 (óson)")</f>
        <v>O3 (óson)</v>
      </c>
      <c r="AE218" s="7" t="str">
        <f>IFERROR(__xludf.DUMMYFUNCTION("GoogleTranslate(C218, ""en"", ""id"")"),"O3 (Ozon)")</f>
        <v>O3 (Ozon)</v>
      </c>
      <c r="AF218" s="7" t="str">
        <f>IFERROR(__xludf.DUMMYFUNCTION("GoogleTranslate(C218, ""en"", ""in"")"),"O3 (Ozon)")</f>
        <v>O3 (Ozon)</v>
      </c>
      <c r="AG218" s="7" t="str">
        <f>IFERROR(__xludf.DUMMYFUNCTION("GoogleTranslate(C218, ""en"", ""it"")"),"O3 (ozono)")</f>
        <v>O3 (ozono)</v>
      </c>
      <c r="AH218" s="7" t="str">
        <f>IFERROR(__xludf.DUMMYFUNCTION("GoogleTranslate(C218, ""en"", ""ja"")"),"O3（オゾン）")</f>
        <v>O3（オゾン）</v>
      </c>
      <c r="AI218" s="7" t="str">
        <f>IFERROR(__xludf.DUMMYFUNCTION("GoogleTranslate(C218, ""en"", ""kn"")"),"O3 (ಓಝೋನ್)")</f>
        <v>O3 (ಓಝೋನ್)</v>
      </c>
      <c r="AJ218" s="7" t="str">
        <f>IFERROR(__xludf.DUMMYFUNCTION("GoogleTranslate(C218, ""en"", ""km"")"),"O3 (អូហ្សូន)")</f>
        <v>O3 (អូហ្សូន)</v>
      </c>
      <c r="AK218" s="7" t="str">
        <f>IFERROR(__xludf.DUMMYFUNCTION("GoogleTranslate(C218, ""en"", ""ko"")"),"O3(오존)")</f>
        <v>O3(오존)</v>
      </c>
      <c r="AL218" s="7" t="str">
        <f>IFERROR(__xludf.DUMMYFUNCTION("GoogleTranslate(C218, ""en"", ""lo"")"),"O3 (ໂອໂຊນ)")</f>
        <v>O3 (ໂອໂຊນ)</v>
      </c>
      <c r="AM218" s="7" t="str">
        <f>IFERROR(__xludf.DUMMYFUNCTION("GoogleTranslate(C218, ""en"", ""lv"")"),"O3 (ozons)")</f>
        <v>O3 (ozons)</v>
      </c>
      <c r="AN218" s="7" t="str">
        <f>IFERROR(__xludf.DUMMYFUNCTION("GoogleTranslate(C218, ""en"", ""lt"")"),"O3 (ozonas)")</f>
        <v>O3 (ozonas)</v>
      </c>
      <c r="AO218" s="7" t="str">
        <f>IFERROR(__xludf.DUMMYFUNCTION("GoogleTranslate(C218, ""en"", ""mk"")"),"О3 (озон)")</f>
        <v>О3 (озон)</v>
      </c>
      <c r="AP218" s="7" t="str">
        <f>IFERROR(__xludf.DUMMYFUNCTION("GoogleTranslate(C218, ""en"", ""ms"")"),"O3 (Ozon)")</f>
        <v>O3 (Ozon)</v>
      </c>
      <c r="AQ218" s="7" t="str">
        <f>IFERROR(__xludf.DUMMYFUNCTION("GoogleTranslate(C218, ""en"", ""ml"")"),"O3 (ഓസോൺ)")</f>
        <v>O3 (ഓസോൺ)</v>
      </c>
      <c r="AR218" s="7" t="str">
        <f>IFERROR(__xludf.DUMMYFUNCTION("GoogleTranslate(C218, ""en"", ""mr"")"),"O3 (ओझोन)")</f>
        <v>O3 (ओझोन)</v>
      </c>
      <c r="AS218" s="7" t="str">
        <f>IFERROR(__xludf.DUMMYFUNCTION("GoogleTranslate(C218, ""en"", ""mn"")"),"O3 (Озон)")</f>
        <v>O3 (Озон)</v>
      </c>
      <c r="AT218" s="7" t="str">
        <f>IFERROR(__xludf.DUMMYFUNCTION("GoogleTranslate(C218, ""en"", ""ne"")"),"O3 (ओजोन)")</f>
        <v>O3 (ओजोन)</v>
      </c>
      <c r="AU218" s="7" t="str">
        <f>IFERROR(__xludf.DUMMYFUNCTION("GoogleTranslate(C218, ""en"", ""nb"")"),"O3 (ozon)")</f>
        <v>O3 (ozon)</v>
      </c>
      <c r="AV218" s="7" t="str">
        <f>IFERROR(__xludf.DUMMYFUNCTION("GoogleTranslate(C218, ""en"", ""fa"")"),"O3 (ازون)")</f>
        <v>O3 (ازون)</v>
      </c>
      <c r="AW218" s="7" t="str">
        <f>IFERROR(__xludf.DUMMYFUNCTION("GoogleTranslate(C218, ""en"", ""pl"")"),"O3 (Ozon)")</f>
        <v>O3 (Ozon)</v>
      </c>
      <c r="AX218" s="7" t="str">
        <f>IFERROR(__xludf.DUMMYFUNCTION("GoogleTranslate(C218, ""en"", ""pt"")"),"O3 (Ozônio)")</f>
        <v>O3 (Ozônio)</v>
      </c>
      <c r="AY218" s="7" t="str">
        <f>IFERROR(__xludf.DUMMYFUNCTION("GoogleTranslate(C218, ""en"", ""ro"")"),"O3 (ozon)")</f>
        <v>O3 (ozon)</v>
      </c>
      <c r="AZ218" s="7" t="str">
        <f>IFERROR(__xludf.DUMMYFUNCTION("GoogleTranslate(C218, ""en"", ""ru"")"),"O3 (Озон)")</f>
        <v>O3 (Озон)</v>
      </c>
      <c r="BA218" s="7" t="str">
        <f>IFERROR(__xludf.DUMMYFUNCTION("GoogleTranslate(C218, ""en"", ""sr"")"),"О3 (озон)")</f>
        <v>О3 (озон)</v>
      </c>
      <c r="BB218" s="7" t="str">
        <f>IFERROR(__xludf.DUMMYFUNCTION("GoogleTranslate(C218, ""en"", ""si"")"),"O3 (ඕසෝන්)")</f>
        <v>O3 (ඕසෝන්)</v>
      </c>
      <c r="BC218" s="7" t="str">
        <f>IFERROR(__xludf.DUMMYFUNCTION("GoogleTranslate(C218, ""en"", ""sk"")"),"O3 (ozón)")</f>
        <v>O3 (ozón)</v>
      </c>
      <c r="BD218" s="7" t="str">
        <f>IFERROR(__xludf.DUMMYFUNCTION("GoogleTranslate(C218, ""en"", ""sl"")"),"O3 (ozon)")</f>
        <v>O3 (ozon)</v>
      </c>
      <c r="BE218" s="7" t="str">
        <f>IFERROR(__xludf.DUMMYFUNCTION("GoogleTranslate(C218, ""en"", ""es"")"),"O3 (Ozono)")</f>
        <v>O3 (Ozono)</v>
      </c>
      <c r="BF218" s="7" t="str">
        <f>IFERROR(__xludf.DUMMYFUNCTION("GoogleTranslate(C218, ""en"", ""sw"")"),"O3 (Ozoni)")</f>
        <v>O3 (Ozoni)</v>
      </c>
      <c r="BG218" s="7" t="str">
        <f>IFERROR(__xludf.DUMMYFUNCTION("GoogleTranslate(C218, ""en"", ""sv"")"),"O3 (ozon)")</f>
        <v>O3 (ozon)</v>
      </c>
      <c r="BH218" s="7" t="str">
        <f>IFERROR(__xludf.DUMMYFUNCTION("GoogleTranslate(C218, ""en"", ""te"")"),"O3 (ఓజోన్)")</f>
        <v>O3 (ఓజోన్)</v>
      </c>
      <c r="BI218" s="7" t="str">
        <f>IFERROR(__xludf.DUMMYFUNCTION("GoogleTranslate(C218, ""en"", ""th"")"),"O3 (โอโซน)")</f>
        <v>O3 (โอโซน)</v>
      </c>
      <c r="BJ218" s="7" t="str">
        <f>IFERROR(__xludf.DUMMYFUNCTION("GoogleTranslate(C218, ""en"", ""tr"")"),"O3 (Ozon)")</f>
        <v>O3 (Ozon)</v>
      </c>
      <c r="BK218" s="7" t="str">
        <f>IFERROR(__xludf.DUMMYFUNCTION("GoogleTranslate(C218, ""en"", ""uk"")"),"O3 (озон)")</f>
        <v>O3 (озон)</v>
      </c>
      <c r="BL218" s="7" t="str">
        <f>IFERROR(__xludf.DUMMYFUNCTION("GoogleTranslate(C218, ""en"", ""zu"")"),"I-O3 (i-Ozone)")</f>
        <v>I-O3 (i-Ozone)</v>
      </c>
    </row>
    <row r="219">
      <c r="A219" s="5" t="str">
        <f t="shared" si="1"/>
        <v>SO2_(Sulphur_dioxide)</v>
      </c>
      <c r="B219" s="4" t="s">
        <v>263</v>
      </c>
      <c r="C219" s="4" t="s">
        <v>263</v>
      </c>
      <c r="D219" s="7" t="str">
        <f>IFERROR(__xludf.DUMMYFUNCTION("GoogleTranslate(C219, ""en"", ""es"")"),"SO2 (Dióxido de azufre)")</f>
        <v>SO2 (Dióxido de azufre)</v>
      </c>
      <c r="E219" s="7" t="str">
        <f>IFERROR(__xludf.DUMMYFUNCTION("GoogleTranslate(C219, ""en"", ""ar"")"),"SO2 (ثاني أكسيد الكبريت)")</f>
        <v>SO2 (ثاني أكسيد الكبريت)</v>
      </c>
      <c r="F219" s="7" t="str">
        <f>IFERROR(__xludf.DUMMYFUNCTION("GoogleTranslate(C219, ""en"", ""hy"")"),"SO2 (ծծմբի երկօքսիդ)")</f>
        <v>SO2 (ծծմբի երկօքսիդ)</v>
      </c>
      <c r="G219" s="7" t="str">
        <f>IFERROR(__xludf.DUMMYFUNCTION("GoogleTranslate(C219, ""en"", ""vi"")"),"SO2 (Lưu huỳnh dioxit)")</f>
        <v>SO2 (Lưu huỳnh dioxit)</v>
      </c>
      <c r="H219" s="7" t="str">
        <f>IFERROR(__xludf.DUMMYFUNCTION("GoogleTranslate(C219, ""en"", ""az"")"),"SO2 (kükürd dioksidi)")</f>
        <v>SO2 (kükürd dioksidi)</v>
      </c>
      <c r="I219" s="7" t="str">
        <f>IFERROR(__xludf.DUMMYFUNCTION("GoogleTranslate(C219, ""en"", ""eu"")"),"SO2 (sufre dioxidoa)")</f>
        <v>SO2 (sufre dioxidoa)</v>
      </c>
      <c r="J219" s="7" t="str">
        <f>IFERROR(__xludf.DUMMYFUNCTION("GoogleTranslate(C219, ""en"", ""be"")"),"SO2 (дыяксід серы)")</f>
        <v>SO2 (дыяксід серы)</v>
      </c>
      <c r="K219" s="7" t="str">
        <f>IFERROR(__xludf.DUMMYFUNCTION("GoogleTranslate(C219, ""en"", ""bn"")"),"SO2 (সালফার ডাই অক্সাইড)")</f>
        <v>SO2 (সালফার ডাই অক্সাইড)</v>
      </c>
      <c r="L219" s="7" t="str">
        <f>IFERROR(__xludf.DUMMYFUNCTION("GoogleTranslate(C219, ""en"", ""bg"")"),"SO2 (серен диоксид)")</f>
        <v>SO2 (серен диоксид)</v>
      </c>
      <c r="M219" s="7" t="str">
        <f>IFERROR(__xludf.DUMMYFUNCTION("GoogleTranslate(C219, ""en"", ""my"")"),"SO2 (ဆာလ်ဖာဒိုင်အောက်ဆိုဒ်)")</f>
        <v>SO2 (ဆာလ်ဖာဒိုင်အောက်ဆိုဒ်)</v>
      </c>
      <c r="N219" s="7" t="str">
        <f>IFERROR(__xludf.DUMMYFUNCTION("GoogleTranslate(C219, ""en"", ""ca"")"),"SO2 (diòxid de sofre)")</f>
        <v>SO2 (diòxid de sofre)</v>
      </c>
      <c r="O219" s="7" t="str">
        <f>IFERROR(__xludf.DUMMYFUNCTION("GoogleTranslate(C219, ""en"", ""zh-cn"")"),"SO2（二氧化硫）")</f>
        <v>SO2（二氧化硫）</v>
      </c>
      <c r="P219" s="7" t="str">
        <f>IFERROR(__xludf.DUMMYFUNCTION("GoogleTranslate(C219, ""en"", ""zh-TW"")"),"SO2（二氧化硫）")</f>
        <v>SO2（二氧化硫）</v>
      </c>
      <c r="Q219" s="7" t="str">
        <f>IFERROR(__xludf.DUMMYFUNCTION("GoogleTranslate(C219, ""en"", ""hr"")"),"SO2 (sumporov dioksid)")</f>
        <v>SO2 (sumporov dioksid)</v>
      </c>
      <c r="R219" s="7" t="str">
        <f>IFERROR(__xludf.DUMMYFUNCTION("GoogleTranslate(C219, ""en"", ""cs"")"),"SO2 (oxid siřičitý)")</f>
        <v>SO2 (oxid siřičitý)</v>
      </c>
      <c r="S219" s="7" t="str">
        <f>IFERROR(__xludf.DUMMYFUNCTION("GoogleTranslate(C219, ""en"", ""da"")"),"SO2 (Svovldioxid)")</f>
        <v>SO2 (Svovldioxid)</v>
      </c>
      <c r="T219" s="7" t="str">
        <f>IFERROR(__xludf.DUMMYFUNCTION("GoogleTranslate(C219, ""en"", ""nl"")"),"SO2 (Zwaveldioxide)")</f>
        <v>SO2 (Zwaveldioxide)</v>
      </c>
      <c r="U219" s="7" t="str">
        <f>IFERROR(__xludf.DUMMYFUNCTION("GoogleTranslate(C219, ""en"", ""et"")"),"SO2 (vääveldioksiid)")</f>
        <v>SO2 (vääveldioksiid)</v>
      </c>
      <c r="V219" s="5" t="str">
        <f t="shared" si="3"/>
        <v>SO2 (Sulphur dioxide)</v>
      </c>
      <c r="W219" s="7" t="str">
        <f>IFERROR(__xludf.DUMMYFUNCTION("GoogleTranslate(C219, ""en"", ""fi"")"),"SO2 (rikkidioksidi)")</f>
        <v>SO2 (rikkidioksidi)</v>
      </c>
      <c r="X219" s="7" t="str">
        <f>IFERROR(__xludf.DUMMYFUNCTION("GoogleTranslate(C219, ""en"", ""fr"")"),"SO2 (dioxyde de soufre)")</f>
        <v>SO2 (dioxyde de soufre)</v>
      </c>
      <c r="Y219" s="7" t="str">
        <f>IFERROR(__xludf.DUMMYFUNCTION("GoogleTranslate(C219, ""en"", ""de"")"),"SO2 (Schwefeldioxid)")</f>
        <v>SO2 (Schwefeldioxid)</v>
      </c>
      <c r="Z219" s="7" t="str">
        <f>IFERROR(__xludf.DUMMYFUNCTION("GoogleTranslate(C219, ""en"", ""el"")"),"SO2 (διοξείδιο του θείου)")</f>
        <v>SO2 (διοξείδιο του θείου)</v>
      </c>
      <c r="AA219" s="7" t="str">
        <f>IFERROR(__xludf.DUMMYFUNCTION("GoogleTranslate(C219, ""en"", ""iw"")"),"SO2 (דו תחמוצת הגופרית)")</f>
        <v>SO2 (דו תחמוצת הגופרית)</v>
      </c>
      <c r="AB219" s="7" t="str">
        <f>IFERROR(__xludf.DUMMYFUNCTION("GoogleTranslate(C219, ""en"", ""hi"")"),"SO2 (सल्फर डाइऑक्साइड)")</f>
        <v>SO2 (सल्फर डाइऑक्साइड)</v>
      </c>
      <c r="AC219" s="7" t="str">
        <f>IFERROR(__xludf.DUMMYFUNCTION("GoogleTranslate(C219, ""en"", ""hu"")"),"SO2 (kén-dioxid)")</f>
        <v>SO2 (kén-dioxid)</v>
      </c>
      <c r="AD219" s="7" t="str">
        <f>IFERROR(__xludf.DUMMYFUNCTION("GoogleTranslate(C219, ""en"", ""is"")"),"SO2 (brennisteinsdíoxíð)")</f>
        <v>SO2 (brennisteinsdíoxíð)</v>
      </c>
      <c r="AE219" s="7" t="str">
        <f>IFERROR(__xludf.DUMMYFUNCTION("GoogleTranslate(C219, ""en"", ""id"")"),"SO2 (Belerang dioksida)")</f>
        <v>SO2 (Belerang dioksida)</v>
      </c>
      <c r="AF219" s="7" t="str">
        <f>IFERROR(__xludf.DUMMYFUNCTION("GoogleTranslate(C219, ""en"", ""in"")"),"SO2 (Belerang dioksida)")</f>
        <v>SO2 (Belerang dioksida)</v>
      </c>
      <c r="AG219" s="7" t="str">
        <f>IFERROR(__xludf.DUMMYFUNCTION("GoogleTranslate(C219, ""en"", ""it"")"),"SO2 (anidride solforosa)")</f>
        <v>SO2 (anidride solforosa)</v>
      </c>
      <c r="AH219" s="7" t="str">
        <f>IFERROR(__xludf.DUMMYFUNCTION("GoogleTranslate(C219, ""en"", ""ja"")"),"SO2（二酸化硫黄）")</f>
        <v>SO2（二酸化硫黄）</v>
      </c>
      <c r="AI219" s="7" t="str">
        <f>IFERROR(__xludf.DUMMYFUNCTION("GoogleTranslate(C219, ""en"", ""kn"")"),"SO2 (ಸಲ್ಫರ್ ಡೈಆಕ್ಸೈಡ್)")</f>
        <v>SO2 (ಸಲ್ಫರ್ ಡೈಆಕ್ಸೈಡ್)</v>
      </c>
      <c r="AJ219" s="7" t="str">
        <f>IFERROR(__xludf.DUMMYFUNCTION("GoogleTranslate(C219, ""en"", ""km"")"),"សូ 2 (ស្ពាន់ធ័រឌីអុកស៊ីត)")</f>
        <v>សូ 2 (ស្ពាន់ធ័រឌីអុកស៊ីត)</v>
      </c>
      <c r="AK219" s="7" t="str">
        <f>IFERROR(__xludf.DUMMYFUNCTION("GoogleTranslate(C219, ""en"", ""ko"")"),"SO2(이산화황)")</f>
        <v>SO2(이산화황)</v>
      </c>
      <c r="AL219" s="7" t="str">
        <f>IFERROR(__xludf.DUMMYFUNCTION("GoogleTranslate(C219, ""en"", ""lo"")"),"SO2 (ຊູນຟູຣິກໄດອອກໄຊ)")</f>
        <v>SO2 (ຊູນຟູຣິກໄດອອກໄຊ)</v>
      </c>
      <c r="AM219" s="7" t="str">
        <f>IFERROR(__xludf.DUMMYFUNCTION("GoogleTranslate(C219, ""en"", ""lv"")"),"SO2 (sēra dioksīds)")</f>
        <v>SO2 (sēra dioksīds)</v>
      </c>
      <c r="AN219" s="7" t="str">
        <f>IFERROR(__xludf.DUMMYFUNCTION("GoogleTranslate(C219, ""en"", ""lt"")"),"SO2 (sieros dioksidas)")</f>
        <v>SO2 (sieros dioksidas)</v>
      </c>
      <c r="AO219" s="7" t="str">
        <f>IFERROR(__xludf.DUMMYFUNCTION("GoogleTranslate(C219, ""en"", ""mk"")"),"SO2 (сулфур диоксид)")</f>
        <v>SO2 (сулфур диоксид)</v>
      </c>
      <c r="AP219" s="7" t="str">
        <f>IFERROR(__xludf.DUMMYFUNCTION("GoogleTranslate(C219, ""en"", ""ms"")"),"SO2 (Sulfur dioksida)")</f>
        <v>SO2 (Sulfur dioksida)</v>
      </c>
      <c r="AQ219" s="7" t="str">
        <f>IFERROR(__xludf.DUMMYFUNCTION("GoogleTranslate(C219, ""en"", ""ml"")"),"SO2 (സൾഫർ ഡയോക്സൈഡ്)")</f>
        <v>SO2 (സൾഫർ ഡയോക്സൈഡ്)</v>
      </c>
      <c r="AR219" s="7" t="str">
        <f>IFERROR(__xludf.DUMMYFUNCTION("GoogleTranslate(C219, ""en"", ""mr"")"),"SO2 (सल्फर डायऑक्साइड)")</f>
        <v>SO2 (सल्फर डायऑक्साइड)</v>
      </c>
      <c r="AS219" s="7" t="str">
        <f>IFERROR(__xludf.DUMMYFUNCTION("GoogleTranslate(C219, ""en"", ""mn"")"),"SO2 (хүхрийн давхар исэл)")</f>
        <v>SO2 (хүхрийн давхар исэл)</v>
      </c>
      <c r="AT219" s="7" t="str">
        <f>IFERROR(__xludf.DUMMYFUNCTION("GoogleTranslate(C219, ""en"", ""ne"")"),"SO2 (सल्फर डाइअक्साइड)")</f>
        <v>SO2 (सल्फर डाइअक्साइड)</v>
      </c>
      <c r="AU219" s="7" t="str">
        <f>IFERROR(__xludf.DUMMYFUNCTION("GoogleTranslate(C219, ""en"", ""nb"")"),"SO2 (Svoveldioksid)")</f>
        <v>SO2 (Svoveldioksid)</v>
      </c>
      <c r="AV219" s="7" t="str">
        <f>IFERROR(__xludf.DUMMYFUNCTION("GoogleTranslate(C219, ""en"", ""fa"")"),"SO2 (دی اکسید گوگرد)")</f>
        <v>SO2 (دی اکسید گوگرد)</v>
      </c>
      <c r="AW219" s="7" t="str">
        <f>IFERROR(__xludf.DUMMYFUNCTION("GoogleTranslate(C219, ""en"", ""pl"")"),"SO2 (dwutlenek siarki)")</f>
        <v>SO2 (dwutlenek siarki)</v>
      </c>
      <c r="AX219" s="7" t="str">
        <f>IFERROR(__xludf.DUMMYFUNCTION("GoogleTranslate(C219, ""en"", ""pt"")"),"SO2 (dióxido de enxofre)")</f>
        <v>SO2 (dióxido de enxofre)</v>
      </c>
      <c r="AY219" s="7" t="str">
        <f>IFERROR(__xludf.DUMMYFUNCTION("GoogleTranslate(C219, ""en"", ""ro"")"),"SO2 (dioxid de sulf)")</f>
        <v>SO2 (dioxid de sulf)</v>
      </c>
      <c r="AZ219" s="7" t="str">
        <f>IFERROR(__xludf.DUMMYFUNCTION("GoogleTranslate(C219, ""en"", ""ru"")"),"SO2 (Диоксид серы)")</f>
        <v>SO2 (Диоксид серы)</v>
      </c>
      <c r="BA219" s="7" t="str">
        <f>IFERROR(__xludf.DUMMYFUNCTION("GoogleTranslate(C219, ""en"", ""sr"")"),"СО2 (сумпор диоксид)")</f>
        <v>СО2 (сумпор диоксид)</v>
      </c>
      <c r="BB219" s="7" t="str">
        <f>IFERROR(__xludf.DUMMYFUNCTION("GoogleTranslate(C219, ""en"", ""si"")"),"SO2 (සල්ෆර් ඩයොක්සයිඩ්)")</f>
        <v>SO2 (සල්ෆර් ඩයොක්සයිඩ්)</v>
      </c>
      <c r="BC219" s="7" t="str">
        <f>IFERROR(__xludf.DUMMYFUNCTION("GoogleTranslate(C219, ""en"", ""sk"")"),"SO2 (oxid siričitý)")</f>
        <v>SO2 (oxid siričitý)</v>
      </c>
      <c r="BD219" s="7" t="str">
        <f>IFERROR(__xludf.DUMMYFUNCTION("GoogleTranslate(C219, ""en"", ""sl"")"),"SO2 (žveplov dioksid)")</f>
        <v>SO2 (žveplov dioksid)</v>
      </c>
      <c r="BE219" s="7" t="str">
        <f>IFERROR(__xludf.DUMMYFUNCTION("GoogleTranslate(C219, ""en"", ""es"")"),"SO2 (Dióxido de azufre)")</f>
        <v>SO2 (Dióxido de azufre)</v>
      </c>
      <c r="BF219" s="7" t="str">
        <f>IFERROR(__xludf.DUMMYFUNCTION("GoogleTranslate(C219, ""en"", ""sw"")"),"SO2 (Dioksidi ya sulfuri)")</f>
        <v>SO2 (Dioksidi ya sulfuri)</v>
      </c>
      <c r="BG219" s="7" t="str">
        <f>IFERROR(__xludf.DUMMYFUNCTION("GoogleTranslate(C219, ""en"", ""sv"")"),"SO2 (svaveldioxid)")</f>
        <v>SO2 (svaveldioxid)</v>
      </c>
      <c r="BH219" s="7" t="str">
        <f>IFERROR(__xludf.DUMMYFUNCTION("GoogleTranslate(C219, ""en"", ""te"")"),"SO2 (సల్ఫర్ డయాక్సైడ్)")</f>
        <v>SO2 (సల్ఫర్ డయాక్సైడ్)</v>
      </c>
      <c r="BI219" s="7" t="str">
        <f>IFERROR(__xludf.DUMMYFUNCTION("GoogleTranslate(C219, ""en"", ""th"")"),"SO2 (ซัลเฟอร์ไดออกไซด์)")</f>
        <v>SO2 (ซัลเฟอร์ไดออกไซด์)</v>
      </c>
      <c r="BJ219" s="7" t="str">
        <f>IFERROR(__xludf.DUMMYFUNCTION("GoogleTranslate(C219, ""en"", ""tr"")"),"SO2 (Kükürt dioksit)")</f>
        <v>SO2 (Kükürt dioksit)</v>
      </c>
      <c r="BK219" s="7" t="str">
        <f>IFERROR(__xludf.DUMMYFUNCTION("GoogleTranslate(C219, ""en"", ""uk"")"),"SO2 (діоксид сірки)")</f>
        <v>SO2 (діоксид сірки)</v>
      </c>
      <c r="BL219" s="7" t="str">
        <f>IFERROR(__xludf.DUMMYFUNCTION("GoogleTranslate(C219, ""en"", ""zu"")"),"I-SO2 (Sulphur dioxide)")</f>
        <v>I-SO2 (Sulphur dioxide)</v>
      </c>
    </row>
    <row r="220">
      <c r="A220" s="5" t="str">
        <f t="shared" si="1"/>
        <v>NO2_(Nitrogen_dioxide)</v>
      </c>
      <c r="B220" s="4" t="s">
        <v>264</v>
      </c>
      <c r="C220" s="4" t="s">
        <v>264</v>
      </c>
      <c r="D220" s="7" t="str">
        <f>IFERROR(__xludf.DUMMYFUNCTION("GoogleTranslate(C220, ""en"", ""es"")"),"NO2 (Dióxido de nitrógeno)")</f>
        <v>NO2 (Dióxido de nitrógeno)</v>
      </c>
      <c r="E220" s="7" t="str">
        <f>IFERROR(__xludf.DUMMYFUNCTION("GoogleTranslate(C220, ""en"", ""ar"")"),"NO2 (ثاني أكسيد النيتروجين)")</f>
        <v>NO2 (ثاني أكسيد النيتروجين)</v>
      </c>
      <c r="F220" s="7" t="str">
        <f>IFERROR(__xludf.DUMMYFUNCTION("GoogleTranslate(C220, ""en"", ""hy"")"),"NO2 (Ազոտի երկօքսիդ)")</f>
        <v>NO2 (Ազոտի երկօքսիդ)</v>
      </c>
      <c r="G220" s="7" t="str">
        <f>IFERROR(__xludf.DUMMYFUNCTION("GoogleTranslate(C220, ""en"", ""vi"")"),"NO2 (Nitơ dioxit)")</f>
        <v>NO2 (Nitơ dioxit)</v>
      </c>
      <c r="H220" s="7" t="str">
        <f>IFERROR(__xludf.DUMMYFUNCTION("GoogleTranslate(C220, ""en"", ""az"")"),"NO2 (Azot dioksidi)")</f>
        <v>NO2 (Azot dioksidi)</v>
      </c>
      <c r="I220" s="7" t="str">
        <f>IFERROR(__xludf.DUMMYFUNCTION("GoogleTranslate(C220, ""en"", ""eu"")"),"NO2 (nitrogeno dioxidoa)")</f>
        <v>NO2 (nitrogeno dioxidoa)</v>
      </c>
      <c r="J220" s="7" t="str">
        <f>IFERROR(__xludf.DUMMYFUNCTION("GoogleTranslate(C220, ""en"", ""be"")"),"NO2 (дыяксід азоту)")</f>
        <v>NO2 (дыяксід азоту)</v>
      </c>
      <c r="K220" s="7" t="str">
        <f>IFERROR(__xludf.DUMMYFUNCTION("GoogleTranslate(C220, ""en"", ""bn"")"),"NO2 (নাইট্রোজেন ডাই অক্সাইড)")</f>
        <v>NO2 (নাইট্রোজেন ডাই অক্সাইড)</v>
      </c>
      <c r="L220" s="7" t="str">
        <f>IFERROR(__xludf.DUMMYFUNCTION("GoogleTranslate(C220, ""en"", ""bg"")"),"NO2 (Азотен диоксид)")</f>
        <v>NO2 (Азотен диоксид)</v>
      </c>
      <c r="M220" s="7" t="str">
        <f>IFERROR(__xludf.DUMMYFUNCTION("GoogleTranslate(C220, ""en"", ""my"")"),"NO2 (နိုက်ထရိုဂျင်ဒိုင်အောက်ဆိုဒ်)")</f>
        <v>NO2 (နိုက်ထရိုဂျင်ဒိုင်အောက်ဆိုဒ်)</v>
      </c>
      <c r="N220" s="7" t="str">
        <f>IFERROR(__xludf.DUMMYFUNCTION("GoogleTranslate(C220, ""en"", ""ca"")"),"NO2 (diòxid de nitrogen)")</f>
        <v>NO2 (diòxid de nitrogen)</v>
      </c>
      <c r="O220" s="7" t="str">
        <f>IFERROR(__xludf.DUMMYFUNCTION("GoogleTranslate(C220, ""en"", ""zh-cn"")"),"NO2（二氧化氮）")</f>
        <v>NO2（二氧化氮）</v>
      </c>
      <c r="P220" s="7" t="str">
        <f>IFERROR(__xludf.DUMMYFUNCTION("GoogleTranslate(C220, ""en"", ""zh-TW"")"),"NO2（二氧化氮）")</f>
        <v>NO2（二氧化氮）</v>
      </c>
      <c r="Q220" s="7" t="str">
        <f>IFERROR(__xludf.DUMMYFUNCTION("GoogleTranslate(C220, ""en"", ""hr"")"),"NO2 (dušikov dioksid)")</f>
        <v>NO2 (dušikov dioksid)</v>
      </c>
      <c r="R220" s="7" t="str">
        <f>IFERROR(__xludf.DUMMYFUNCTION("GoogleTranslate(C220, ""en"", ""cs"")"),"NO2 (oxid dusičitý)")</f>
        <v>NO2 (oxid dusičitý)</v>
      </c>
      <c r="S220" s="7" t="str">
        <f>IFERROR(__xludf.DUMMYFUNCTION("GoogleTranslate(C220, ""en"", ""da"")"),"NO2 (nitrogendioxid)")</f>
        <v>NO2 (nitrogendioxid)</v>
      </c>
      <c r="T220" s="7" t="str">
        <f>IFERROR(__xludf.DUMMYFUNCTION("GoogleTranslate(C220, ""en"", ""nl"")"),"NO2 (stikstofdioxide)")</f>
        <v>NO2 (stikstofdioxide)</v>
      </c>
      <c r="U220" s="7" t="str">
        <f>IFERROR(__xludf.DUMMYFUNCTION("GoogleTranslate(C220, ""en"", ""et"")"),"NO2 (lämmastikdioksiid)")</f>
        <v>NO2 (lämmastikdioksiid)</v>
      </c>
      <c r="V220" s="5" t="str">
        <f t="shared" si="3"/>
        <v>NO2 (Nitrogen dioxide)</v>
      </c>
      <c r="W220" s="7" t="str">
        <f>IFERROR(__xludf.DUMMYFUNCTION("GoogleTranslate(C220, ""en"", ""fi"")"),"NO2 (typpidioksidi)")</f>
        <v>NO2 (typpidioksidi)</v>
      </c>
      <c r="X220" s="7" t="str">
        <f>IFERROR(__xludf.DUMMYFUNCTION("GoogleTranslate(C220, ""en"", ""fr"")"),"NO2 (Dioxyde d'azote)")</f>
        <v>NO2 (Dioxyde d'azote)</v>
      </c>
      <c r="Y220" s="7" t="str">
        <f>IFERROR(__xludf.DUMMYFUNCTION("GoogleTranslate(C220, ""en"", ""de"")"),"NO2 (Stickstoffdioxid)")</f>
        <v>NO2 (Stickstoffdioxid)</v>
      </c>
      <c r="Z220" s="7" t="str">
        <f>IFERROR(__xludf.DUMMYFUNCTION("GoogleTranslate(C220, ""en"", ""el"")"),"NO2 (διοξείδιο του αζώτου)")</f>
        <v>NO2 (διοξείδιο του αζώτου)</v>
      </c>
      <c r="AA220" s="7" t="str">
        <f>IFERROR(__xludf.DUMMYFUNCTION("GoogleTranslate(C220, ""en"", ""iw"")"),"NO2 (חנקן דו חמצני)")</f>
        <v>NO2 (חנקן דו חמצני)</v>
      </c>
      <c r="AB220" s="7" t="str">
        <f>IFERROR(__xludf.DUMMYFUNCTION("GoogleTranslate(C220, ""en"", ""hi"")"),"NO2 (नाइट्रोजन डाइऑक्साइड)")</f>
        <v>NO2 (नाइट्रोजन डाइऑक्साइड)</v>
      </c>
      <c r="AC220" s="7" t="str">
        <f>IFERROR(__xludf.DUMMYFUNCTION("GoogleTranslate(C220, ""en"", ""hu"")"),"NO2 (nitrogén-dioxid)")</f>
        <v>NO2 (nitrogén-dioxid)</v>
      </c>
      <c r="AD220" s="7" t="str">
        <f>IFERROR(__xludf.DUMMYFUNCTION("GoogleTranslate(C220, ""en"", ""is"")"),"NO2 (köfnunarefnisdíoxíð)")</f>
        <v>NO2 (köfnunarefnisdíoxíð)</v>
      </c>
      <c r="AE220" s="7" t="str">
        <f>IFERROR(__xludf.DUMMYFUNCTION("GoogleTranslate(C220, ""en"", ""id"")"),"NO2 (Nitrogen dioksida)")</f>
        <v>NO2 (Nitrogen dioksida)</v>
      </c>
      <c r="AF220" s="7" t="str">
        <f>IFERROR(__xludf.DUMMYFUNCTION("GoogleTranslate(C220, ""en"", ""in"")"),"NO2 (Nitrogen dioksida)")</f>
        <v>NO2 (Nitrogen dioksida)</v>
      </c>
      <c r="AG220" s="7" t="str">
        <f>IFERROR(__xludf.DUMMYFUNCTION("GoogleTranslate(C220, ""en"", ""it"")"),"NO2 (biossido di azoto)")</f>
        <v>NO2 (biossido di azoto)</v>
      </c>
      <c r="AH220" s="7" t="str">
        <f>IFERROR(__xludf.DUMMYFUNCTION("GoogleTranslate(C220, ""en"", ""ja"")"),"NO2（二酸化窒素）")</f>
        <v>NO2（二酸化窒素）</v>
      </c>
      <c r="AI220" s="7" t="str">
        <f>IFERROR(__xludf.DUMMYFUNCTION("GoogleTranslate(C220, ""en"", ""kn"")"),"NO2 (ನೈಟ್ರೋಜನ್ ಡೈಆಕ್ಸೈಡ್)")</f>
        <v>NO2 (ನೈಟ್ರೋಜನ್ ಡೈಆಕ್ಸೈಡ್)</v>
      </c>
      <c r="AJ220" s="7" t="str">
        <f>IFERROR(__xludf.DUMMYFUNCTION("GoogleTranslate(C220, ""en"", ""km"")"),"NO2 (អាសូតឌីអុកស៊ីត)")</f>
        <v>NO2 (អាសូតឌីអុកស៊ីត)</v>
      </c>
      <c r="AK220" s="7" t="str">
        <f>IFERROR(__xludf.DUMMYFUNCTION("GoogleTranslate(C220, ""en"", ""ko"")"),"NO2(이산화질소)")</f>
        <v>NO2(이산화질소)</v>
      </c>
      <c r="AL220" s="7" t="str">
        <f>IFERROR(__xludf.DUMMYFUNCTION("GoogleTranslate(C220, ""en"", ""lo"")"),"NO2 (ໄນໂຕຣເຈນໄດອອກໄຊ)")</f>
        <v>NO2 (ໄນໂຕຣເຈນໄດອອກໄຊ)</v>
      </c>
      <c r="AM220" s="7" t="str">
        <f>IFERROR(__xludf.DUMMYFUNCTION("GoogleTranslate(C220, ""en"", ""lv"")"),"NO2 (slāpekļa dioksīds)")</f>
        <v>NO2 (slāpekļa dioksīds)</v>
      </c>
      <c r="AN220" s="7" t="str">
        <f>IFERROR(__xludf.DUMMYFUNCTION("GoogleTranslate(C220, ""en"", ""lt"")"),"NO2 (azoto dioksidas)")</f>
        <v>NO2 (azoto dioksidas)</v>
      </c>
      <c r="AO220" s="7" t="str">
        <f>IFERROR(__xludf.DUMMYFUNCTION("GoogleTranslate(C220, ""en"", ""mk"")"),"NO2 (Азот диоксид)")</f>
        <v>NO2 (Азот диоксид)</v>
      </c>
      <c r="AP220" s="7" t="str">
        <f>IFERROR(__xludf.DUMMYFUNCTION("GoogleTranslate(C220, ""en"", ""ms"")"),"NO2 (Nitrogen dioksida)")</f>
        <v>NO2 (Nitrogen dioksida)</v>
      </c>
      <c r="AQ220" s="7" t="str">
        <f>IFERROR(__xludf.DUMMYFUNCTION("GoogleTranslate(C220, ""en"", ""ml"")"),"NO2 (നൈട്രജൻ ഡയോക്സൈഡ്)")</f>
        <v>NO2 (നൈട്രജൻ ഡയോക്സൈഡ്)</v>
      </c>
      <c r="AR220" s="7" t="str">
        <f>IFERROR(__xludf.DUMMYFUNCTION("GoogleTranslate(C220, ""en"", ""mr"")"),"NO2 (नायट्रोजन डायऑक्साइड)")</f>
        <v>NO2 (नायट्रोजन डायऑक्साइड)</v>
      </c>
      <c r="AS220" s="7" t="str">
        <f>IFERROR(__xludf.DUMMYFUNCTION("GoogleTranslate(C220, ""en"", ""mn"")"),"NO2 (Азотын давхар исэл)")</f>
        <v>NO2 (Азотын давхар исэл)</v>
      </c>
      <c r="AT220" s="7" t="str">
        <f>IFERROR(__xludf.DUMMYFUNCTION("GoogleTranslate(C220, ""en"", ""ne"")"),"NO2 (नाइट्रोजन डाइअक्साइड)")</f>
        <v>NO2 (नाइट्रोजन डाइअक्साइड)</v>
      </c>
      <c r="AU220" s="7" t="str">
        <f>IFERROR(__xludf.DUMMYFUNCTION("GoogleTranslate(C220, ""en"", ""nb"")"),"NO2 (nitrogendioksid)")</f>
        <v>NO2 (nitrogendioksid)</v>
      </c>
      <c r="AV220" s="7" t="str">
        <f>IFERROR(__xludf.DUMMYFUNCTION("GoogleTranslate(C220, ""en"", ""fa"")"),"NO2 (دی اکسید نیتروژن)")</f>
        <v>NO2 (دی اکسید نیتروژن)</v>
      </c>
      <c r="AW220" s="7" t="str">
        <f>IFERROR(__xludf.DUMMYFUNCTION("GoogleTranslate(C220, ""en"", ""pl"")"),"NO2 (dwutlenek azotu)")</f>
        <v>NO2 (dwutlenek azotu)</v>
      </c>
      <c r="AX220" s="7" t="str">
        <f>IFERROR(__xludf.DUMMYFUNCTION("GoogleTranslate(C220, ""en"", ""pt"")"),"NO2 (dióxido de nitrogênio)")</f>
        <v>NO2 (dióxido de nitrogênio)</v>
      </c>
      <c r="AY220" s="7" t="str">
        <f>IFERROR(__xludf.DUMMYFUNCTION("GoogleTranslate(C220, ""en"", ""ro"")"),"NO2 (dioxid de azot)")</f>
        <v>NO2 (dioxid de azot)</v>
      </c>
      <c r="AZ220" s="7" t="str">
        <f>IFERROR(__xludf.DUMMYFUNCTION("GoogleTranslate(C220, ""en"", ""ru"")"),"NO2 (Диоксид азота)")</f>
        <v>NO2 (Диоксид азота)</v>
      </c>
      <c r="BA220" s="7" t="str">
        <f>IFERROR(__xludf.DUMMYFUNCTION("GoogleTranslate(C220, ""en"", ""sr"")"),"НО2 (азот диоксид)")</f>
        <v>НО2 (азот диоксид)</v>
      </c>
      <c r="BB220" s="7" t="str">
        <f>IFERROR(__xludf.DUMMYFUNCTION("GoogleTranslate(C220, ""en"", ""si"")"),"NO2 (නයිට්‍රජන් ඩයොක්සයිඩ්)")</f>
        <v>NO2 (නයිට්‍රජන් ඩයොක්සයිඩ්)</v>
      </c>
      <c r="BC220" s="7" t="str">
        <f>IFERROR(__xludf.DUMMYFUNCTION("GoogleTranslate(C220, ""en"", ""sk"")"),"NO2 (oxid dusičitý)")</f>
        <v>NO2 (oxid dusičitý)</v>
      </c>
      <c r="BD220" s="7" t="str">
        <f>IFERROR(__xludf.DUMMYFUNCTION("GoogleTranslate(C220, ""en"", ""sl"")"),"NO2 (dušikov dioksid)")</f>
        <v>NO2 (dušikov dioksid)</v>
      </c>
      <c r="BE220" s="7" t="str">
        <f>IFERROR(__xludf.DUMMYFUNCTION("GoogleTranslate(C220, ""en"", ""es"")"),"NO2 (Dióxido de nitrógeno)")</f>
        <v>NO2 (Dióxido de nitrógeno)</v>
      </c>
      <c r="BF220" s="7" t="str">
        <f>IFERROR(__xludf.DUMMYFUNCTION("GoogleTranslate(C220, ""en"", ""sw"")"),"NO2 (Dioksidi ya nitrojeni)")</f>
        <v>NO2 (Dioksidi ya nitrojeni)</v>
      </c>
      <c r="BG220" s="7" t="str">
        <f>IFERROR(__xludf.DUMMYFUNCTION("GoogleTranslate(C220, ""en"", ""sv"")"),"NO2 (kvävedioxid)")</f>
        <v>NO2 (kvävedioxid)</v>
      </c>
      <c r="BH220" s="7" t="str">
        <f>IFERROR(__xludf.DUMMYFUNCTION("GoogleTranslate(C220, ""en"", ""te"")"),"NO2 (నైట్రోజన్ డయాక్సైడ్)")</f>
        <v>NO2 (నైట్రోజన్ డయాక్సైడ్)</v>
      </c>
      <c r="BI220" s="7" t="str">
        <f>IFERROR(__xludf.DUMMYFUNCTION("GoogleTranslate(C220, ""en"", ""th"")"),"NO2 (ไนโตรเจนไดออกไซด์)")</f>
        <v>NO2 (ไนโตรเจนไดออกไซด์)</v>
      </c>
      <c r="BJ220" s="7" t="str">
        <f>IFERROR(__xludf.DUMMYFUNCTION("GoogleTranslate(C220, ""en"", ""tr"")"),"NO2 (Azot dioksit)")</f>
        <v>NO2 (Azot dioksit)</v>
      </c>
      <c r="BK220" s="7" t="str">
        <f>IFERROR(__xludf.DUMMYFUNCTION("GoogleTranslate(C220, ""en"", ""uk"")"),"NO2 (діоксид азоту)")</f>
        <v>NO2 (діоксид азоту)</v>
      </c>
      <c r="BL220" s="7" t="str">
        <f>IFERROR(__xludf.DUMMYFUNCTION("GoogleTranslate(C220, ""en"", ""zu"")"),"I-NO2 (i-nitrogen dioxide)")</f>
        <v>I-NO2 (i-nitrogen dioxide)</v>
      </c>
    </row>
    <row r="221">
      <c r="A221" s="5" t="str">
        <f t="shared" si="1"/>
        <v>CO_(Carbon_monoxide)</v>
      </c>
      <c r="B221" s="4" t="s">
        <v>265</v>
      </c>
      <c r="C221" s="4" t="s">
        <v>265</v>
      </c>
      <c r="D221" s="7" t="str">
        <f>IFERROR(__xludf.DUMMYFUNCTION("GoogleTranslate(C221, ""en"", ""es"")"),"CO (monóxido de carbono)")</f>
        <v>CO (monóxido de carbono)</v>
      </c>
      <c r="E221" s="7" t="str">
        <f>IFERROR(__xludf.DUMMYFUNCTION("GoogleTranslate(C221, ""en"", ""ar"")"),"ثاني أكسيد الكربون (أول أكسيد الكربون)")</f>
        <v>ثاني أكسيد الكربون (أول أكسيد الكربون)</v>
      </c>
      <c r="F221" s="7" t="str">
        <f>IFERROR(__xludf.DUMMYFUNCTION("GoogleTranslate(C221, ""en"", ""hy"")"),"CO (ածխածնի երկօքսիդ)")</f>
        <v>CO (ածխածնի երկօքսիդ)</v>
      </c>
      <c r="G221" s="7" t="str">
        <f>IFERROR(__xludf.DUMMYFUNCTION("GoogleTranslate(C221, ""en"", ""vi"")"),"CO (Cacbon monoxit)")</f>
        <v>CO (Cacbon monoxit)</v>
      </c>
      <c r="H221" s="7" t="str">
        <f>IFERROR(__xludf.DUMMYFUNCTION("GoogleTranslate(C221, ""en"", ""az"")"),"CO (karbon monoksit)")</f>
        <v>CO (karbon monoksit)</v>
      </c>
      <c r="I221" s="7" t="str">
        <f>IFERROR(__xludf.DUMMYFUNCTION("GoogleTranslate(C221, ""en"", ""eu"")"),"CO (karbono monoxidoa)")</f>
        <v>CO (karbono monoxidoa)</v>
      </c>
      <c r="J221" s="7" t="str">
        <f>IFERROR(__xludf.DUMMYFUNCTION("GoogleTranslate(C221, ""en"", ""be"")"),"CO (вокіс вугляроду)")</f>
        <v>CO (вокіс вугляроду)</v>
      </c>
      <c r="K221" s="7" t="str">
        <f>IFERROR(__xludf.DUMMYFUNCTION("GoogleTranslate(C221, ""en"", ""bn"")"),"CO (কার্বন মনোক্সাইড)")</f>
        <v>CO (কার্বন মনোক্সাইড)</v>
      </c>
      <c r="L221" s="7" t="str">
        <f>IFERROR(__xludf.DUMMYFUNCTION("GoogleTranslate(C221, ""en"", ""bg"")"),"CO (въглероден окис)")</f>
        <v>CO (въглероден окис)</v>
      </c>
      <c r="M221" s="7" t="str">
        <f>IFERROR(__xludf.DUMMYFUNCTION("GoogleTranslate(C221, ""en"", ""my"")"),"CO (ကာဗွန်မိုနောက်ဆိုဒ်)")</f>
        <v>CO (ကာဗွန်မိုနောက်ဆိုဒ်)</v>
      </c>
      <c r="N221" s="7" t="str">
        <f>IFERROR(__xludf.DUMMYFUNCTION("GoogleTranslate(C221, ""en"", ""ca"")"),"CO (monòxid de carboni)")</f>
        <v>CO (monòxid de carboni)</v>
      </c>
      <c r="O221" s="7" t="str">
        <f>IFERROR(__xludf.DUMMYFUNCTION("GoogleTranslate(C221, ""en"", ""zh-cn"")"),"CO（一氧化碳）")</f>
        <v>CO（一氧化碳）</v>
      </c>
      <c r="P221" s="7" t="str">
        <f>IFERROR(__xludf.DUMMYFUNCTION("GoogleTranslate(C221, ""en"", ""zh-TW"")"),"CO（一氧化碳）")</f>
        <v>CO（一氧化碳）</v>
      </c>
      <c r="Q221" s="7" t="str">
        <f>IFERROR(__xludf.DUMMYFUNCTION("GoogleTranslate(C221, ""en"", ""hr"")"),"CO (ugljični monoksid)")</f>
        <v>CO (ugljični monoksid)</v>
      </c>
      <c r="R221" s="7" t="str">
        <f>IFERROR(__xludf.DUMMYFUNCTION("GoogleTranslate(C221, ""en"", ""cs"")"),"CO (oxid uhelnatý)")</f>
        <v>CO (oxid uhelnatý)</v>
      </c>
      <c r="S221" s="7" t="str">
        <f>IFERROR(__xludf.DUMMYFUNCTION("GoogleTranslate(C221, ""en"", ""da"")"),"CO (kulilte)")</f>
        <v>CO (kulilte)</v>
      </c>
      <c r="T221" s="7" t="str">
        <f>IFERROR(__xludf.DUMMYFUNCTION("GoogleTranslate(C221, ""en"", ""nl"")"),"CO (koolmonoxide)")</f>
        <v>CO (koolmonoxide)</v>
      </c>
      <c r="U221" s="7" t="str">
        <f>IFERROR(__xludf.DUMMYFUNCTION("GoogleTranslate(C221, ""en"", ""et"")"),"CO (süsinikmonooksiid)")</f>
        <v>CO (süsinikmonooksiid)</v>
      </c>
      <c r="V221" s="5" t="str">
        <f t="shared" si="3"/>
        <v>CO (Carbon monoxide)</v>
      </c>
      <c r="W221" s="7" t="str">
        <f>IFERROR(__xludf.DUMMYFUNCTION("GoogleTranslate(C221, ""en"", ""fi"")"),"CO (hiilimonoksidi)")</f>
        <v>CO (hiilimonoksidi)</v>
      </c>
      <c r="X221" s="7" t="str">
        <f>IFERROR(__xludf.DUMMYFUNCTION("GoogleTranslate(C221, ""en"", ""fr"")"),"CO (Monoxyde de carbone)")</f>
        <v>CO (Monoxyde de carbone)</v>
      </c>
      <c r="Y221" s="7" t="str">
        <f>IFERROR(__xludf.DUMMYFUNCTION("GoogleTranslate(C221, ""en"", ""de"")"),"CO (Kohlenmonoxid)")</f>
        <v>CO (Kohlenmonoxid)</v>
      </c>
      <c r="Z221" s="7" t="str">
        <f>IFERROR(__xludf.DUMMYFUNCTION("GoogleTranslate(C221, ""en"", ""el"")"),"CO (μονοξείδιο του άνθρακα)")</f>
        <v>CO (μονοξείδιο του άνθρακα)</v>
      </c>
      <c r="AA221" s="7" t="str">
        <f>IFERROR(__xludf.DUMMYFUNCTION("GoogleTranslate(C221, ""en"", ""iw"")"),"CO (פחמן חד חמצני)")</f>
        <v>CO (פחמן חד חמצני)</v>
      </c>
      <c r="AB221" s="7" t="str">
        <f>IFERROR(__xludf.DUMMYFUNCTION("GoogleTranslate(C221, ""en"", ""hi"")"),"CO (कार्बन मोनोऑक्साइड)")</f>
        <v>CO (कार्बन मोनोऑक्साइड)</v>
      </c>
      <c r="AC221" s="7" t="str">
        <f>IFERROR(__xludf.DUMMYFUNCTION("GoogleTranslate(C221, ""en"", ""hu"")"),"CO (szén-monoxid)")</f>
        <v>CO (szén-monoxid)</v>
      </c>
      <c r="AD221" s="7" t="str">
        <f>IFERROR(__xludf.DUMMYFUNCTION("GoogleTranslate(C221, ""en"", ""is"")"),"CO (kolmónoxíð)")</f>
        <v>CO (kolmónoxíð)</v>
      </c>
      <c r="AE221" s="7" t="str">
        <f>IFERROR(__xludf.DUMMYFUNCTION("GoogleTranslate(C221, ""en"", ""id"")"),"CO (Karbon monoksida)")</f>
        <v>CO (Karbon monoksida)</v>
      </c>
      <c r="AF221" s="7" t="str">
        <f>IFERROR(__xludf.DUMMYFUNCTION("GoogleTranslate(C221, ""en"", ""in"")"),"CO (Karbon monoksida)")</f>
        <v>CO (Karbon monoksida)</v>
      </c>
      <c r="AG221" s="7" t="str">
        <f>IFERROR(__xludf.DUMMYFUNCTION("GoogleTranslate(C221, ""en"", ""it"")"),"CO (monossido di carbonio)")</f>
        <v>CO (monossido di carbonio)</v>
      </c>
      <c r="AH221" s="7" t="str">
        <f>IFERROR(__xludf.DUMMYFUNCTION("GoogleTranslate(C221, ""en"", ""ja"")"),"CO（一酸化炭素）")</f>
        <v>CO（一酸化炭素）</v>
      </c>
      <c r="AI221" s="7" t="str">
        <f>IFERROR(__xludf.DUMMYFUNCTION("GoogleTranslate(C221, ""en"", ""kn"")"),"CO (ಕಾರ್ಬನ್ ಮಾನಾಕ್ಸೈಡ್)")</f>
        <v>CO (ಕಾರ್ಬನ್ ಮಾನಾಕ್ಸೈಡ್)</v>
      </c>
      <c r="AJ221" s="7" t="str">
        <f>IFERROR(__xludf.DUMMYFUNCTION("GoogleTranslate(C221, ""en"", ""km"")"),"កាបូនម៉ូណូអុកស៊ីត (CO)")</f>
        <v>កាបូនម៉ូណូអុកស៊ីត (CO)</v>
      </c>
      <c r="AK221" s="7" t="str">
        <f>IFERROR(__xludf.DUMMYFUNCTION("GoogleTranslate(C221, ""en"", ""ko"")"),"CO (일산화탄소)")</f>
        <v>CO (일산화탄소)</v>
      </c>
      <c r="AL221" s="7" t="str">
        <f>IFERROR(__xludf.DUMMYFUNCTION("GoogleTranslate(C221, ""en"", ""lo"")"),"CO (ຄາບອນໂມໂນໄຊ)")</f>
        <v>CO (ຄາບອນໂມໂນໄຊ)</v>
      </c>
      <c r="AM221" s="7" t="str">
        <f>IFERROR(__xludf.DUMMYFUNCTION("GoogleTranslate(C221, ""en"", ""lv"")"),"CO (oglekļa monoksīds)")</f>
        <v>CO (oglekļa monoksīds)</v>
      </c>
      <c r="AN221" s="7" t="str">
        <f>IFERROR(__xludf.DUMMYFUNCTION("GoogleTranslate(C221, ""en"", ""lt"")"),"CO (anglies monoksidas)")</f>
        <v>CO (anglies monoksidas)</v>
      </c>
      <c r="AO221" s="7" t="str">
        <f>IFERROR(__xludf.DUMMYFUNCTION("GoogleTranslate(C221, ""en"", ""mk"")"),"CO (јаглерод моноксид)")</f>
        <v>CO (јаглерод моноксид)</v>
      </c>
      <c r="AP221" s="7" t="str">
        <f>IFERROR(__xludf.DUMMYFUNCTION("GoogleTranslate(C221, ""en"", ""ms"")"),"CO (Karbon monoksida)")</f>
        <v>CO (Karbon monoksida)</v>
      </c>
      <c r="AQ221" s="7" t="str">
        <f>IFERROR(__xludf.DUMMYFUNCTION("GoogleTranslate(C221, ""en"", ""ml"")"),"CO (കാർബൺ മോണോക്സൈഡ്)")</f>
        <v>CO (കാർബൺ മോണോക്സൈഡ്)</v>
      </c>
      <c r="AR221" s="7" t="str">
        <f>IFERROR(__xludf.DUMMYFUNCTION("GoogleTranslate(C221, ""en"", ""mr"")"),"CO (कार्बन मोनोऑक्साइड)")</f>
        <v>CO (कार्बन मोनोऑक्साइड)</v>
      </c>
      <c r="AS221" s="7" t="str">
        <f>IFERROR(__xludf.DUMMYFUNCTION("GoogleTranslate(C221, ""en"", ""mn"")"),"CO (нүүрстөрөгчийн дутуу исэл)")</f>
        <v>CO (нүүрстөрөгчийн дутуу исэл)</v>
      </c>
      <c r="AT221" s="7" t="str">
        <f>IFERROR(__xludf.DUMMYFUNCTION("GoogleTranslate(C221, ""en"", ""ne"")"),"CO (कार्बन मोनोअक्साइड)")</f>
        <v>CO (कार्बन मोनोअक्साइड)</v>
      </c>
      <c r="AU221" s="7" t="str">
        <f>IFERROR(__xludf.DUMMYFUNCTION("GoogleTranslate(C221, ""en"", ""nb"")"),"CO (karbonmonoksid)")</f>
        <v>CO (karbonmonoksid)</v>
      </c>
      <c r="AV221" s="7" t="str">
        <f>IFERROR(__xludf.DUMMYFUNCTION("GoogleTranslate(C221, ""en"", ""fa"")"),"CO (مونوکسید کربن)")</f>
        <v>CO (مونوکسید کربن)</v>
      </c>
      <c r="AW221" s="7" t="str">
        <f>IFERROR(__xludf.DUMMYFUNCTION("GoogleTranslate(C221, ""en"", ""pl"")"),"CO (tlenek węgla)")</f>
        <v>CO (tlenek węgla)</v>
      </c>
      <c r="AX221" s="7" t="str">
        <f>IFERROR(__xludf.DUMMYFUNCTION("GoogleTranslate(C221, ""en"", ""pt"")"),"CO (monóxido de carbono)")</f>
        <v>CO (monóxido de carbono)</v>
      </c>
      <c r="AY221" s="7" t="str">
        <f>IFERROR(__xludf.DUMMYFUNCTION("GoogleTranslate(C221, ""en"", ""ro"")"),"CO (monoxid de carbon)")</f>
        <v>CO (monoxid de carbon)</v>
      </c>
      <c r="AZ221" s="7" t="str">
        <f>IFERROR(__xludf.DUMMYFUNCTION("GoogleTranslate(C221, ""en"", ""ru"")"),"CO (окись углерода)")</f>
        <v>CO (окись углерода)</v>
      </c>
      <c r="BA221" s="7" t="str">
        <f>IFERROR(__xludf.DUMMYFUNCTION("GoogleTranslate(C221, ""en"", ""sr"")"),"ЦО (угљен моноксид)")</f>
        <v>ЦО (угљен моноксид)</v>
      </c>
      <c r="BB221" s="7" t="str">
        <f>IFERROR(__xludf.DUMMYFUNCTION("GoogleTranslate(C221, ""en"", ""si"")"),"CO (කාබන් මොනොක්සයිඩ්)")</f>
        <v>CO (කාබන් මොනොක්සයිඩ්)</v>
      </c>
      <c r="BC221" s="7" t="str">
        <f>IFERROR(__xludf.DUMMYFUNCTION("GoogleTranslate(C221, ""en"", ""sk"")"),"CO (oxid uhoľnatý)")</f>
        <v>CO (oxid uhoľnatý)</v>
      </c>
      <c r="BD221" s="7" t="str">
        <f>IFERROR(__xludf.DUMMYFUNCTION("GoogleTranslate(C221, ""en"", ""sl"")"),"CO (ogljikov monoksid)")</f>
        <v>CO (ogljikov monoksid)</v>
      </c>
      <c r="BE221" s="7" t="str">
        <f>IFERROR(__xludf.DUMMYFUNCTION("GoogleTranslate(C221, ""en"", ""es"")"),"CO (monóxido de carbono)")</f>
        <v>CO (monóxido de carbono)</v>
      </c>
      <c r="BF221" s="7" t="str">
        <f>IFERROR(__xludf.DUMMYFUNCTION("GoogleTranslate(C221, ""en"", ""sw"")"),"CO (monoxide ya kaboni)")</f>
        <v>CO (monoxide ya kaboni)</v>
      </c>
      <c r="BG221" s="7" t="str">
        <f>IFERROR(__xludf.DUMMYFUNCTION("GoogleTranslate(C221, ""en"", ""sv"")"),"CO (kolmonoxid)")</f>
        <v>CO (kolmonoxid)</v>
      </c>
      <c r="BH221" s="7" t="str">
        <f>IFERROR(__xludf.DUMMYFUNCTION("GoogleTranslate(C221, ""en"", ""te"")"),"CO (కార్బన్ మోనాక్సైడ్)")</f>
        <v>CO (కార్బన్ మోనాక్సైడ్)</v>
      </c>
      <c r="BI221" s="7" t="str">
        <f>IFERROR(__xludf.DUMMYFUNCTION("GoogleTranslate(C221, ""en"", ""th"")"),"CO (คาร์บอนมอนอกไซด์)")</f>
        <v>CO (คาร์บอนมอนอกไซด์)</v>
      </c>
      <c r="BJ221" s="7" t="str">
        <f>IFERROR(__xludf.DUMMYFUNCTION("GoogleTranslate(C221, ""en"", ""tr"")"),"CO (Karbon monoksit)")</f>
        <v>CO (Karbon monoksit)</v>
      </c>
      <c r="BK221" s="7" t="str">
        <f>IFERROR(__xludf.DUMMYFUNCTION("GoogleTranslate(C221, ""en"", ""uk"")"),"CO (окис вуглецю)")</f>
        <v>CO (окис вуглецю)</v>
      </c>
      <c r="BL221" s="7" t="str">
        <f>IFERROR(__xludf.DUMMYFUNCTION("GoogleTranslate(C221, ""en"", ""zu"")"),"I-CO (Carbon monoxide)")</f>
        <v>I-CO (Carbon monoxide)</v>
      </c>
    </row>
    <row r="222">
      <c r="A222" s="5" t="str">
        <f t="shared" si="1"/>
        <v>Pb_(Lead)</v>
      </c>
      <c r="B222" s="4" t="s">
        <v>266</v>
      </c>
      <c r="C222" s="4" t="s">
        <v>266</v>
      </c>
      <c r="D222" s="7" t="str">
        <f>IFERROR(__xludf.DUMMYFUNCTION("GoogleTranslate(C222, ""en"", ""es"")"),"Pb (plomo)")</f>
        <v>Pb (plomo)</v>
      </c>
      <c r="E222" s="7" t="str">
        <f>IFERROR(__xludf.DUMMYFUNCTION("GoogleTranslate(C222, ""en"", ""ar"")"),"الرصاص (الرصاص)")</f>
        <v>الرصاص (الرصاص)</v>
      </c>
      <c r="F222" s="7" t="str">
        <f>IFERROR(__xludf.DUMMYFUNCTION("GoogleTranslate(C222, ""en"", ""hy"")"),"Pb (կապար)")</f>
        <v>Pb (կապար)</v>
      </c>
      <c r="G222" s="7" t="str">
        <f>IFERROR(__xludf.DUMMYFUNCTION("GoogleTranslate(C222, ""en"", ""vi"")"),"Pb (Chì)")</f>
        <v>Pb (Chì)</v>
      </c>
      <c r="H222" s="7" t="str">
        <f>IFERROR(__xludf.DUMMYFUNCTION("GoogleTranslate(C222, ""en"", ""az"")"),"Pb (Aparıcı)")</f>
        <v>Pb (Aparıcı)</v>
      </c>
      <c r="I222" s="7" t="str">
        <f>IFERROR(__xludf.DUMMYFUNCTION("GoogleTranslate(C222, ""en"", ""eu"")"),"Pb (beruna)")</f>
        <v>Pb (beruna)</v>
      </c>
      <c r="J222" s="7" t="str">
        <f>IFERROR(__xludf.DUMMYFUNCTION("GoogleTranslate(C222, ""en"", ""be"")"),"Pb (свінец)")</f>
        <v>Pb (свінец)</v>
      </c>
      <c r="K222" s="7" t="str">
        <f>IFERROR(__xludf.DUMMYFUNCTION("GoogleTranslate(C222, ""en"", ""bn"")"),"পিবি (লিড)")</f>
        <v>পিবি (লিড)</v>
      </c>
      <c r="L222" s="7" t="str">
        <f>IFERROR(__xludf.DUMMYFUNCTION("GoogleTranslate(C222, ""en"", ""bg"")"),"Pb (олово)")</f>
        <v>Pb (олово)</v>
      </c>
      <c r="M222" s="7" t="str">
        <f>IFERROR(__xludf.DUMMYFUNCTION("GoogleTranslate(C222, ""en"", ""my"")"),"Pb (ခဲ)")</f>
        <v>Pb (ခဲ)</v>
      </c>
      <c r="N222" s="7" t="str">
        <f>IFERROR(__xludf.DUMMYFUNCTION("GoogleTranslate(C222, ""en"", ""ca"")"),"Pb (Plom)")</f>
        <v>Pb (Plom)</v>
      </c>
      <c r="O222" s="7" t="str">
        <f>IFERROR(__xludf.DUMMYFUNCTION("GoogleTranslate(C222, ""en"", ""zh-cn"")"),"铅（铅）")</f>
        <v>铅（铅）</v>
      </c>
      <c r="P222" s="7" t="str">
        <f>IFERROR(__xludf.DUMMYFUNCTION("GoogleTranslate(C222, ""en"", ""zh-TW"")"),"鉛（鉛）")</f>
        <v>鉛（鉛）</v>
      </c>
      <c r="Q222" s="7" t="str">
        <f>IFERROR(__xludf.DUMMYFUNCTION("GoogleTranslate(C222, ""en"", ""hr"")"),"Pb (olovo)")</f>
        <v>Pb (olovo)</v>
      </c>
      <c r="R222" s="7" t="str">
        <f>IFERROR(__xludf.DUMMYFUNCTION("GoogleTranslate(C222, ""en"", ""cs"")"),"Pb (olovo)")</f>
        <v>Pb (olovo)</v>
      </c>
      <c r="S222" s="7" t="str">
        <f>IFERROR(__xludf.DUMMYFUNCTION("GoogleTranslate(C222, ""en"", ""da"")"),"Pb (Lead)")</f>
        <v>Pb (Lead)</v>
      </c>
      <c r="T222" s="7" t="str">
        <f>IFERROR(__xludf.DUMMYFUNCTION("GoogleTranslate(C222, ""en"", ""nl"")"),"Pb (leider)")</f>
        <v>Pb (leider)</v>
      </c>
      <c r="U222" s="7" t="str">
        <f>IFERROR(__xludf.DUMMYFUNCTION("GoogleTranslate(C222, ""en"", ""et"")"),"Pb (plii)")</f>
        <v>Pb (plii)</v>
      </c>
      <c r="V222" s="5" t="str">
        <f t="shared" si="3"/>
        <v>Pb (Lead)</v>
      </c>
      <c r="W222" s="7" t="str">
        <f>IFERROR(__xludf.DUMMYFUNCTION("GoogleTranslate(C222, ""en"", ""fi"")"),"Pb (lyijy)")</f>
        <v>Pb (lyijy)</v>
      </c>
      <c r="X222" s="7" t="str">
        <f>IFERROR(__xludf.DUMMYFUNCTION("GoogleTranslate(C222, ""en"", ""fr"")"),"Pb (Plomb)")</f>
        <v>Pb (Plomb)</v>
      </c>
      <c r="Y222" s="7" t="str">
        <f>IFERROR(__xludf.DUMMYFUNCTION("GoogleTranslate(C222, ""en"", ""de"")"),"Pb (Blei)")</f>
        <v>Pb (Blei)</v>
      </c>
      <c r="Z222" s="7" t="str">
        <f>IFERROR(__xludf.DUMMYFUNCTION("GoogleTranslate(C222, ""en"", ""el"")"),"Pb (μόλυβδος)")</f>
        <v>Pb (μόλυβδος)</v>
      </c>
      <c r="AA222" s="7" t="str">
        <f>IFERROR(__xludf.DUMMYFUNCTION("GoogleTranslate(C222, ""en"", ""iw"")"),"Pb (עופרת)")</f>
        <v>Pb (עופרת)</v>
      </c>
      <c r="AB222" s="7" t="str">
        <f>IFERROR(__xludf.DUMMYFUNCTION("GoogleTranslate(C222, ""en"", ""hi"")"),"पंजाब (लीड)")</f>
        <v>पंजाब (लीड)</v>
      </c>
      <c r="AC222" s="7" t="str">
        <f>IFERROR(__xludf.DUMMYFUNCTION("GoogleTranslate(C222, ""en"", ""hu"")"),"Pb (ólom)")</f>
        <v>Pb (ólom)</v>
      </c>
      <c r="AD222" s="7" t="str">
        <f>IFERROR(__xludf.DUMMYFUNCTION("GoogleTranslate(C222, ""en"", ""is"")"),"Pb (Blý)")</f>
        <v>Pb (Blý)</v>
      </c>
      <c r="AE222" s="7" t="str">
        <f>IFERROR(__xludf.DUMMYFUNCTION("GoogleTranslate(C222, ""en"", ""id"")"),"Pb (Memimpin)")</f>
        <v>Pb (Memimpin)</v>
      </c>
      <c r="AF222" s="7" t="str">
        <f>IFERROR(__xludf.DUMMYFUNCTION("GoogleTranslate(C222, ""en"", ""in"")"),"Pb (Memimpin)")</f>
        <v>Pb (Memimpin)</v>
      </c>
      <c r="AG222" s="7" t="str">
        <f>IFERROR(__xludf.DUMMYFUNCTION("GoogleTranslate(C222, ""en"", ""it"")"),"Pb (piombo)")</f>
        <v>Pb (piombo)</v>
      </c>
      <c r="AH222" s="7" t="str">
        <f>IFERROR(__xludf.DUMMYFUNCTION("GoogleTranslate(C222, ""en"", ""ja"")"),"Pb（鉛）")</f>
        <v>Pb（鉛）</v>
      </c>
      <c r="AI222" s="7" t="str">
        <f>IFERROR(__xludf.DUMMYFUNCTION("GoogleTranslate(C222, ""en"", ""kn"")"),"Pb (ಲೀಡ್)")</f>
        <v>Pb (ಲೀಡ್)</v>
      </c>
      <c r="AJ222" s="7" t="str">
        <f>IFERROR(__xludf.DUMMYFUNCTION("GoogleTranslate(C222, ""en"", ""km"")"),"Pb (នាំមុខ)")</f>
        <v>Pb (នាំមុខ)</v>
      </c>
      <c r="AK222" s="7" t="str">
        <f>IFERROR(__xludf.DUMMYFUNCTION("GoogleTranslate(C222, ""en"", ""ko"")"),"납(납)")</f>
        <v>납(납)</v>
      </c>
      <c r="AL222" s="7" t="str">
        <f>IFERROR(__xludf.DUMMYFUNCTION("GoogleTranslate(C222, ""en"", ""lo"")"),"Pb (ນໍາ)")</f>
        <v>Pb (ນໍາ)</v>
      </c>
      <c r="AM222" s="7" t="str">
        <f>IFERROR(__xludf.DUMMYFUNCTION("GoogleTranslate(C222, ""en"", ""lv"")"),"Pb (svins)")</f>
        <v>Pb (svins)</v>
      </c>
      <c r="AN222" s="7" t="str">
        <f>IFERROR(__xludf.DUMMYFUNCTION("GoogleTranslate(C222, ""en"", ""lt"")"),"Pb (švinas)")</f>
        <v>Pb (švinas)</v>
      </c>
      <c r="AO222" s="7" t="str">
        <f>IFERROR(__xludf.DUMMYFUNCTION("GoogleTranslate(C222, ""en"", ""mk"")"),"Pb (оловно)")</f>
        <v>Pb (оловно)</v>
      </c>
      <c r="AP222" s="7" t="str">
        <f>IFERROR(__xludf.DUMMYFUNCTION("GoogleTranslate(C222, ""en"", ""ms"")"),"Pb (Plumbum)")</f>
        <v>Pb (Plumbum)</v>
      </c>
      <c r="AQ222" s="7" t="str">
        <f>IFERROR(__xludf.DUMMYFUNCTION("GoogleTranslate(C222, ""en"", ""ml"")"),"പിബി (ലീഡ്)")</f>
        <v>പിബി (ലീഡ്)</v>
      </c>
      <c r="AR222" s="7" t="str">
        <f>IFERROR(__xludf.DUMMYFUNCTION("GoogleTranslate(C222, ""en"", ""mr"")"),"Pb (लीड)")</f>
        <v>Pb (लीड)</v>
      </c>
      <c r="AS222" s="7" t="str">
        <f>IFERROR(__xludf.DUMMYFUNCTION("GoogleTranslate(C222, ""en"", ""mn"")"),"Pb (Хар тугалга)")</f>
        <v>Pb (Хар тугалга)</v>
      </c>
      <c r="AT222" s="7" t="str">
        <f>IFERROR(__xludf.DUMMYFUNCTION("GoogleTranslate(C222, ""en"", ""ne"")"),"Pb (लीड)")</f>
        <v>Pb (लीड)</v>
      </c>
      <c r="AU222" s="7" t="str">
        <f>IFERROR(__xludf.DUMMYFUNCTION("GoogleTranslate(C222, ""en"", ""nb"")"),"Pb (Lead)")</f>
        <v>Pb (Lead)</v>
      </c>
      <c r="AV222" s="7" t="str">
        <f>IFERROR(__xludf.DUMMYFUNCTION("GoogleTranslate(C222, ""en"", ""fa"")"),"سرب (سرب)")</f>
        <v>سرب (سرب)</v>
      </c>
      <c r="AW222" s="7" t="str">
        <f>IFERROR(__xludf.DUMMYFUNCTION("GoogleTranslate(C222, ""en"", ""pl"")"),"Pb (ołów)")</f>
        <v>Pb (ołów)</v>
      </c>
      <c r="AX222" s="7" t="str">
        <f>IFERROR(__xludf.DUMMYFUNCTION("GoogleTranslate(C222, ""en"", ""pt"")"),"Pb (chumbo)")</f>
        <v>Pb (chumbo)</v>
      </c>
      <c r="AY222" s="7" t="str">
        <f>IFERROR(__xludf.DUMMYFUNCTION("GoogleTranslate(C222, ""en"", ""ro"")"),"Pb (plumb)")</f>
        <v>Pb (plumb)</v>
      </c>
      <c r="AZ222" s="7" t="str">
        <f>IFERROR(__xludf.DUMMYFUNCTION("GoogleTranslate(C222, ""en"", ""ru"")"),"Pb (Свинец)")</f>
        <v>Pb (Свинец)</v>
      </c>
      <c r="BA222" s="7" t="str">
        <f>IFERROR(__xludf.DUMMYFUNCTION("GoogleTranslate(C222, ""en"", ""sr"")"),"Пб (олово)")</f>
        <v>Пб (олово)</v>
      </c>
      <c r="BB222" s="7" t="str">
        <f>IFERROR(__xludf.DUMMYFUNCTION("GoogleTranslate(C222, ""en"", ""si"")"),"Pb (ඊයම්)")</f>
        <v>Pb (ඊයම්)</v>
      </c>
      <c r="BC222" s="7" t="str">
        <f>IFERROR(__xludf.DUMMYFUNCTION("GoogleTranslate(C222, ""en"", ""sk"")"),"Pb (olovo)")</f>
        <v>Pb (olovo)</v>
      </c>
      <c r="BD222" s="7" t="str">
        <f>IFERROR(__xludf.DUMMYFUNCTION("GoogleTranslate(C222, ""en"", ""sl"")"),"Pb (svinec)")</f>
        <v>Pb (svinec)</v>
      </c>
      <c r="BE222" s="7" t="str">
        <f>IFERROR(__xludf.DUMMYFUNCTION("GoogleTranslate(C222, ""en"", ""es"")"),"Pb (plomo)")</f>
        <v>Pb (plomo)</v>
      </c>
      <c r="BF222" s="7" t="str">
        <f>IFERROR(__xludf.DUMMYFUNCTION("GoogleTranslate(C222, ""en"", ""sw"")"),"Pb (Kuongoza)")</f>
        <v>Pb (Kuongoza)</v>
      </c>
      <c r="BG222" s="7" t="str">
        <f>IFERROR(__xludf.DUMMYFUNCTION("GoogleTranslate(C222, ""en"", ""sv"")"),"Pb (Lead)")</f>
        <v>Pb (Lead)</v>
      </c>
      <c r="BH222" s="7" t="str">
        <f>IFERROR(__xludf.DUMMYFUNCTION("GoogleTranslate(C222, ""en"", ""te"")"),"Pb (లీడ్)")</f>
        <v>Pb (లీడ్)</v>
      </c>
      <c r="BI222" s="7" t="str">
        <f>IFERROR(__xludf.DUMMYFUNCTION("GoogleTranslate(C222, ""en"", ""th"")"),"Pb (ตะกั่ว)")</f>
        <v>Pb (ตะกั่ว)</v>
      </c>
      <c r="BJ222" s="7" t="str">
        <f>IFERROR(__xludf.DUMMYFUNCTION("GoogleTranslate(C222, ""en"", ""tr"")"),"Pb (Kurşun)")</f>
        <v>Pb (Kurşun)</v>
      </c>
      <c r="BK222" s="7" t="str">
        <f>IFERROR(__xludf.DUMMYFUNCTION("GoogleTranslate(C222, ""en"", ""uk"")"),"Pb (свинець)")</f>
        <v>Pb (свинець)</v>
      </c>
      <c r="BL222" s="7" t="str">
        <f>IFERROR(__xludf.DUMMYFUNCTION("GoogleTranslate(C222, ""en"", ""zu"")"),"Pb (Okuholayo)")</f>
        <v>Pb (Okuholayo)</v>
      </c>
    </row>
    <row r="223">
      <c r="A223" s="5" t="str">
        <f t="shared" si="1"/>
        <v>NH3_(Ammonia)</v>
      </c>
      <c r="B223" s="4" t="s">
        <v>267</v>
      </c>
      <c r="C223" s="4" t="s">
        <v>267</v>
      </c>
      <c r="D223" s="7" t="str">
        <f>IFERROR(__xludf.DUMMYFUNCTION("GoogleTranslate(C223, ""en"", ""es"")"),"NH3 (Amoníaco)")</f>
        <v>NH3 (Amoníaco)</v>
      </c>
      <c r="E223" s="7" t="str">
        <f>IFERROR(__xludf.DUMMYFUNCTION("GoogleTranslate(C223, ""en"", ""ar"")"),"NH3 (الأمونيا)")</f>
        <v>NH3 (الأمونيا)</v>
      </c>
      <c r="F223" s="7" t="str">
        <f>IFERROR(__xludf.DUMMYFUNCTION("GoogleTranslate(C223, ""en"", ""hy"")"),"NH3 (ամոնիակ)")</f>
        <v>NH3 (ամոնիակ)</v>
      </c>
      <c r="G223" s="7" t="str">
        <f>IFERROR(__xludf.DUMMYFUNCTION("GoogleTranslate(C223, ""en"", ""vi"")"),"NH3 (Amoniac)")</f>
        <v>NH3 (Amoniac)</v>
      </c>
      <c r="H223" s="7" t="str">
        <f>IFERROR(__xludf.DUMMYFUNCTION("GoogleTranslate(C223, ""en"", ""az"")"),"NH3 (ammonyak)")</f>
        <v>NH3 (ammonyak)</v>
      </c>
      <c r="I223" s="7" t="str">
        <f>IFERROR(__xludf.DUMMYFUNCTION("GoogleTranslate(C223, ""en"", ""eu"")"),"NH3 (amoniakoa)")</f>
        <v>NH3 (amoniakoa)</v>
      </c>
      <c r="J223" s="7" t="str">
        <f>IFERROR(__xludf.DUMMYFUNCTION("GoogleTranslate(C223, ""en"", ""be"")"),"NH3 (аміяк)")</f>
        <v>NH3 (аміяк)</v>
      </c>
      <c r="K223" s="7" t="str">
        <f>IFERROR(__xludf.DUMMYFUNCTION("GoogleTranslate(C223, ""en"", ""bn"")"),"NH3 (অ্যামোনিয়া)")</f>
        <v>NH3 (অ্যামোনিয়া)</v>
      </c>
      <c r="L223" s="7" t="str">
        <f>IFERROR(__xludf.DUMMYFUNCTION("GoogleTranslate(C223, ""en"", ""bg"")"),"NH3 (амоняк)")</f>
        <v>NH3 (амоняк)</v>
      </c>
      <c r="M223" s="7" t="str">
        <f>IFERROR(__xludf.DUMMYFUNCTION("GoogleTranslate(C223, ""en"", ""my"")"),"NH3 (အမိုးနီးယား)")</f>
        <v>NH3 (အမိုးနီးယား)</v>
      </c>
      <c r="N223" s="7" t="str">
        <f>IFERROR(__xludf.DUMMYFUNCTION("GoogleTranslate(C223, ""en"", ""ca"")"),"NH3 (amoníac)")</f>
        <v>NH3 (amoníac)</v>
      </c>
      <c r="O223" s="7" t="str">
        <f>IFERROR(__xludf.DUMMYFUNCTION("GoogleTranslate(C223, ""en"", ""zh-cn"")"),"NH3（氨）")</f>
        <v>NH3（氨）</v>
      </c>
      <c r="P223" s="7" t="str">
        <f>IFERROR(__xludf.DUMMYFUNCTION("GoogleTranslate(C223, ""en"", ""zh-TW"")"),"NH3（氨）")</f>
        <v>NH3（氨）</v>
      </c>
      <c r="Q223" s="7" t="str">
        <f>IFERROR(__xludf.DUMMYFUNCTION("GoogleTranslate(C223, ""en"", ""hr"")"),"NH3 (amonijak)")</f>
        <v>NH3 (amonijak)</v>
      </c>
      <c r="R223" s="7" t="str">
        <f>IFERROR(__xludf.DUMMYFUNCTION("GoogleTranslate(C223, ""en"", ""cs"")"),"NH3 (amoniak)")</f>
        <v>NH3 (amoniak)</v>
      </c>
      <c r="S223" s="7" t="str">
        <f>IFERROR(__xludf.DUMMYFUNCTION("GoogleTranslate(C223, ""en"", ""da"")"),"NH3 (ammoniak)")</f>
        <v>NH3 (ammoniak)</v>
      </c>
      <c r="T223" s="7" t="str">
        <f>IFERROR(__xludf.DUMMYFUNCTION("GoogleTranslate(C223, ""en"", ""nl"")"),"NH3 (Ammoniak)")</f>
        <v>NH3 (Ammoniak)</v>
      </c>
      <c r="U223" s="7" t="str">
        <f>IFERROR(__xludf.DUMMYFUNCTION("GoogleTranslate(C223, ""en"", ""et"")"),"NH3 (ammoonium)")</f>
        <v>NH3 (ammoonium)</v>
      </c>
      <c r="V223" s="5" t="str">
        <f t="shared" si="3"/>
        <v>NH3 (Ammonia)</v>
      </c>
      <c r="W223" s="7" t="str">
        <f>IFERROR(__xludf.DUMMYFUNCTION("GoogleTranslate(C223, ""en"", ""fi"")"),"NH3 (ammoniakki)")</f>
        <v>NH3 (ammoniakki)</v>
      </c>
      <c r="X223" s="7" t="str">
        <f>IFERROR(__xludf.DUMMYFUNCTION("GoogleTranslate(C223, ""en"", ""fr"")"),"NH3 (Ammoniac)")</f>
        <v>NH3 (Ammoniac)</v>
      </c>
      <c r="Y223" s="7" t="str">
        <f>IFERROR(__xludf.DUMMYFUNCTION("GoogleTranslate(C223, ""en"", ""de"")"),"NH3 (Ammoniak)")</f>
        <v>NH3 (Ammoniak)</v>
      </c>
      <c r="Z223" s="7" t="str">
        <f>IFERROR(__xludf.DUMMYFUNCTION("GoogleTranslate(C223, ""en"", ""el"")"),"NH3 (αμμωνία)")</f>
        <v>NH3 (αμμωνία)</v>
      </c>
      <c r="AA223" s="7" t="str">
        <f>IFERROR(__xludf.DUMMYFUNCTION("GoogleTranslate(C223, ""en"", ""iw"")"),"NH3 (אמוניה)")</f>
        <v>NH3 (אמוניה)</v>
      </c>
      <c r="AB223" s="7" t="str">
        <f>IFERROR(__xludf.DUMMYFUNCTION("GoogleTranslate(C223, ""en"", ""hi"")"),"NH3 (अमोनिया)")</f>
        <v>NH3 (अमोनिया)</v>
      </c>
      <c r="AC223" s="7" t="str">
        <f>IFERROR(__xludf.DUMMYFUNCTION("GoogleTranslate(C223, ""en"", ""hu"")"),"NH3 (ammónia)")</f>
        <v>NH3 (ammónia)</v>
      </c>
      <c r="AD223" s="7" t="str">
        <f>IFERROR(__xludf.DUMMYFUNCTION("GoogleTranslate(C223, ""en"", ""is"")"),"NH3 (ammoníak)")</f>
        <v>NH3 (ammoníak)</v>
      </c>
      <c r="AE223" s="7" t="str">
        <f>IFERROR(__xludf.DUMMYFUNCTION("GoogleTranslate(C223, ""en"", ""id"")"),"NH3 (Amonia)")</f>
        <v>NH3 (Amonia)</v>
      </c>
      <c r="AF223" s="7" t="str">
        <f>IFERROR(__xludf.DUMMYFUNCTION("GoogleTranslate(C223, ""en"", ""in"")"),"NH3 (Amonia)")</f>
        <v>NH3 (Amonia)</v>
      </c>
      <c r="AG223" s="7" t="str">
        <f>IFERROR(__xludf.DUMMYFUNCTION("GoogleTranslate(C223, ""en"", ""it"")"),"NH3 (ammoniaca)")</f>
        <v>NH3 (ammoniaca)</v>
      </c>
      <c r="AH223" s="7" t="str">
        <f>IFERROR(__xludf.DUMMYFUNCTION("GoogleTranslate(C223, ""en"", ""ja"")"),"NH3 (アンモニア)")</f>
        <v>NH3 (アンモニア)</v>
      </c>
      <c r="AI223" s="7" t="str">
        <f>IFERROR(__xludf.DUMMYFUNCTION("GoogleTranslate(C223, ""en"", ""kn"")"),"NH3 (ಅಮೋನಿಯಾ)")</f>
        <v>NH3 (ಅಮೋನಿಯಾ)</v>
      </c>
      <c r="AJ223" s="7" t="str">
        <f>IFERROR(__xludf.DUMMYFUNCTION("GoogleTranslate(C223, ""en"", ""km"")"),"NH3 (អាម៉ូញាក់)")</f>
        <v>NH3 (អាម៉ូញាក់)</v>
      </c>
      <c r="AK223" s="7" t="str">
        <f>IFERROR(__xludf.DUMMYFUNCTION("GoogleTranslate(C223, ""en"", ""ko"")"),"NH3(암모니아)")</f>
        <v>NH3(암모니아)</v>
      </c>
      <c r="AL223" s="7" t="str">
        <f>IFERROR(__xludf.DUMMYFUNCTION("GoogleTranslate(C223, ""en"", ""lo"")"),"NH3 (ແອມໂມເນຍ)")</f>
        <v>NH3 (ແອມໂມເນຍ)</v>
      </c>
      <c r="AM223" s="7" t="str">
        <f>IFERROR(__xludf.DUMMYFUNCTION("GoogleTranslate(C223, ""en"", ""lv"")"),"NH3 (amonjaks)")</f>
        <v>NH3 (amonjaks)</v>
      </c>
      <c r="AN223" s="7" t="str">
        <f>IFERROR(__xludf.DUMMYFUNCTION("GoogleTranslate(C223, ""en"", ""lt"")"),"NH3 (amoniakas)")</f>
        <v>NH3 (amoniakas)</v>
      </c>
      <c r="AO223" s="7" t="str">
        <f>IFERROR(__xludf.DUMMYFUNCTION("GoogleTranslate(C223, ""en"", ""mk"")"),"NH3 (амонијак)")</f>
        <v>NH3 (амонијак)</v>
      </c>
      <c r="AP223" s="7" t="str">
        <f>IFERROR(__xludf.DUMMYFUNCTION("GoogleTranslate(C223, ""en"", ""ms"")"),"NH3 (Amoniak)")</f>
        <v>NH3 (Amoniak)</v>
      </c>
      <c r="AQ223" s="7" t="str">
        <f>IFERROR(__xludf.DUMMYFUNCTION("GoogleTranslate(C223, ""en"", ""ml"")"),"NH3 (അമോണിയ)")</f>
        <v>NH3 (അമോണിയ)</v>
      </c>
      <c r="AR223" s="7" t="str">
        <f>IFERROR(__xludf.DUMMYFUNCTION("GoogleTranslate(C223, ""en"", ""mr"")"),"NH3 (अमोनिया)")</f>
        <v>NH3 (अमोनिया)</v>
      </c>
      <c r="AS223" s="7" t="str">
        <f>IFERROR(__xludf.DUMMYFUNCTION("GoogleTranslate(C223, ""en"", ""mn"")"),"NH3 (аммиак)")</f>
        <v>NH3 (аммиак)</v>
      </c>
      <c r="AT223" s="7" t="str">
        <f>IFERROR(__xludf.DUMMYFUNCTION("GoogleTranslate(C223, ""en"", ""ne"")"),"NH3 (अमोनिया)")</f>
        <v>NH3 (अमोनिया)</v>
      </c>
      <c r="AU223" s="7" t="str">
        <f>IFERROR(__xludf.DUMMYFUNCTION("GoogleTranslate(C223, ""en"", ""nb"")"),"NH3 (ammoniakk)")</f>
        <v>NH3 (ammoniakk)</v>
      </c>
      <c r="AV223" s="7" t="str">
        <f>IFERROR(__xludf.DUMMYFUNCTION("GoogleTranslate(C223, ""en"", ""fa"")"),"NH3 (آمونیاک)")</f>
        <v>NH3 (آمونیاک)</v>
      </c>
      <c r="AW223" s="7" t="str">
        <f>IFERROR(__xludf.DUMMYFUNCTION("GoogleTranslate(C223, ""en"", ""pl"")"),"NH3 (amoniak)")</f>
        <v>NH3 (amoniak)</v>
      </c>
      <c r="AX223" s="7" t="str">
        <f>IFERROR(__xludf.DUMMYFUNCTION("GoogleTranslate(C223, ""en"", ""pt"")"),"NH3 (amônia)")</f>
        <v>NH3 (amônia)</v>
      </c>
      <c r="AY223" s="7" t="str">
        <f>IFERROR(__xludf.DUMMYFUNCTION("GoogleTranslate(C223, ""en"", ""ro"")"),"NH3 (amoniac)")</f>
        <v>NH3 (amoniac)</v>
      </c>
      <c r="AZ223" s="7" t="str">
        <f>IFERROR(__xludf.DUMMYFUNCTION("GoogleTranslate(C223, ""en"", ""ru"")"),"NH3 (аммиак)")</f>
        <v>NH3 (аммиак)</v>
      </c>
      <c r="BA223" s="7" t="str">
        <f>IFERROR(__xludf.DUMMYFUNCTION("GoogleTranslate(C223, ""en"", ""sr"")"),"НХ3 (амонијак)")</f>
        <v>НХ3 (амонијак)</v>
      </c>
      <c r="BB223" s="7" t="str">
        <f>IFERROR(__xludf.DUMMYFUNCTION("GoogleTranslate(C223, ""en"", ""si"")"),"NH3 (ඇමෝනියා)")</f>
        <v>NH3 (ඇමෝනියා)</v>
      </c>
      <c r="BC223" s="7" t="str">
        <f>IFERROR(__xludf.DUMMYFUNCTION("GoogleTranslate(C223, ""en"", ""sk"")"),"NH3 (amoniak)")</f>
        <v>NH3 (amoniak)</v>
      </c>
      <c r="BD223" s="7" t="str">
        <f>IFERROR(__xludf.DUMMYFUNCTION("GoogleTranslate(C223, ""en"", ""sl"")"),"NH3 (amoniak)")</f>
        <v>NH3 (amoniak)</v>
      </c>
      <c r="BE223" s="7" t="str">
        <f>IFERROR(__xludf.DUMMYFUNCTION("GoogleTranslate(C223, ""en"", ""es"")"),"NH3 (Amoníaco)")</f>
        <v>NH3 (Amoníaco)</v>
      </c>
      <c r="BF223" s="7" t="str">
        <f>IFERROR(__xludf.DUMMYFUNCTION("GoogleTranslate(C223, ""en"", ""sw"")"),"NH3 (Amonia)")</f>
        <v>NH3 (Amonia)</v>
      </c>
      <c r="BG223" s="7" t="str">
        <f>IFERROR(__xludf.DUMMYFUNCTION("GoogleTranslate(C223, ""en"", ""sv"")"),"NH3 (ammoniak)")</f>
        <v>NH3 (ammoniak)</v>
      </c>
      <c r="BH223" s="7" t="str">
        <f>IFERROR(__xludf.DUMMYFUNCTION("GoogleTranslate(C223, ""en"", ""te"")"),"NH3 (అమోనియా)")</f>
        <v>NH3 (అమోనియా)</v>
      </c>
      <c r="BI223" s="7" t="str">
        <f>IFERROR(__xludf.DUMMYFUNCTION("GoogleTranslate(C223, ""en"", ""th"")"),"NH3 (แอมโมเนีย)")</f>
        <v>NH3 (แอมโมเนีย)</v>
      </c>
      <c r="BJ223" s="7" t="str">
        <f>IFERROR(__xludf.DUMMYFUNCTION("GoogleTranslate(C223, ""en"", ""tr"")"),"NH3 (Amonyak)")</f>
        <v>NH3 (Amonyak)</v>
      </c>
      <c r="BK223" s="7" t="str">
        <f>IFERROR(__xludf.DUMMYFUNCTION("GoogleTranslate(C223, ""en"", ""uk"")"),"NH3 (аміак)")</f>
        <v>NH3 (аміак)</v>
      </c>
      <c r="BL223" s="7" t="str">
        <f>IFERROR(__xludf.DUMMYFUNCTION("GoogleTranslate(C223, ""en"", ""zu"")"),"I-NH3 (Amonia)")</f>
        <v>I-NH3 (Amonia)</v>
      </c>
    </row>
    <row r="224">
      <c r="A224" s="5" t="str">
        <f t="shared" si="1"/>
        <v>PM10_(Particles_matter_under_10μm)</v>
      </c>
      <c r="B224" s="4" t="s">
        <v>268</v>
      </c>
      <c r="C224" s="4" t="s">
        <v>268</v>
      </c>
      <c r="D224" s="7" t="str">
        <f>IFERROR(__xludf.DUMMYFUNCTION("GoogleTranslate(C224, ""en"", ""es"")"),"PM10 (partículas de menos de 10μm)")</f>
        <v>PM10 (partículas de menos de 10μm)</v>
      </c>
      <c r="E224" s="7" t="str">
        <f>IFERROR(__xludf.DUMMYFUNCTION("GoogleTranslate(C224, ""en"", ""ar"")"),"PM10 (الجسيمات ذات حجم أقل من 10 ميكرومتر)")</f>
        <v>PM10 (الجسيمات ذات حجم أقل من 10 ميكرومتر)</v>
      </c>
      <c r="F224" s="7" t="str">
        <f>IFERROR(__xludf.DUMMYFUNCTION("GoogleTranslate(C224, ""en"", ""hy"")"),"PM10 (10 մկմ-ից ցածր մասնիկները)")</f>
        <v>PM10 (10 մկմ-ից ցածր մասնիկները)</v>
      </c>
      <c r="G224" s="7" t="str">
        <f>IFERROR(__xludf.DUMMYFUNCTION("GoogleTranslate(C224, ""en"", ""vi"")"),"PM10 (Các hạt nhỏ dưới 10μm)")</f>
        <v>PM10 (Các hạt nhỏ dưới 10μm)</v>
      </c>
      <c r="H224" s="7" t="str">
        <f>IFERROR(__xludf.DUMMYFUNCTION("GoogleTranslate(C224, ""en"", ""az"")"),"PM10 (10μm-dən aşağı hissəciklər)")</f>
        <v>PM10 (10μm-dən aşağı hissəciklər)</v>
      </c>
      <c r="I224" s="7" t="str">
        <f>IFERROR(__xludf.DUMMYFUNCTION("GoogleTranslate(C224, ""en"", ""eu"")"),"PM10 (Partikulek 10μm-tik beherako materia)")</f>
        <v>PM10 (Partikulek 10μm-tik beherako materia)</v>
      </c>
      <c r="J224" s="7" t="str">
        <f>IFERROR(__xludf.DUMMYFUNCTION("GoogleTranslate(C224, ""en"", ""be"")"),"PM10 (часціцы менш за 10 мкм)")</f>
        <v>PM10 (часціцы менш за 10 мкм)</v>
      </c>
      <c r="K224" s="7" t="str">
        <f>IFERROR(__xludf.DUMMYFUNCTION("GoogleTranslate(C224, ""en"", ""bn"")"),"PM10 (10μm এর নিচে কণার ব্যাপার)")</f>
        <v>PM10 (10μm এর নিচে কণার ব্যাপার)</v>
      </c>
      <c r="L224" s="7" t="str">
        <f>IFERROR(__xludf.DUMMYFUNCTION("GoogleTranslate(C224, ""en"", ""bg"")"),"PM10 (Частици под 10 μm)")</f>
        <v>PM10 (Частици под 10 μm)</v>
      </c>
      <c r="M224" s="7" t="str">
        <f>IFERROR(__xludf.DUMMYFUNCTION("GoogleTranslate(C224, ""en"", ""my"")"),"PM10 (အမှုန်များသည် 10μm အောက်)၊")</f>
        <v>PM10 (အမှုန်များသည် 10μm အောက်)၊</v>
      </c>
      <c r="N224" s="7" t="str">
        <f>IFERROR(__xludf.DUMMYFUNCTION("GoogleTranslate(C224, ""en"", ""ca"")"),"PM10 (les partícules importen per sota de 10 μm)")</f>
        <v>PM10 (les partícules importen per sota de 10 μm)</v>
      </c>
      <c r="O224" s="7" t="str">
        <f>IFERROR(__xludf.DUMMYFUNCTION("GoogleTranslate(C224, ""en"", ""zh-cn"")"),"PM10（10μm以下颗粒物）")</f>
        <v>PM10（10μm以下颗粒物）</v>
      </c>
      <c r="P224" s="7" t="str">
        <f>IFERROR(__xludf.DUMMYFUNCTION("GoogleTranslate(C224, ""en"", ""zh-TW"")"),"PM10（10μm以下顆粒物）")</f>
        <v>PM10（10μm以下顆粒物）</v>
      </c>
      <c r="Q224" s="7" t="str">
        <f>IFERROR(__xludf.DUMMYFUNCTION("GoogleTranslate(C224, ""en"", ""hr"")"),"PM10 (čestice materije ispod 10 μm)")</f>
        <v>PM10 (čestice materije ispod 10 μm)</v>
      </c>
      <c r="R224" s="7" t="str">
        <f>IFERROR(__xludf.DUMMYFUNCTION("GoogleTranslate(C224, ""en"", ""cs"")"),"PM10 (částice o velikosti pod 10 μm)")</f>
        <v>PM10 (částice o velikosti pod 10 μm)</v>
      </c>
      <c r="S224" s="7" t="str">
        <f>IFERROR(__xludf.DUMMYFUNCTION("GoogleTranslate(C224, ""en"", ""da"")"),"PM10 (partikler stof under 10μm)")</f>
        <v>PM10 (partikler stof under 10μm)</v>
      </c>
      <c r="T224" s="7" t="str">
        <f>IFERROR(__xludf.DUMMYFUNCTION("GoogleTranslate(C224, ""en"", ""nl"")"),"PM10 (deeltjes zijn kleiner dan 10 μm)")</f>
        <v>PM10 (deeltjes zijn kleiner dan 10 μm)</v>
      </c>
      <c r="U224" s="7" t="str">
        <f>IFERROR(__xludf.DUMMYFUNCTION("GoogleTranslate(C224, ""en"", ""et"")"),"PM10 (osakesed on alla 10 μm)")</f>
        <v>PM10 (osakesed on alla 10 μm)</v>
      </c>
      <c r="V224" s="5" t="str">
        <f t="shared" si="3"/>
        <v>PM10 (Particles matter under 10μm)</v>
      </c>
      <c r="W224" s="7" t="str">
        <f>IFERROR(__xludf.DUMMYFUNCTION("GoogleTranslate(C224, ""en"", ""fi"")"),"PM10 (hiukkasten materiaali on alle 10 μm)")</f>
        <v>PM10 (hiukkasten materiaali on alle 10 μm)</v>
      </c>
      <c r="X224" s="7" t="str">
        <f>IFERROR(__xludf.DUMMYFUNCTION("GoogleTranslate(C224, ""en"", ""fr"")"),"PM10 (les particules comptent moins de 10 μm)")</f>
        <v>PM10 (les particules comptent moins de 10 μm)</v>
      </c>
      <c r="Y224" s="7" t="str">
        <f>IFERROR(__xludf.DUMMYFUNCTION("GoogleTranslate(C224, ""en"", ""de"")"),"PM10 (Partikel unter 10 μm)")</f>
        <v>PM10 (Partikel unter 10 μm)</v>
      </c>
      <c r="Z224" s="7" t="str">
        <f>IFERROR(__xludf.DUMMYFUNCTION("GoogleTranslate(C224, ""en"", ""el"")"),"PM10 (Τα σωματίδια κάτω από 10μm)")</f>
        <v>PM10 (Τα σωματίδια κάτω από 10μm)</v>
      </c>
      <c r="AA224" s="7" t="str">
        <f>IFERROR(__xludf.DUMMYFUNCTION("GoogleTranslate(C224, ""en"", ""iw"")"),"PM10 (חלקיקים חומרים מתחת ל-10 מיקרומטר)")</f>
        <v>PM10 (חלקיקים חומרים מתחת ל-10 מיקרומטר)</v>
      </c>
      <c r="AB224" s="7" t="str">
        <f>IFERROR(__xludf.DUMMYFUNCTION("GoogleTranslate(C224, ""en"", ""hi"")"),"PM10 (कण 10μm से कम मायने रखते हैं)")</f>
        <v>PM10 (कण 10μm से कम मायने रखते हैं)</v>
      </c>
      <c r="AC224" s="7" t="str">
        <f>IFERROR(__xludf.DUMMYFUNCTION("GoogleTranslate(C224, ""en"", ""hu"")"),"PM10 (10 μm alatti részecskék)")</f>
        <v>PM10 (10 μm alatti részecskék)</v>
      </c>
      <c r="AD224" s="7" t="str">
        <f>IFERROR(__xludf.DUMMYFUNCTION("GoogleTranslate(C224, ""en"", ""is"")"),"PM10 (agnir undir 10μm)")</f>
        <v>PM10 (agnir undir 10μm)</v>
      </c>
      <c r="AE224" s="7" t="str">
        <f>IFERROR(__xludf.DUMMYFUNCTION("GoogleTranslate(C224, ""en"", ""id"")"),"PM10 (Partikel penting di bawah 10μm)")</f>
        <v>PM10 (Partikel penting di bawah 10μm)</v>
      </c>
      <c r="AF224" s="7" t="str">
        <f>IFERROR(__xludf.DUMMYFUNCTION("GoogleTranslate(C224, ""en"", ""in"")"),"PM10 (Partikel penting di bawah 10μm)")</f>
        <v>PM10 (Partikel penting di bawah 10μm)</v>
      </c>
      <c r="AG224" s="7" t="str">
        <f>IFERROR(__xludf.DUMMYFUNCTION("GoogleTranslate(C224, ""en"", ""it"")"),"PM10 (Le particelle contano sotto i 10μm)")</f>
        <v>PM10 (Le particelle contano sotto i 10μm)</v>
      </c>
      <c r="AH224" s="7" t="str">
        <f>IFERROR(__xludf.DUMMYFUNCTION("GoogleTranslate(C224, ""en"", ""ja"")"),"PM10（10μm以下の粒子状物質）")</f>
        <v>PM10（10μm以下の粒子状物質）</v>
      </c>
      <c r="AI224" s="7" t="str">
        <f>IFERROR(__xludf.DUMMYFUNCTION("GoogleTranslate(C224, ""en"", ""kn"")"),"PM10 (10μm ಗಿಂತ ಕಡಿಮೆ ಇರುವ ಕಣಗಳು)")</f>
        <v>PM10 (10μm ಗಿಂತ ಕಡಿಮೆ ಇರುವ ಕಣಗಳು)</v>
      </c>
      <c r="AJ224" s="7" t="str">
        <f>IFERROR(__xludf.DUMMYFUNCTION("GoogleTranslate(C224, ""en"", ""km"")"),"PM10 (ភាគល្អិត​មាន​ទំហំ​ក្រោម 10μm)")</f>
        <v>PM10 (ភាគល្អិត​មាន​ទំហំ​ក្រោម 10μm)</v>
      </c>
      <c r="AK224" s="7" t="str">
        <f>IFERROR(__xludf.DUMMYFUNCTION("GoogleTranslate(C224, ""en"", ""ko"")"),"PM10(10μm 이하의 입자 물질)")</f>
        <v>PM10(10μm 이하의 입자 물질)</v>
      </c>
      <c r="AL224" s="7" t="str">
        <f>IFERROR(__xludf.DUMMYFUNCTION("GoogleTranslate(C224, ""en"", ""lo"")"),"PM10 (ອະນຸພາກສຳຄັນກວ່າ 10μm)")</f>
        <v>PM10 (ອະນຸພາກສຳຄັນກວ່າ 10μm)</v>
      </c>
      <c r="AM224" s="7" t="str">
        <f>IFERROR(__xludf.DUMMYFUNCTION("GoogleTranslate(C224, ""en"", ""lv"")"),"PM10 (daļiņas ir mazākas par 10 μm)")</f>
        <v>PM10 (daļiņas ir mazākas par 10 μm)</v>
      </c>
      <c r="AN224" s="7" t="str">
        <f>IFERROR(__xludf.DUMMYFUNCTION("GoogleTranslate(C224, ""en"", ""lt"")"),"PM10 (dalelės mažesnės nei 10 μm)")</f>
        <v>PM10 (dalelės mažesnės nei 10 μm)</v>
      </c>
      <c r="AO224" s="7" t="str">
        <f>IFERROR(__xludf.DUMMYFUNCTION("GoogleTranslate(C224, ""en"", ""mk"")"),"PM10 (Честички материја под 10μm)")</f>
        <v>PM10 (Честички материја под 10μm)</v>
      </c>
      <c r="AP224" s="7" t="str">
        <f>IFERROR(__xludf.DUMMYFUNCTION("GoogleTranslate(C224, ""en"", ""ms"")"),"PM10 (zarah jirim di bawah 10μm)")</f>
        <v>PM10 (zarah jirim di bawah 10μm)</v>
      </c>
      <c r="AQ224" s="7" t="str">
        <f>IFERROR(__xludf.DUMMYFUNCTION("GoogleTranslate(C224, ""en"", ""ml"")"),"PM10 (10μm-ൽ താഴെയുള്ള കണികകൾ)")</f>
        <v>PM10 (10μm-ൽ താഴെയുള്ള കണികകൾ)</v>
      </c>
      <c r="AR224" s="7" t="str">
        <f>IFERROR(__xludf.DUMMYFUNCTION("GoogleTranslate(C224, ""en"", ""mr"")"),"PM10 (10μm पेक्षा कमी कण)")</f>
        <v>PM10 (10μm पेक्षा कमी कण)</v>
      </c>
      <c r="AS224" s="7" t="str">
        <f>IFERROR(__xludf.DUMMYFUNCTION("GoogleTranslate(C224, ""en"", ""mn"")"),"PM10 (10μм-ээс бага хэмжээтэй тоосонцор)")</f>
        <v>PM10 (10μм-ээс бага хэмжээтэй тоосонцор)</v>
      </c>
      <c r="AT224" s="7" t="str">
        <f>IFERROR(__xludf.DUMMYFUNCTION("GoogleTranslate(C224, ""en"", ""ne"")"),"PM10 (10μm भन्दा कम कणहरू)")</f>
        <v>PM10 (10μm भन्दा कम कणहरू)</v>
      </c>
      <c r="AU224" s="7" t="str">
        <f>IFERROR(__xludf.DUMMYFUNCTION("GoogleTranslate(C224, ""en"", ""nb"")"),"PM10 (partikler er mindre enn 10 μm)")</f>
        <v>PM10 (partikler er mindre enn 10 μm)</v>
      </c>
      <c r="AV224" s="7" t="str">
        <f>IFERROR(__xludf.DUMMYFUNCTION("GoogleTranslate(C224, ""en"", ""fa"")"),"PM10 (ذرات زیر 10 میکرومتر)")</f>
        <v>PM10 (ذرات زیر 10 میکرومتر)</v>
      </c>
      <c r="AW224" s="7" t="str">
        <f>IFERROR(__xludf.DUMMYFUNCTION("GoogleTranslate(C224, ""en"", ""pl"")"),"PM10 (Cząsteczki mają znaczenie poniżej 10 μm)")</f>
        <v>PM10 (Cząsteczki mają znaczenie poniżej 10 μm)</v>
      </c>
      <c r="AX224" s="7" t="str">
        <f>IFERROR(__xludf.DUMMYFUNCTION("GoogleTranslate(C224, ""en"", ""pt"")"),"PM10 (partículas importam abaixo de 10μm)")</f>
        <v>PM10 (partículas importam abaixo de 10μm)</v>
      </c>
      <c r="AY224" s="7" t="str">
        <f>IFERROR(__xludf.DUMMYFUNCTION("GoogleTranslate(C224, ""en"", ""ro"")"),"PM10 (Particulele contează sub 10μm)")</f>
        <v>PM10 (Particulele contează sub 10μm)</v>
      </c>
      <c r="AZ224" s="7" t="str">
        <f>IFERROR(__xludf.DUMMYFUNCTION("GoogleTranslate(C224, ""en"", ""ru"")"),"PM10 (частицы размером менее 10 мкм)")</f>
        <v>PM10 (частицы размером менее 10 мкм)</v>
      </c>
      <c r="BA224" s="7" t="str">
        <f>IFERROR(__xludf.DUMMYFUNCTION("GoogleTranslate(C224, ""en"", ""sr"")"),"ПМ10 (честице материје испод 10 μм)")</f>
        <v>ПМ10 (честице материје испод 10 μм)</v>
      </c>
      <c r="BB224" s="7" t="str">
        <f>IFERROR(__xludf.DUMMYFUNCTION("GoogleTranslate(C224, ""en"", ""si"")"),"PM10 (අංශු 10μm ට අඩු පදාර්ථ)")</f>
        <v>PM10 (අංශු 10μm ට අඩු පදාර්ථ)</v>
      </c>
      <c r="BC224" s="7" t="str">
        <f>IFERROR(__xludf.DUMMYFUNCTION("GoogleTranslate(C224, ""en"", ""sk"")"),"PM10 (častice s veľkosťou pod 10 μm)")</f>
        <v>PM10 (častice s veľkosťou pod 10 μm)</v>
      </c>
      <c r="BD224" s="7" t="str">
        <f>IFERROR(__xludf.DUMMYFUNCTION("GoogleTranslate(C224, ""en"", ""sl"")"),"PM10 (delci pod 10 μm)")</f>
        <v>PM10 (delci pod 10 μm)</v>
      </c>
      <c r="BE224" s="7" t="str">
        <f>IFERROR(__xludf.DUMMYFUNCTION("GoogleTranslate(C224, ""en"", ""es"")"),"PM10 (partículas de menos de 10μm)")</f>
        <v>PM10 (partículas de menos de 10μm)</v>
      </c>
      <c r="BF224" s="7" t="str">
        <f>IFERROR(__xludf.DUMMYFUNCTION("GoogleTranslate(C224, ""en"", ""sw"")"),"PM10 (Chembe ni muhimu chini ya 10μm)")</f>
        <v>PM10 (Chembe ni muhimu chini ya 10μm)</v>
      </c>
      <c r="BG224" s="7" t="str">
        <f>IFERROR(__xludf.DUMMYFUNCTION("GoogleTranslate(C224, ""en"", ""sv"")"),"PM10 (partiklar är mindre än 10 μm)")</f>
        <v>PM10 (partiklar är mindre än 10 μm)</v>
      </c>
      <c r="BH224" s="7" t="str">
        <f>IFERROR(__xludf.DUMMYFUNCTION("GoogleTranslate(C224, ""en"", ""te"")"),"PM10 (10μm లోపు కణాలు పదార్థం)")</f>
        <v>PM10 (10μm లోపు కణాలు పదార్థం)</v>
      </c>
      <c r="BI224" s="7" t="str">
        <f>IFERROR(__xludf.DUMMYFUNCTION("GoogleTranslate(C224, ""en"", ""th"")"),"PM10 (อนุภาคมีขนาดไม่เกิน 10μm)")</f>
        <v>PM10 (อนุภาคมีขนาดไม่เกิน 10μm)</v>
      </c>
      <c r="BJ224" s="7" t="str">
        <f>IFERROR(__xludf.DUMMYFUNCTION("GoogleTranslate(C224, ""en"", ""tr"")"),"PM10 (10μm'nin altındaki parçacıklar önemlidir)")</f>
        <v>PM10 (10μm'nin altındaki parçacıklar önemlidir)</v>
      </c>
      <c r="BK224" s="7" t="str">
        <f>IFERROR(__xludf.DUMMYFUNCTION("GoogleTranslate(C224, ""en"", ""uk"")"),"PM10 (частинки менше 10 мкм)")</f>
        <v>PM10 (частинки менше 10 мкм)</v>
      </c>
      <c r="BL224" s="7" t="str">
        <f>IFERROR(__xludf.DUMMYFUNCTION("GoogleTranslate(C224, ""en"", ""zu"")"),"PM10 (Izinhlayiya zibalulekile ngaphansi kuka-10μm)")</f>
        <v>PM10 (Izinhlayiya zibalulekile ngaphansi kuka-10μm)</v>
      </c>
    </row>
    <row r="225">
      <c r="A225" s="5" t="str">
        <f t="shared" si="1"/>
        <v>PM2.5_(Particles_matter_under_2.5μm)</v>
      </c>
      <c r="B225" s="4" t="s">
        <v>200</v>
      </c>
      <c r="C225" s="4" t="s">
        <v>200</v>
      </c>
      <c r="D225" s="7" t="str">
        <f>IFERROR(__xludf.DUMMYFUNCTION("GoogleTranslate(C225, ""en"", ""es"")"),"PM2.5 (partículas importantes por debajo de 2,5 μm)")</f>
        <v>PM2.5 (partículas importantes por debajo de 2,5 μm)</v>
      </c>
      <c r="E225" s="7" t="str">
        <f>IFERROR(__xludf.DUMMYFUNCTION("GoogleTranslate(C225, ""en"", ""ar"")"),"PM2.5 (الجسيمات أقل من 2.5 ميكرومتر)")</f>
        <v>PM2.5 (الجسيمات أقل من 2.5 ميكرومتر)</v>
      </c>
      <c r="F225" s="7" t="str">
        <f>IFERROR(__xludf.DUMMYFUNCTION("GoogleTranslate(C225, ""en"", ""hy"")"),"PM2.5 (2,5 մկմ-ից ցածր մասնիկները)")</f>
        <v>PM2.5 (2,5 մկմ-ից ցածր մասնիկները)</v>
      </c>
      <c r="G225" s="7" t="str">
        <f>IFERROR(__xludf.DUMMYFUNCTION("GoogleTranslate(C225, ""en"", ""vi"")"),"PM2.5 (Các hạt nhỏ dưới 2,5μm)")</f>
        <v>PM2.5 (Các hạt nhỏ dưới 2,5μm)</v>
      </c>
      <c r="H225" s="7" t="str">
        <f>IFERROR(__xludf.DUMMYFUNCTION("GoogleTranslate(C225, ""en"", ""az"")"),"PM2.5 (2.5μm-dən aşağı hissəciklər)")</f>
        <v>PM2.5 (2.5μm-dən aşağı hissəciklər)</v>
      </c>
      <c r="I225" s="7" t="str">
        <f>IFERROR(__xludf.DUMMYFUNCTION("GoogleTranslate(C225, ""en"", ""eu"")"),"PM2,5 (partikulek 2,5 μm-tik beherako materia)")</f>
        <v>PM2,5 (partikulek 2,5 μm-tik beherako materia)</v>
      </c>
      <c r="J225" s="7" t="str">
        <f>IFERROR(__xludf.DUMMYFUNCTION("GoogleTranslate(C225, ""en"", ""be"")"),"PM2,5 (часціцы менш за 2,5 мкм)")</f>
        <v>PM2,5 (часціцы менш за 2,5 мкм)</v>
      </c>
      <c r="K225" s="7" t="str">
        <f>IFERROR(__xludf.DUMMYFUNCTION("GoogleTranslate(C225, ""en"", ""bn"")"),"PM2.5 (2.5μm এর নিচে কণার ব্যাপার)")</f>
        <v>PM2.5 (2.5μm এর নিচে কণার ব্যাপার)</v>
      </c>
      <c r="L225" s="7" t="str">
        <f>IFERROR(__xludf.DUMMYFUNCTION("GoogleTranslate(C225, ""en"", ""bg"")"),"PM2.5 (Материални частици под 2,5 μm)")</f>
        <v>PM2.5 (Материални частици под 2,5 μm)</v>
      </c>
      <c r="M225" s="7" t="str">
        <f>IFERROR(__xludf.DUMMYFUNCTION("GoogleTranslate(C225, ""en"", ""my"")"),"PM2.5 (အမှုန်အမွှားများသည် 2.5μm အောက်)၊")</f>
        <v>PM2.5 (အမှုန်အမွှားများသည် 2.5μm အောက်)၊</v>
      </c>
      <c r="N225" s="7" t="str">
        <f>IFERROR(__xludf.DUMMYFUNCTION("GoogleTranslate(C225, ""en"", ""ca"")"),"PM2,5 (les partícules importen per sota de 2,5 μm)")</f>
        <v>PM2,5 (les partícules importen per sota de 2,5 μm)</v>
      </c>
      <c r="O225" s="7" t="str">
        <f>IFERROR(__xludf.DUMMYFUNCTION("GoogleTranslate(C225, ""en"", ""zh-cn"")"),"PM2.5（2.5μm以下颗粒物）")</f>
        <v>PM2.5（2.5μm以下颗粒物）</v>
      </c>
      <c r="P225" s="7" t="str">
        <f>IFERROR(__xludf.DUMMYFUNCTION("GoogleTranslate(C225, ""en"", ""zh-TW"")"),"PM2.5（2.5μm以下粒狀物）")</f>
        <v>PM2.5（2.5μm以下粒狀物）</v>
      </c>
      <c r="Q225" s="7" t="str">
        <f>IFERROR(__xludf.DUMMYFUNCTION("GoogleTranslate(C225, ""en"", ""hr"")"),"PM2,5 (čestice materije ispod 2,5 μm)")</f>
        <v>PM2,5 (čestice materije ispod 2,5 μm)</v>
      </c>
      <c r="R225" s="7" t="str">
        <f>IFERROR(__xludf.DUMMYFUNCTION("GoogleTranslate(C225, ""en"", ""cs"")"),"PM2,5 (částice o velikosti menší než 2,5 μm)")</f>
        <v>PM2,5 (částice o velikosti menší než 2,5 μm)</v>
      </c>
      <c r="S225" s="7" t="str">
        <f>IFERROR(__xludf.DUMMYFUNCTION("GoogleTranslate(C225, ""en"", ""da"")"),"PM2.5 (partikler er mindre end 2,5 μm)")</f>
        <v>PM2.5 (partikler er mindre end 2,5 μm)</v>
      </c>
      <c r="T225" s="7" t="str">
        <f>IFERROR(__xludf.DUMMYFUNCTION("GoogleTranslate(C225, ""en"", ""nl"")"),"PM2,5 (deeltjes zijn kleiner dan 2,5 μm)")</f>
        <v>PM2,5 (deeltjes zijn kleiner dan 2,5 μm)</v>
      </c>
      <c r="U225" s="7" t="str">
        <f>IFERROR(__xludf.DUMMYFUNCTION("GoogleTranslate(C225, ""en"", ""et"")"),"PM2,5 (osakesed on alla 2,5 μm)")</f>
        <v>PM2,5 (osakesed on alla 2,5 μm)</v>
      </c>
      <c r="V225" s="5" t="str">
        <f t="shared" si="3"/>
        <v>PM2.5 (Particles matter under 2.5μm)</v>
      </c>
      <c r="W225" s="7" t="str">
        <f>IFERROR(__xludf.DUMMYFUNCTION("GoogleTranslate(C225, ""en"", ""fi"")"),"PM2,5 (hiukkasten materiaali on alle 2,5 μm)")</f>
        <v>PM2,5 (hiukkasten materiaali on alle 2,5 μm)</v>
      </c>
      <c r="X225" s="7" t="str">
        <f>IFERROR(__xludf.DUMMYFUNCTION("GoogleTranslate(C225, ""en"", ""fr"")"),"PM2,5 (les particules comptent moins de 2,5 μm)")</f>
        <v>PM2,5 (les particules comptent moins de 2,5 μm)</v>
      </c>
      <c r="Y225" s="7" t="str">
        <f>IFERROR(__xludf.DUMMYFUNCTION("GoogleTranslate(C225, ""en"", ""de"")"),"PM2,5 (Partikel sind kleiner als 2,5 μm)")</f>
        <v>PM2,5 (Partikel sind kleiner als 2,5 μm)</v>
      </c>
      <c r="Z225" s="7" t="str">
        <f>IFERROR(__xludf.DUMMYFUNCTION("GoogleTranslate(C225, ""en"", ""el"")"),"PM2,5 (Τα σωματίδια κάτω από 2,5 μm)")</f>
        <v>PM2,5 (Τα σωματίδια κάτω από 2,5 μm)</v>
      </c>
      <c r="AA225" s="7" t="str">
        <f>IFERROR(__xludf.DUMMYFUNCTION("GoogleTranslate(C225, ""en"", ""iw"")"),"PM2.5 (חלקיקים חומרים מתחת ל-2.5μm)")</f>
        <v>PM2.5 (חלקיקים חומרים מתחת ל-2.5μm)</v>
      </c>
      <c r="AB225" s="7" t="str">
        <f>IFERROR(__xludf.DUMMYFUNCTION("GoogleTranslate(C225, ""en"", ""hi"")"),"PM2.5 (2.5μm से कम के कण मायने रखते हैं)")</f>
        <v>PM2.5 (2.5μm से कम के कण मायने रखते हैं)</v>
      </c>
      <c r="AC225" s="7" t="str">
        <f>IFERROR(__xludf.DUMMYFUNCTION("GoogleTranslate(C225, ""en"", ""hu"")"),"PM2,5 (2,5 μm alatti részecskék)")</f>
        <v>PM2,5 (2,5 μm alatti részecskék)</v>
      </c>
      <c r="AD225" s="7" t="str">
        <f>IFERROR(__xludf.DUMMYFUNCTION("GoogleTranslate(C225, ""en"", ""is"")"),"PM2.5 (agnir skipta minna en 2.5μm)")</f>
        <v>PM2.5 (agnir skipta minna en 2.5μm)</v>
      </c>
      <c r="AE225" s="7" t="str">
        <f>IFERROR(__xludf.DUMMYFUNCTION("GoogleTranslate(C225, ""en"", ""id"")"),"PM2.5 (Partikel penting di bawah 2,5μm)")</f>
        <v>PM2.5 (Partikel penting di bawah 2,5μm)</v>
      </c>
      <c r="AF225" s="7" t="str">
        <f>IFERROR(__xludf.DUMMYFUNCTION("GoogleTranslate(C225, ""en"", ""in"")"),"PM2.5 (Partikel penting di bawah 2,5μm)")</f>
        <v>PM2.5 (Partikel penting di bawah 2,5μm)</v>
      </c>
      <c r="AG225" s="7" t="str">
        <f>IFERROR(__xludf.DUMMYFUNCTION("GoogleTranslate(C225, ""en"", ""it"")"),"PM2.5 (Le particelle contano sotto i 2,5μm)")</f>
        <v>PM2.5 (Le particelle contano sotto i 2,5μm)</v>
      </c>
      <c r="AH225" s="7" t="str">
        <f>IFERROR(__xludf.DUMMYFUNCTION("GoogleTranslate(C225, ""en"", ""ja"")"),"PM2.5（2.5μm以下の粒子状物質）")</f>
        <v>PM2.5（2.5μm以下の粒子状物質）</v>
      </c>
      <c r="AI225" s="7" t="str">
        <f>IFERROR(__xludf.DUMMYFUNCTION("GoogleTranslate(C225, ""en"", ""kn"")"),"PM2.5 (2.5μm ಗಿಂತ ಕಡಿಮೆ ಇರುವ ಕಣಗಳು)")</f>
        <v>PM2.5 (2.5μm ಗಿಂತ ಕಡಿಮೆ ಇರುವ ಕಣಗಳು)</v>
      </c>
      <c r="AJ225" s="7" t="str">
        <f>IFERROR(__xludf.DUMMYFUNCTION("GoogleTranslate(C225, ""en"", ""km"")"),"PM2.5 (ភាគល្អិតមានទម្ងន់ក្រោម 2.5μm)")</f>
        <v>PM2.5 (ភាគល្អិតមានទម្ងន់ក្រោម 2.5μm)</v>
      </c>
      <c r="AK225" s="7" t="str">
        <f>IFERROR(__xludf.DUMMYFUNCTION("GoogleTranslate(C225, ""en"", ""ko"")"),"PM2.5(2.5μm 이하의 입자 물질)")</f>
        <v>PM2.5(2.5μm 이하의 입자 물질)</v>
      </c>
      <c r="AL225" s="7" t="str">
        <f>IFERROR(__xludf.DUMMYFUNCTION("GoogleTranslate(C225, ""en"", ""lo"")"),"PM2.5 (ອະນຸພາກສຳຄັນກວ່າ 2.5μm)")</f>
        <v>PM2.5 (ອະນຸພາກສຳຄັນກວ່າ 2.5μm)</v>
      </c>
      <c r="AM225" s="7" t="str">
        <f>IFERROR(__xludf.DUMMYFUNCTION("GoogleTranslate(C225, ""en"", ""lv"")"),"PM2,5 (daļiņas mazākas par 2,5 μm)")</f>
        <v>PM2,5 (daļiņas mazākas par 2,5 μm)</v>
      </c>
      <c r="AN225" s="7" t="str">
        <f>IFERROR(__xludf.DUMMYFUNCTION("GoogleTranslate(C225, ""en"", ""lt"")"),"PM2,5 (dalelės mažesnės nei 2,5 μm)")</f>
        <v>PM2,5 (dalelės mažesnės nei 2,5 μm)</v>
      </c>
      <c r="AO225" s="7" t="str">
        <f>IFERROR(__xludf.DUMMYFUNCTION("GoogleTranslate(C225, ""en"", ""mk"")"),"PM2.5 (Честички се материја под 2,5 μm)")</f>
        <v>PM2.5 (Честички се материја под 2,5 μm)</v>
      </c>
      <c r="AP225" s="7" t="str">
        <f>IFERROR(__xludf.DUMMYFUNCTION("GoogleTranslate(C225, ""en"", ""ms"")"),"PM2.5 (Jiri zarah di bawah 2.5μm)")</f>
        <v>PM2.5 (Jiri zarah di bawah 2.5μm)</v>
      </c>
      <c r="AQ225" s="7" t="str">
        <f>IFERROR(__xludf.DUMMYFUNCTION("GoogleTranslate(C225, ""en"", ""ml"")"),"PM2.5 (2.5μm-ൽ താഴെയുള്ള കണികകൾ)")</f>
        <v>PM2.5 (2.5μm-ൽ താഴെയുള്ള കണികകൾ)</v>
      </c>
      <c r="AR225" s="7" t="str">
        <f>IFERROR(__xludf.DUMMYFUNCTION("GoogleTranslate(C225, ""en"", ""mr"")"),"PM2.5 (2.5μm अंतर्गत कणांचे प्रमाण)")</f>
        <v>PM2.5 (2.5μm अंतर्गत कणांचे प्रमाण)</v>
      </c>
      <c r="AS225" s="7" t="str">
        <f>IFERROR(__xludf.DUMMYFUNCTION("GoogleTranslate(C225, ""en"", ""mn"")"),"PM2.5 (2.5μm-ээс бага хэмжээтэй тоосонцор)")</f>
        <v>PM2.5 (2.5μm-ээс бага хэмжээтэй тоосонцор)</v>
      </c>
      <c r="AT225" s="7" t="str">
        <f>IFERROR(__xludf.DUMMYFUNCTION("GoogleTranslate(C225, ""en"", ""ne"")"),"PM2.5 (2.5μm भन्दा कम कणहरू)")</f>
        <v>PM2.5 (2.5μm भन्दा कम कणहरू)</v>
      </c>
      <c r="AU225" s="7" t="str">
        <f>IFERROR(__xludf.DUMMYFUNCTION("GoogleTranslate(C225, ""en"", ""nb"")"),"PM2,5 (partikler er mindre enn 2,5 μm)")</f>
        <v>PM2,5 (partikler er mindre enn 2,5 μm)</v>
      </c>
      <c r="AV225" s="7" t="str">
        <f>IFERROR(__xludf.DUMMYFUNCTION("GoogleTranslate(C225, ""en"", ""fa"")"),"PM2.5 (ذرات زیر 2.5 میکرومتر)")</f>
        <v>PM2.5 (ذرات زیر 2.5 میکرومتر)</v>
      </c>
      <c r="AW225" s="7" t="str">
        <f>IFERROR(__xludf.DUMMYFUNCTION("GoogleTranslate(C225, ""en"", ""pl"")"),"PM2,5 (Cząsteczki mają znaczenie poniżej 2,5 μm)")</f>
        <v>PM2,5 (Cząsteczki mają znaczenie poniżej 2,5 μm)</v>
      </c>
      <c r="AX225" s="7" t="str">
        <f>IFERROR(__xludf.DUMMYFUNCTION("GoogleTranslate(C225, ""en"", ""pt"")"),"PM2.5 (partículas importam abaixo de 2,5 μm)")</f>
        <v>PM2.5 (partículas importam abaixo de 2,5 μm)</v>
      </c>
      <c r="AY225" s="7" t="str">
        <f>IFERROR(__xludf.DUMMYFUNCTION("GoogleTranslate(C225, ""en"", ""ro"")"),"PM2.5 (Particulele contează sub 2,5 μm)")</f>
        <v>PM2.5 (Particulele contează sub 2,5 μm)</v>
      </c>
      <c r="AZ225" s="7" t="str">
        <f>IFERROR(__xludf.DUMMYFUNCTION("GoogleTranslate(C225, ""en"", ""ru"")"),"PM2,5 (частицы размером менее 2,5 мкм)")</f>
        <v>PM2,5 (частицы размером менее 2,5 мкм)</v>
      </c>
      <c r="BA225" s="7" t="str">
        <f>IFERROR(__xludf.DUMMYFUNCTION("GoogleTranslate(C225, ""en"", ""sr"")"),"ПМ2,5 (честице су мање од 2,5 μм)")</f>
        <v>ПМ2,5 (честице су мање од 2,5 μм)</v>
      </c>
      <c r="BB225" s="7" t="str">
        <f>IFERROR(__xludf.DUMMYFUNCTION("GoogleTranslate(C225, ""en"", ""si"")"),"PM2.5 (2.5μm ට අඩු අංශු පදාර්ථ)")</f>
        <v>PM2.5 (2.5μm ට අඩු අංශු පදාර්ථ)</v>
      </c>
      <c r="BC225" s="7" t="str">
        <f>IFERROR(__xludf.DUMMYFUNCTION("GoogleTranslate(C225, ""en"", ""sk"")"),"PM2,5 (častice menšie ako 2,5 μm)")</f>
        <v>PM2,5 (častice menšie ako 2,5 μm)</v>
      </c>
      <c r="BD225" s="7" t="str">
        <f>IFERROR(__xludf.DUMMYFUNCTION("GoogleTranslate(C225, ""en"", ""sl"")"),"PM2,5 (delci pod 2,5 μm)")</f>
        <v>PM2,5 (delci pod 2,5 μm)</v>
      </c>
      <c r="BE225" s="7" t="str">
        <f>IFERROR(__xludf.DUMMYFUNCTION("GoogleTranslate(C225, ""en"", ""es"")"),"PM2.5 (partículas importantes por debajo de 2,5 μm)")</f>
        <v>PM2.5 (partículas importantes por debajo de 2,5 μm)</v>
      </c>
      <c r="BF225" s="7" t="str">
        <f>IFERROR(__xludf.DUMMYFUNCTION("GoogleTranslate(C225, ""en"", ""sw"")"),"PM2.5 (Chembe ni muhimu chini ya 2.5μm)")</f>
        <v>PM2.5 (Chembe ni muhimu chini ya 2.5μm)</v>
      </c>
      <c r="BG225" s="7" t="str">
        <f>IFERROR(__xludf.DUMMYFUNCTION("GoogleTranslate(C225, ""en"", ""sv"")"),"PM2,5 (partiklar är mindre än 2,5 μm)")</f>
        <v>PM2,5 (partiklar är mindre än 2,5 μm)</v>
      </c>
      <c r="BH225" s="7" t="str">
        <f>IFERROR(__xludf.DUMMYFUNCTION("GoogleTranslate(C225, ""en"", ""te"")"),"PM2.5 (కణాలు 2.5μm లోపు పదార్థం)")</f>
        <v>PM2.5 (కణాలు 2.5μm లోపు పదార్థం)</v>
      </c>
      <c r="BI225" s="7" t="str">
        <f>IFERROR(__xludf.DUMMYFUNCTION("GoogleTranslate(C225, ""en"", ""th"")"),"PM2.5 (อนุภาคมีขนาดไม่เกิน 2.5μm)")</f>
        <v>PM2.5 (อนุภาคมีขนาดไม่เกิน 2.5μm)</v>
      </c>
      <c r="BJ225" s="7" t="str">
        <f>IFERROR(__xludf.DUMMYFUNCTION("GoogleTranslate(C225, ""en"", ""tr"")"),"PM2.5 (2,5μm'nin altındaki parçacıklar önemlidir)")</f>
        <v>PM2.5 (2,5μm'nin altındaki parçacıklar önemlidir)</v>
      </c>
      <c r="BK225" s="7" t="str">
        <f>IFERROR(__xludf.DUMMYFUNCTION("GoogleTranslate(C225, ""en"", ""uk"")"),"PM2,5 (частинки розміром менше 2,5 мкм)")</f>
        <v>PM2,5 (частинки розміром менше 2,5 мкм)</v>
      </c>
      <c r="BL225" s="7" t="str">
        <f>IFERROR(__xludf.DUMMYFUNCTION("GoogleTranslate(C225, ""en"", ""zu"")"),"PM2.5 (Izinhlayiya zibalulekile ngaphansi kuka-2.5μm)")</f>
        <v>PM2.5 (Izinhlayiya zibalulekile ngaphansi kuka-2.5μm)</v>
      </c>
    </row>
    <row r="226">
      <c r="A226" s="5" t="str">
        <f t="shared" si="1"/>
        <v>Ozone_in_the_air_we_breathe_can_harm_our_health,_especially_on_hot_sunny_days_when_ozone_can_reach_unhealthy_levels._Even_relatively_low_levels_of_ozone_can_cause_health_effects.</v>
      </c>
      <c r="B226" s="4" t="s">
        <v>269</v>
      </c>
      <c r="C226" s="4" t="s">
        <v>269</v>
      </c>
      <c r="D226" s="7" t="str">
        <f>IFERROR(__xludf.DUMMYFUNCTION("GoogleTranslate(C226, ""en"", ""es"")"),"El ozono en el aire que respiramos puede dañar nuestra salud, especialmente en los días calurosos y soleados, cuando el ozono puede alcanzar niveles nocivos para la salud. Incluso niveles relativamente bajos de ozono pueden tener efectos sobre la salud.")</f>
        <v>El ozono en el aire que respiramos puede dañar nuestra salud, especialmente en los días calurosos y soleados, cuando el ozono puede alcanzar niveles nocivos para la salud. Incluso niveles relativamente bajos de ozono pueden tener efectos sobre la salud.</v>
      </c>
      <c r="E226" s="7" t="str">
        <f>IFERROR(__xludf.DUMMYFUNCTION("GoogleTranslate(C226, ""en"", ""ar"")"),"الأوزون الموجود في الهواء الذي نتنفسه يمكن أن يضر بصحتنا، خاصة في الأيام المشمسة الحارة عندما يصل الأوزون إلى مستويات غير صحية. حتى المستويات المنخفضة نسبيًا من الأوزون يمكن أن تسبب آثارًا صحية.")</f>
        <v>الأوزون الموجود في الهواء الذي نتنفسه يمكن أن يضر بصحتنا، خاصة في الأيام المشمسة الحارة عندما يصل الأوزون إلى مستويات غير صحية. حتى المستويات المنخفضة نسبيًا من الأوزون يمكن أن تسبب آثارًا صحية.</v>
      </c>
      <c r="F226" s="7" t="str">
        <f>IFERROR(__xludf.DUMMYFUNCTION("GoogleTranslate(C226, ""en"", ""hy"")"),"Օզոնը օդում, որը մենք շնչում ենք, կարող է վնասել մեր առողջությանը, հատկապես շոգ արևոտ օրերին, երբ օզոնը կարող է հասնել անառողջ մակարդակի: Նույնիսկ օզոնի համեմատաբար ցածր մակարդակը կարող է առողջական ազդեցություն ունենալ:")</f>
        <v>Օզոնը օդում, որը մենք շնչում ենք, կարող է վնասել մեր առողջությանը, հատկապես շոգ արևոտ օրերին, երբ օզոնը կարող է հասնել անառողջ մակարդակի: Նույնիսկ օզոնի համեմատաբար ցածր մակարդակը կարող է առողջական ազդեցություն ունենալ:</v>
      </c>
      <c r="G226" s="7" t="str">
        <f>IFERROR(__xludf.DUMMYFUNCTION("GoogleTranslate(C226, ""en"", ""vi"")"),"Ozone trong không khí chúng ta hít thở có thể gây hại cho sức khỏe, đặc biệt là vào những ngày nắng nóng khi ozone có thể đạt đến mức không tốt cho sức khỏe. Ngay cả mức ozone tương đối thấp cũng có thể gây ảnh hưởng đến sức khỏe.")</f>
        <v>Ozone trong không khí chúng ta hít thở có thể gây hại cho sức khỏe, đặc biệt là vào những ngày nắng nóng khi ozone có thể đạt đến mức không tốt cho sức khỏe. Ngay cả mức ozone tương đối thấp cũng có thể gây ảnh hưởng đến sức khỏe.</v>
      </c>
      <c r="H226" s="7" t="str">
        <f>IFERROR(__xludf.DUMMYFUNCTION("GoogleTranslate(C226, ""en"", ""az"")"),"Nəfəs aldığımız havadakı ozon, xüsusilə ozonun qeyri-sağlam səviyyələrə çatdığı isti günəşli günlərdə sağlamlığımıza zərər verə bilər. Hətta nisbətən aşağı ozon səviyyələri sağlamlığa təsir göstərə bilər.")</f>
        <v>Nəfəs aldığımız havadakı ozon, xüsusilə ozonun qeyri-sağlam səviyyələrə çatdığı isti günəşli günlərdə sağlamlığımıza zərər verə bilər. Hətta nisbətən aşağı ozon səviyyələri sağlamlığa təsir göstərə bilər.</v>
      </c>
      <c r="I226" s="7" t="str">
        <f>IFERROR(__xludf.DUMMYFUNCTION("GoogleTranslate(C226, ""en"", ""eu"")"),"Arnasten dugun aireko ozonoak gure osasunari kalte egin diezaioke, batez ere egun eguzkitsu beroetan, ozonoa maila ez-osasungarrietara irits daitekeenean. Nahiz eta ozono maila nahiko baxuak eragin ditzake osasunean.")</f>
        <v>Arnasten dugun aireko ozonoak gure osasunari kalte egin diezaioke, batez ere egun eguzkitsu beroetan, ozonoa maila ez-osasungarrietara irits daitekeenean. Nahiz eta ozono maila nahiko baxuak eragin ditzake osasunean.</v>
      </c>
      <c r="J226" s="7" t="str">
        <f>IFERROR(__xludf.DUMMYFUNCTION("GoogleTranslate(C226, ""en"", ""be"")"),"Азон у паветры, якім мы дыхаем, можа нанесці шкоду нашаму здароўю, асабліва ў гарачыя сонечныя дні, калі азон можа дасягаць нездаровага ўзроўню. Нават адносна нізкі ўзровень азону можа нанесці шкоду здароўю.")</f>
        <v>Азон у паветры, якім мы дыхаем, можа нанесці шкоду нашаму здароўю, асабліва ў гарачыя сонечныя дні, калі азон можа дасягаць нездаровага ўзроўню. Нават адносна нізкі ўзровень азону можа нанесці шкоду здароўю.</v>
      </c>
      <c r="K226" s="7" t="str">
        <f>IFERROR(__xludf.DUMMYFUNCTION("GoogleTranslate(C226, ""en"", ""bn"")"),"ওজোন যে বাতাসে আমরা শ্বাস নিই তা আমাদের স্বাস্থ্যের ক্ষতি করতে পারে, বিশেষ করে গরম রৌদ্রোজ্জ্বল দিনে যখন ওজোন অস্বাস্থ্যকর মাত্রায় পৌঁছাতে পারে। এমনকি ওজোনের তুলনামূলকভাবে কম মাত্রা স্বাস্থ্যের প্রভাব সৃষ্টি করতে পারে।")</f>
        <v>ওজোন যে বাতাসে আমরা শ্বাস নিই তা আমাদের স্বাস্থ্যের ক্ষতি করতে পারে, বিশেষ করে গরম রৌদ্রোজ্জ্বল দিনে যখন ওজোন অস্বাস্থ্যকর মাত্রায় পৌঁছাতে পারে। এমনকি ওজোনের তুলনামূলকভাবে কম মাত্রা স্বাস্থ্যের প্রভাব সৃষ্টি করতে পারে।</v>
      </c>
      <c r="L226" s="7" t="str">
        <f>IFERROR(__xludf.DUMMYFUNCTION("GoogleTranslate(C226, ""en"", ""bg"")"),"Озонът във въздуха, който дишаме, може да навреди на здравето ни, особено в горещи слънчеви дни, когато озонът може да достигне нездравословни нива. Дори относително ниските нива на озон могат да причинят последици за здравето.")</f>
        <v>Озонът във въздуха, който дишаме, може да навреди на здравето ни, особено в горещи слънчеви дни, когато озонът може да достигне нездравословни нива. Дори относително ниските нива на озон могат да причинят последици за здравето.</v>
      </c>
      <c r="M226" s="7" t="str">
        <f>IFERROR(__xludf.DUMMYFUNCTION("GoogleTranslate(C226, ""en"", ""my"")"),"ကျွန်ုပ်တို့ ရှူရှိုက်မိသော လေထုထဲတွင် အိုဇုန်းဓာတ်သည် ကျန်းမာရေးနှင့် မညီညွတ်သော အဆင့်သို့ ရောက်ရှိသောအခါ အထူးသဖြင့် ပူပြင်းသော နေသာသော နေ့များတွင် ကျွန်ုပ်တို့၏ ကျန်းမာရေးကို ထိခိုက်စေနိုင်သည်။ အိုဇုန်းအဆင့် နိမ့်နေရင်တောင် ကျန်းမာရေးကို ထိခိုက်စေနိုင်ပ"&amp;"ါတယ်။")</f>
        <v>ကျွန်ုပ်တို့ ရှူရှိုက်မိသော လေထုထဲတွင် အိုဇုန်းဓာတ်သည် ကျန်းမာရေးနှင့် မညီညွတ်သော အဆင့်သို့ ရောက်ရှိသောအခါ အထူးသဖြင့် ပူပြင်းသော နေသာသော နေ့များတွင် ကျွန်ုပ်တို့၏ ကျန်းမာရေးကို ထိခိုက်စေနိုင်သည်။ အိုဇုန်းအဆင့် နိမ့်နေရင်တောင် ကျန်းမာရေးကို ထိခိုက်စေနိုင်ပါတယ်။</v>
      </c>
      <c r="N226" s="7" t="str">
        <f>IFERROR(__xludf.DUMMYFUNCTION("GoogleTranslate(C226, ""en"", ""ca"")"),"L'ozó a l'aire que respirem pot perjudicar la nostra salut, especialment els dies calorosos i assolellats quan l'ozó pot arribar a nivells no saludables. Fins i tot nivells relativament baixos d'ozó poden causar efectes sobre la salut.")</f>
        <v>L'ozó a l'aire que respirem pot perjudicar la nostra salut, especialment els dies calorosos i assolellats quan l'ozó pot arribar a nivells no saludables. Fins i tot nivells relativament baixos d'ozó poden causar efectes sobre la salut.</v>
      </c>
      <c r="O226" s="7" t="str">
        <f>IFERROR(__xludf.DUMMYFUNCTION("GoogleTranslate(C226, ""en"", ""zh-cn"")"),"我们呼吸的空气中的臭氧会损害我们的健康，尤其是在炎热的晴天，臭氧会达到不健康的水平。即使臭氧含量相对较低也会对健康造成影响。")</f>
        <v>我们呼吸的空气中的臭氧会损害我们的健康，尤其是在炎热的晴天，臭氧会达到不健康的水平。即使臭氧含量相对较低也会对健康造成影响。</v>
      </c>
      <c r="P226" s="7" t="str">
        <f>IFERROR(__xludf.DUMMYFUNCTION("GoogleTranslate(C226, ""en"", ""zh-TW"")"),"我們呼吸的空氣中的臭氧會損害我們的健康，尤其是在炎熱的晴天，臭氧會達到不健康的水平。即使臭氧含量相對較低也會對健康造成影響。")</f>
        <v>我們呼吸的空氣中的臭氧會損害我們的健康，尤其是在炎熱的晴天，臭氧會達到不健康的水平。即使臭氧含量相對較低也會對健康造成影響。</v>
      </c>
      <c r="Q226" s="7" t="str">
        <f>IFERROR(__xludf.DUMMYFUNCTION("GoogleTranslate(C226, ""en"", ""hr"")"),"Ozon u zraku koji udišemo može naštetiti našem zdravlju, posebno za vrijeme vrućih sunčanih dana kada ozon može doseći nezdravu razinu. Čak i relativno niske razine ozona mogu uzrokovati zdravstvene posljedice.")</f>
        <v>Ozon u zraku koji udišemo može naštetiti našem zdravlju, posebno za vrijeme vrućih sunčanih dana kada ozon može doseći nezdravu razinu. Čak i relativno niske razine ozona mogu uzrokovati zdravstvene posljedice.</v>
      </c>
      <c r="R226" s="7" t="str">
        <f>IFERROR(__xludf.DUMMYFUNCTION("GoogleTranslate(C226, ""en"", ""cs"")"),"Ozón ve vzduchu, který dýcháme, může poškodit naše zdraví, zejména v horkých slunečných dnech, kdy ozón může dosáhnout nezdravých úrovní. I relativně nízké hladiny ozonu mohou mít zdravotní účinky.")</f>
        <v>Ozón ve vzduchu, který dýcháme, může poškodit naše zdraví, zejména v horkých slunečných dnech, kdy ozón může dosáhnout nezdravých úrovní. I relativně nízké hladiny ozonu mohou mít zdravotní účinky.</v>
      </c>
      <c r="S226" s="7" t="str">
        <f>IFERROR(__xludf.DUMMYFUNCTION("GoogleTranslate(C226, ""en"", ""da"")"),"Ozon i luften, vi indånder, kan skade vores helbred, især på varme solskinsdage, hvor ozon kan nå usunde niveauer. Selv relativt lave niveauer af ozon kan forårsage sundhedseffekter.")</f>
        <v>Ozon i luften, vi indånder, kan skade vores helbred, især på varme solskinsdage, hvor ozon kan nå usunde niveauer. Selv relativt lave niveauer af ozon kan forårsage sundhedseffekter.</v>
      </c>
      <c r="T226" s="7" t="str">
        <f>IFERROR(__xludf.DUMMYFUNCTION("GoogleTranslate(C226, ""en"", ""nl"")"),"Ozon in de lucht die we inademen kan onze gezondheid schaden, vooral op warme zonnige dagen wanneer ozon ongezonde niveaus kan bereiken. Zelfs relatief lage ozonniveaus kunnen gezondheidseffecten veroorzaken.")</f>
        <v>Ozon in de lucht die we inademen kan onze gezondheid schaden, vooral op warme zonnige dagen wanneer ozon ongezonde niveaus kan bereiken. Zelfs relatief lage ozonniveaus kunnen gezondheidseffecten veroorzaken.</v>
      </c>
      <c r="U226" s="7" t="str">
        <f>IFERROR(__xludf.DUMMYFUNCTION("GoogleTranslate(C226, ""en"", ""et"")"),"Osoon õhus, mida me hingame, võib kahjustada meie tervist, eriti kuumadel päikesepaistelistel päevadel, mil osoon võib jõuda ebatervisliku tasemeni. Isegi suhteliselt madal osoonitase võib põhjustada tervisemõjusid.")</f>
        <v>Osoon õhus, mida me hingame, võib kahjustada meie tervist, eriti kuumadel päikesepaistelistel päevadel, mil osoon võib jõuda ebatervisliku tasemeni. Isegi suhteliselt madal osoonitase võib põhjustada tervisemõjusid.</v>
      </c>
      <c r="V226" s="5" t="str">
        <f t="shared" si="3"/>
        <v>Ozone in the air we breathe can harm our health, especially on hot sunny days when ozone can reach unhealthy levels. Even relatively low levels of ozone can cause health effects.</v>
      </c>
      <c r="W226" s="7" t="str">
        <f>IFERROR(__xludf.DUMMYFUNCTION("GoogleTranslate(C226, ""en"", ""fi"")"),"Hengittämämme ilman otsoni voi vahingoittaa terveyttämme, etenkin kuumina aurinkoisina päivinä, jolloin otsoni voi saavuttaa epäterveellisen tason. Jopa suhteellisen alhaiset otsonitasot voivat aiheuttaa terveysvaikutuksia.")</f>
        <v>Hengittämämme ilman otsoni voi vahingoittaa terveyttämme, etenkin kuumina aurinkoisina päivinä, jolloin otsoni voi saavuttaa epäterveellisen tason. Jopa suhteellisen alhaiset otsonitasot voivat aiheuttaa terveysvaikutuksia.</v>
      </c>
      <c r="X226" s="7" t="str">
        <f>IFERROR(__xludf.DUMMYFUNCTION("GoogleTranslate(C226, ""en"", ""fr"")"),"L'ozone présent dans l'air que nous respirons peut nuire à notre santé, en particulier lors des journées chaudes et ensoleillées, lorsque l'ozone peut atteindre des niveaux malsains. Même des niveaux d’ozone relativement faibles peuvent avoir des effets n"&amp;"éfastes sur la santé.")</f>
        <v>L'ozone présent dans l'air que nous respirons peut nuire à notre santé, en particulier lors des journées chaudes et ensoleillées, lorsque l'ozone peut atteindre des niveaux malsains. Même des niveaux d’ozone relativement faibles peuvent avoir des effets néfastes sur la santé.</v>
      </c>
      <c r="Y226" s="7" t="str">
        <f>IFERROR(__xludf.DUMMYFUNCTION("GoogleTranslate(C226, ""en"", ""de"")"),"Ozon in der Luft, die wir atmen, kann unserer Gesundheit schaden, insbesondere an heißen, sonnigen Tagen, an denen Ozon ungesunde Werte erreichen kann. Selbst relativ niedrige Ozonwerte können gesundheitliche Auswirkungen haben.")</f>
        <v>Ozon in der Luft, die wir atmen, kann unserer Gesundheit schaden, insbesondere an heißen, sonnigen Tagen, an denen Ozon ungesunde Werte erreichen kann. Selbst relativ niedrige Ozonwerte können gesundheitliche Auswirkungen haben.</v>
      </c>
      <c r="Z226" s="7" t="str">
        <f>IFERROR(__xludf.DUMMYFUNCTION("GoogleTranslate(C226, ""en"", ""el"")"),"Το όζον στον αέρα που αναπνέουμε μπορεί να βλάψει την υγεία μας, ειδικά τις ζεστές ηλιόλουστες μέρες που το όζον μπορεί να φτάσει σε ανθυγιεινά επίπεδα. Ακόμη και σχετικά χαμηλά επίπεδα όζοντος μπορούν να προκαλέσουν επιπτώσεις στην υγεία.")</f>
        <v>Το όζον στον αέρα που αναπνέουμε μπορεί να βλάψει την υγεία μας, ειδικά τις ζεστές ηλιόλουστες μέρες που το όζον μπορεί να φτάσει σε ανθυγιεινά επίπεδα. Ακόμη και σχετικά χαμηλά επίπεδα όζοντος μπορούν να προκαλέσουν επιπτώσεις στην υγεία.</v>
      </c>
      <c r="AA226" s="7" t="str">
        <f>IFERROR(__xludf.DUMMYFUNCTION("GoogleTranslate(C226, ""en"", ""iw"")"),"אוזון באוויר שאנו נושמים עלול להזיק לבריאותנו, במיוחד בימי שמש חמים בהם האוזון יכול להגיע לרמות לא בריאות. אפילו רמות נמוכות יחסית של אוזון עלולות לגרום להשפעות בריאותיות.")</f>
        <v>אוזון באוויר שאנו נושמים עלול להזיק לבריאותנו, במיוחד בימי שמש חמים בהם האוזון יכול להגיע לרמות לא בריאות. אפילו רמות נמוכות יחסית של אוזון עלולות לגרום להשפעות בריאותיות.</v>
      </c>
      <c r="AB226" s="7" t="str">
        <f>IFERROR(__xludf.DUMMYFUNCTION("GoogleTranslate(C226, ""en"", ""hi"")"),"जिस हवा में हम सांस लेते हैं उसमें ओजोन हमारे स्वास्थ्य को नुकसान पहुंचा सकती है, खासकर गर्म धूप वाले दिनों में जब ओजोन अस्वास्थ्यकर स्तर तक पहुंच सकता है। ओजोन का अपेक्षाकृत निम्न स्तर भी स्वास्थ्य पर प्रभाव डाल सकता है।")</f>
        <v>जिस हवा में हम सांस लेते हैं उसमें ओजोन हमारे स्वास्थ्य को नुकसान पहुंचा सकती है, खासकर गर्म धूप वाले दिनों में जब ओजोन अस्वास्थ्यकर स्तर तक पहुंच सकता है। ओजोन का अपेक्षाकृत निम्न स्तर भी स्वास्थ्य पर प्रभाव डाल सकता है।</v>
      </c>
      <c r="AC226" s="7" t="str">
        <f>IFERROR(__xludf.DUMMYFUNCTION("GoogleTranslate(C226, ""en"", ""hu"")"),"Az általunk belélegzett levegőben lévő ózon károsíthatja egészségünket, különösen a forró napsütéses napokon, amikor az ózon elérheti az egészségtelen szintet. Még a viszonylag alacsony ózonszint is egészségügyi hatásokat okozhat.")</f>
        <v>Az általunk belélegzett levegőben lévő ózon károsíthatja egészségünket, különösen a forró napsütéses napokon, amikor az ózon elérheti az egészségtelen szintet. Még a viszonylag alacsony ózonszint is egészségügyi hatásokat okozhat.</v>
      </c>
      <c r="AD226" s="7" t="str">
        <f>IFERROR(__xludf.DUMMYFUNCTION("GoogleTranslate(C226, ""en"", ""is"")"),"Óson í loftinu sem við öndum að okkur getur skaðað heilsu okkar, sérstaklega á heitum sólríkum dögum þegar óson getur náð óhollt magn. Jafnvel tiltölulega lítið magn ósons getur haft heilsufarsleg áhrif.")</f>
        <v>Óson í loftinu sem við öndum að okkur getur skaðað heilsu okkar, sérstaklega á heitum sólríkum dögum þegar óson getur náð óhollt magn. Jafnvel tiltölulega lítið magn ósons getur haft heilsufarsleg áhrif.</v>
      </c>
      <c r="AE226" s="7" t="str">
        <f>IFERROR(__xludf.DUMMYFUNCTION("GoogleTranslate(C226, ""en"", ""id"")"),"Ozon di udara yang kita hirup dapat membahayakan kesehatan kita, terutama pada hari-hari terik ketika ozon dapat mencapai tingkat yang tidak sehat. Bahkan tingkat ozon yang relatif rendah pun dapat menimbulkan dampak kesehatan.")</f>
        <v>Ozon di udara yang kita hirup dapat membahayakan kesehatan kita, terutama pada hari-hari terik ketika ozon dapat mencapai tingkat yang tidak sehat. Bahkan tingkat ozon yang relatif rendah pun dapat menimbulkan dampak kesehatan.</v>
      </c>
      <c r="AF226" s="7" t="str">
        <f>IFERROR(__xludf.DUMMYFUNCTION("GoogleTranslate(C226, ""en"", ""in"")"),"Ozon di udara yang kita hirup dapat membahayakan kesehatan kita, terutama pada hari-hari terik ketika ozon dapat mencapai tingkat yang tidak sehat. Bahkan tingkat ozon yang relatif rendah pun dapat menimbulkan dampak kesehatan.")</f>
        <v>Ozon di udara yang kita hirup dapat membahayakan kesehatan kita, terutama pada hari-hari terik ketika ozon dapat mencapai tingkat yang tidak sehat. Bahkan tingkat ozon yang relatif rendah pun dapat menimbulkan dampak kesehatan.</v>
      </c>
      <c r="AG226" s="7" t="str">
        <f>IFERROR(__xludf.DUMMYFUNCTION("GoogleTranslate(C226, ""en"", ""it"")"),"L’ozono nell’aria che respiriamo può danneggiare la nostra salute, soprattutto nelle calde giornate soleggiate quando l’ozono può raggiungere livelli insalubri. Anche livelli relativamente bassi di ozono possono causare effetti sulla salute.")</f>
        <v>L’ozono nell’aria che respiriamo può danneggiare la nostra salute, soprattutto nelle calde giornate soleggiate quando l’ozono può raggiungere livelli insalubri. Anche livelli relativamente bassi di ozono possono causare effetti sulla salute.</v>
      </c>
      <c r="AH226" s="7" t="str">
        <f>IFERROR(__xludf.DUMMYFUNCTION("GoogleTranslate(C226, ""en"", ""ja"")"),"私たちが呼吸する空気中のオゾンは、特にオゾンが不健康なレベルに達する可能性のある暑い晴れた日には、私たちの健康に害を及ぼす可能性があります。比較的低レベルのオゾンであっても、健康への影響を引き起こす可能性があります。")</f>
        <v>私たちが呼吸する空気中のオゾンは、特にオゾンが不健康なレベルに達する可能性のある暑い晴れた日には、私たちの健康に害を及ぼす可能性があります。比較的低レベルのオゾンであっても、健康への影響を引き起こす可能性があります。</v>
      </c>
      <c r="AI226" s="7" t="str">
        <f>IFERROR(__xludf.DUMMYFUNCTION("GoogleTranslate(C226, ""en"", ""kn"")"),"ನಾವು ಉಸಿರಾಡುವ ಗಾಳಿಯಲ್ಲಿರುವ ಓಝೋನ್ ನಮ್ಮ ಆರೋಗ್ಯವನ್ನು ಹಾನಿಗೊಳಿಸುತ್ತದೆ, ವಿಶೇಷವಾಗಿ ಬಿಸಿಲಿನ ದಿನಗಳಲ್ಲಿ ಓಝೋನ್ ಅನಾರೋಗ್ಯಕರ ಮಟ್ಟವನ್ನು ತಲುಪಬಹುದು. ತುಲನಾತ್ಮಕವಾಗಿ ಕಡಿಮೆ ಮಟ್ಟದ ಓಝೋನ್ ಕೂಡ ಆರೋಗ್ಯದ ಪರಿಣಾಮಗಳನ್ನು ಉಂಟುಮಾಡಬಹುದು.")</f>
        <v>ನಾವು ಉಸಿರಾಡುವ ಗಾಳಿಯಲ್ಲಿರುವ ಓಝೋನ್ ನಮ್ಮ ಆರೋಗ್ಯವನ್ನು ಹಾನಿಗೊಳಿಸುತ್ತದೆ, ವಿಶೇಷವಾಗಿ ಬಿಸಿಲಿನ ದಿನಗಳಲ್ಲಿ ಓಝೋನ್ ಅನಾರೋಗ್ಯಕರ ಮಟ್ಟವನ್ನು ತಲುಪಬಹುದು. ತುಲನಾತ್ಮಕವಾಗಿ ಕಡಿಮೆ ಮಟ್ಟದ ಓಝೋನ್ ಕೂಡ ಆರೋಗ್ಯದ ಪರಿಣಾಮಗಳನ್ನು ಉಂಟುಮಾಡಬಹುದು.</v>
      </c>
      <c r="AJ226" s="7" t="str">
        <f>IFERROR(__xludf.DUMMYFUNCTION("GoogleTranslate(C226, ""en"", ""km"")"),"អូហ្សូននៅក្នុងខ្យល់ដែលយើងដកដង្ហើមអាចប៉ះពាល់ដល់សុខភាពរបស់យើង ជាពិសេសនៅថ្ងៃដែលមានពន្លឺព្រះអាទិត្យក្តៅ នៅពេលដែលអូហ្សូនអាចឈានដល់កម្រិតមិនល្អ។ សូម្បីតែកម្រិតអូហ្សូនទាបក៏អាចបង្កផលប៉ះពាល់ដល់សុខភាពដែរ។")</f>
        <v>អូហ្សូននៅក្នុងខ្យល់ដែលយើងដកដង្ហើមអាចប៉ះពាល់ដល់សុខភាពរបស់យើង ជាពិសេសនៅថ្ងៃដែលមានពន្លឺព្រះអាទិត្យក្តៅ នៅពេលដែលអូហ្សូនអាចឈានដល់កម្រិតមិនល្អ។ សូម្បីតែកម្រិតអូហ្សូនទាបក៏អាចបង្កផលប៉ះពាល់ដល់សុខភាពដែរ។</v>
      </c>
      <c r="AK226" s="7" t="str">
        <f>IFERROR(__xludf.DUMMYFUNCTION("GoogleTranslate(C226, ""en"", ""ko"")"),"우리가 숨 쉬는 공기 중의 오존은 우리의 건강에 해를 끼칠 수 있습니다. 특히 오존이 건강에 해로운 수준에 도달할 수 있는 덥고 화창한 날에는 더욱 그렇습니다. 상대적으로 낮은 수준의 오존이라도 건강에 영향을 미칠 수 있습니다.")</f>
        <v>우리가 숨 쉬는 공기 중의 오존은 우리의 건강에 해를 끼칠 수 있습니다. 특히 오존이 건강에 해로운 수준에 도달할 수 있는 덥고 화창한 날에는 더욱 그렇습니다. 상대적으로 낮은 수준의 오존이라도 건강에 영향을 미칠 수 있습니다.</v>
      </c>
      <c r="AL226" s="7" t="str">
        <f>IFERROR(__xludf.DUMMYFUNCTION("GoogleTranslate(C226, ""en"", ""lo"")"),"ໂອໂຊນໃນອາກາດທີ່ພວກເຮົາຫາຍໃຈສາມາດເປັນອັນຕະລາຍຕໍ່ສຸຂະພາບຂອງພວກເຮົາ, ໂດຍສະເພາະໃນມື້ທີ່ມີບ່ອນມີແດດຮ້ອນເມື່ອໂອໂຊນສາມາດບັນລຸລະດັບທີ່ບໍ່ດີຕໍ່ສຸຂະພາບ. ເຖິງແມ່ນວ່າລະດັບຂອງໂອໂຊນທີ່ຂ້ອນຂ້າງຕໍ່າກໍ່ສາມາດເຮັດໃຫ້ເກີດຜົນກະທົບດ້ານສຸຂະພາບ.")</f>
        <v>ໂອໂຊນໃນອາກາດທີ່ພວກເຮົາຫາຍໃຈສາມາດເປັນອັນຕະລາຍຕໍ່ສຸຂະພາບຂອງພວກເຮົາ, ໂດຍສະເພາະໃນມື້ທີ່ມີບ່ອນມີແດດຮ້ອນເມື່ອໂອໂຊນສາມາດບັນລຸລະດັບທີ່ບໍ່ດີຕໍ່ສຸຂະພາບ. ເຖິງແມ່ນວ່າລະດັບຂອງໂອໂຊນທີ່ຂ້ອນຂ້າງຕໍ່າກໍ່ສາມາດເຮັດໃຫ້ເກີດຜົນກະທົບດ້ານສຸຂະພາບ.</v>
      </c>
      <c r="AM226" s="7" t="str">
        <f>IFERROR(__xludf.DUMMYFUNCTION("GoogleTranslate(C226, ""en"", ""lv"")"),"Ozons gaisā, ko elpojam, var kaitēt mūsu veselībai, īpaši karstās saulainās dienās, kad ozons var sasniegt neveselīgu līmeni. Pat salīdzinoši zems ozona līmenis var radīt ietekmi uz veselību.")</f>
        <v>Ozons gaisā, ko elpojam, var kaitēt mūsu veselībai, īpaši karstās saulainās dienās, kad ozons var sasniegt neveselīgu līmeni. Pat salīdzinoši zems ozona līmenis var radīt ietekmi uz veselību.</v>
      </c>
      <c r="AN226" s="7" t="str">
        <f>IFERROR(__xludf.DUMMYFUNCTION("GoogleTranslate(C226, ""en"", ""lt"")"),"Ozonas ore, kuriuo kvėpuojame, gali pakenkti mūsų sveikatai, ypač karštomis saulėtomis dienomis, kai ozonas gali pasiekti nesveiką lygį. Netgi santykinai mažas ozono kiekis gali turėti įtakos sveikatai.")</f>
        <v>Ozonas ore, kuriuo kvėpuojame, gali pakenkti mūsų sveikatai, ypač karštomis saulėtomis dienomis, kai ozonas gali pasiekti nesveiką lygį. Netgi santykinai mažas ozono kiekis gali turėti įtakos sveikatai.</v>
      </c>
      <c r="AO226" s="7" t="str">
        <f>IFERROR(__xludf.DUMMYFUNCTION("GoogleTranslate(C226, ""en"", ""mk"")"),"Озонот во воздухот што го дишеме може да му наштети на нашето здравје, особено во топлите сончеви денови кога озонот може да достигне нездраво ниво. Дури и релативно ниското ниво на озон може да предизвика здравствени ефекти.")</f>
        <v>Озонот во воздухот што го дишеме може да му наштети на нашето здравје, особено во топлите сончеви денови кога озонот може да достигне нездраво ниво. Дури и релативно ниското ниво на озон може да предизвика здравствени ефекти.</v>
      </c>
      <c r="AP226" s="7" t="str">
        <f>IFERROR(__xludf.DUMMYFUNCTION("GoogleTranslate(C226, ""en"", ""ms"")"),"Ozon dalam udara yang kita sedut boleh memudaratkan kesihatan kita, terutamanya pada hari yang panas terik apabila ozon boleh mencapai tahap yang tidak sihat. Walaupun tahap ozon yang agak rendah boleh menyebabkan kesan kesihatan.")</f>
        <v>Ozon dalam udara yang kita sedut boleh memudaratkan kesihatan kita, terutamanya pada hari yang panas terik apabila ozon boleh mencapai tahap yang tidak sihat. Walaupun tahap ozon yang agak rendah boleh menyebabkan kesan kesihatan.</v>
      </c>
      <c r="AQ226" s="7" t="str">
        <f>IFERROR(__xludf.DUMMYFUNCTION("GoogleTranslate(C226, ""en"", ""ml"")"),"നാം ശ്വസിക്കുന്ന വായുവിലെ ഓസോൺ നമ്മുടെ ആരോഗ്യത്തെ ദോഷകരമായി ബാധിക്കും, പ്രത്യേകിച്ച് ചൂടുള്ള സണ്ണി ദിവസങ്ങളിൽ ഓസോൺ അനാരോഗ്യകരമായ അളവിൽ എത്തുമ്പോൾ. താരതമ്യേന കുറഞ്ഞ ഓസോണിൻ്റെ അളവ് പോലും ആരോഗ്യപരമായ പ്രത്യാഘാതങ്ങൾ ഉണ്ടാക്കും.")</f>
        <v>നാം ശ്വസിക്കുന്ന വായുവിലെ ഓസോൺ നമ്മുടെ ആരോഗ്യത്തെ ദോഷകരമായി ബാധിക്കും, പ്രത്യേകിച്ച് ചൂടുള്ള സണ്ണി ദിവസങ്ങളിൽ ഓസോൺ അനാരോഗ്യകരമായ അളവിൽ എത്തുമ്പോൾ. താരതമ്യേന കുറഞ്ഞ ഓസോണിൻ്റെ അളവ് പോലും ആരോഗ്യപരമായ പ്രത്യാഘാതങ്ങൾ ഉണ്ടാക്കും.</v>
      </c>
      <c r="AR226" s="7" t="str">
        <f>IFERROR(__xludf.DUMMYFUNCTION("GoogleTranslate(C226, ""en"", ""mr"")"),"आपण श्वास घेत असलेल्या हवेतील ओझोन आपल्या आरोग्यास हानी पोहोचवू शकतो, विशेषत: गरम उन्हाच्या दिवसात जेव्हा ओझोन अस्वास्थ्यकर पातळीपर्यंत पोहोचू शकतो. ओझोनची तुलनेने कमी पातळी देखील आरोग्यावर परिणाम करू शकते.")</f>
        <v>आपण श्वास घेत असलेल्या हवेतील ओझोन आपल्या आरोग्यास हानी पोहोचवू शकतो, विशेषत: गरम उन्हाच्या दिवसात जेव्हा ओझोन अस्वास्थ्यकर पातळीपर्यंत पोहोचू शकतो. ओझोनची तुलनेने कमी पातळी देखील आरोग्यावर परिणाम करू शकते.</v>
      </c>
      <c r="AS226" s="7" t="str">
        <f>IFERROR(__xludf.DUMMYFUNCTION("GoogleTranslate(C226, ""en"", ""mn"")"),"Бидний амьсгалж буй агаар дахь озон нь эрүүл мэндэд сөргөөр нөлөөлдөг, ялангуяа озон нь эрүүл бус түвшинд хүрэх боломжтой нарлаг халуун өдрүүдэд. Харьцангуй бага хэмжээний озоны түвшин ч эрүүл мэндэд сөрөг нөлөө үзүүлдэг.")</f>
        <v>Бидний амьсгалж буй агаар дахь озон нь эрүүл мэндэд сөргөөр нөлөөлдөг, ялангуяа озон нь эрүүл бус түвшинд хүрэх боломжтой нарлаг халуун өдрүүдэд. Харьцангуй бага хэмжээний озоны түвшин ч эрүүл мэндэд сөрөг нөлөө үзүүлдэг.</v>
      </c>
      <c r="AT226" s="7" t="str">
        <f>IFERROR(__xludf.DUMMYFUNCTION("GoogleTranslate(C226, ""en"", ""ne"")"),"हामीले सास फेर्ने हावामा ओजोनले हाम्रो स्वास्थ्यलाई हानि पुर्‍याउन सक्छ, विशेष गरी तातो घमाइलो दिनहरूमा जब ओजोन अस्वास्थ्यकर स्तरमा पुग्न सक्छ। ओजोनको तुलनात्मक रूपमा कम स्तरले पनि स्वास्थ्यमा असर पार्न सक्छ।")</f>
        <v>हामीले सास फेर्ने हावामा ओजोनले हाम्रो स्वास्थ्यलाई हानि पुर्‍याउन सक्छ, विशेष गरी तातो घमाइलो दिनहरूमा जब ओजोन अस्वास्थ्यकर स्तरमा पुग्न सक्छ। ओजोनको तुलनात्मक रूपमा कम स्तरले पनि स्वास्थ्यमा असर पार्न सक्छ।</v>
      </c>
      <c r="AU226" s="7" t="str">
        <f>IFERROR(__xludf.DUMMYFUNCTION("GoogleTranslate(C226, ""en"", ""nb"")"),"Ozon i luften vi puster inn kan skade helsen vår, spesielt på varme solfylte dager når ozon kan nå usunne nivåer. Selv relativt lave nivåer av ozon kan gi helseeffekter.")</f>
        <v>Ozon i luften vi puster inn kan skade helsen vår, spesielt på varme solfylte dager når ozon kan nå usunne nivåer. Selv relativt lave nivåer av ozon kan gi helseeffekter.</v>
      </c>
      <c r="AV226" s="7" t="str">
        <f>IFERROR(__xludf.DUMMYFUNCTION("GoogleTranslate(C226, ""en"", ""fa"")"),"ازن موجود در هوایی که تنفس می کنیم می تواند به سلامتی ما آسیب برساند، به خصوص در روزهای گرم آفتابی که ازن می تواند به سطوح ناسالم برسد. حتی سطوح نسبتاً پایین ازن می تواند اثراتی بر سلامتی داشته باشد.")</f>
        <v>ازن موجود در هوایی که تنفس می کنیم می تواند به سلامتی ما آسیب برساند، به خصوص در روزهای گرم آفتابی که ازن می تواند به سطوح ناسالم برسد. حتی سطوح نسبتاً پایین ازن می تواند اثراتی بر سلامتی داشته باشد.</v>
      </c>
      <c r="AW226" s="7" t="str">
        <f>IFERROR(__xludf.DUMMYFUNCTION("GoogleTranslate(C226, ""en"", ""pl"")"),"Ozon w powietrzu, którym oddychamy, może szkodzić naszemu zdrowiu, szczególnie w gorące, słoneczne dni, kiedy ozon może osiągnąć niezdrowe stężenie. Nawet stosunkowo niski poziom ozonu może powodować skutki zdrowotne.")</f>
        <v>Ozon w powietrzu, którym oddychamy, może szkodzić naszemu zdrowiu, szczególnie w gorące, słoneczne dni, kiedy ozon może osiągnąć niezdrowe stężenie. Nawet stosunkowo niski poziom ozonu może powodować skutki zdrowotne.</v>
      </c>
      <c r="AX226" s="7" t="str">
        <f>IFERROR(__xludf.DUMMYFUNCTION("GoogleTranslate(C226, ""en"", ""pt"")"),"O ozono no ar que respiramos pode prejudicar a nossa saúde, especialmente em dias quentes e ensolarados, quando o ozono pode atingir níveis prejudiciais à saúde. Mesmo níveis relativamente baixos de ozônio podem causar efeitos à saúde.")</f>
        <v>O ozono no ar que respiramos pode prejudicar a nossa saúde, especialmente em dias quentes e ensolarados, quando o ozono pode atingir níveis prejudiciais à saúde. Mesmo níveis relativamente baixos de ozônio podem causar efeitos à saúde.</v>
      </c>
      <c r="AY226" s="7" t="str">
        <f>IFERROR(__xludf.DUMMYFUNCTION("GoogleTranslate(C226, ""en"", ""ro"")"),"Ozonul din aerul pe care îl respirăm ne poate dăuna sănătății, mai ales în zilele calde și însorite, când ozonul poate atinge niveluri nesănătoase. Chiar și nivelurile relativ scăzute de ozon pot provoca efecte asupra sănătății.")</f>
        <v>Ozonul din aerul pe care îl respirăm ne poate dăuna sănătății, mai ales în zilele calde și însorite, când ozonul poate atinge niveluri nesănătoase. Chiar și nivelurile relativ scăzute de ozon pot provoca efecte asupra sănătății.</v>
      </c>
      <c r="AZ226" s="7" t="str">
        <f>IFERROR(__xludf.DUMMYFUNCTION("GoogleTranslate(C226, ""en"", ""ru"")"),"Озон в воздухе, которым мы дышим, может нанести вред нашему здоровью, особенно в жаркие солнечные дни, когда озон может достигать нездорового уровня. Даже относительно низкие уровни озона могут нанести вред здоровью.")</f>
        <v>Озон в воздухе, которым мы дышим, может нанести вред нашему здоровью, особенно в жаркие солнечные дни, когда озон может достигать нездорового уровня. Даже относительно низкие уровни озона могут нанести вред здоровью.</v>
      </c>
      <c r="BA226" s="7" t="str">
        <f>IFERROR(__xludf.DUMMYFUNCTION("GoogleTranslate(C226, ""en"", ""sr"")"),"Озон у ваздуху који удишемо може штетити нашем здрављу, посебно у врућим сунчаним данима када озон може достићи нездраве нивое. Чак и релативно низак ниво озона може изазвати здравствене последице.")</f>
        <v>Озон у ваздуху који удишемо може штетити нашем здрављу, посебно у врућим сунчаним данима када озон може достићи нездраве нивое. Чак и релативно низак ниво озона може изазвати здравствене последице.</v>
      </c>
      <c r="BB226" s="7" t="str">
        <f>IFERROR(__xludf.DUMMYFUNCTION("GoogleTranslate(C226, ""en"", ""si"")"),"අප ආශ්වාස කරන වාතයේ ඇති ඕසෝන් අපගේ සෞඛ්‍යයට හානි කළ හැකිය, විශේෂයෙන් උණුසුම් හිරු දිනවලදී ඕසෝන් සෞඛ්‍යයට අහිතකර මට්ටමට ළඟා විය හැකිය. සාපේක්ෂව අඩු ඕසෝන් මට්ටම් පවා සෞඛ්‍යයට බලපෑම් ඇති කළ හැකිය.")</f>
        <v>අප ආශ්වාස කරන වාතයේ ඇති ඕසෝන් අපගේ සෞඛ්‍යයට හානි කළ හැකිය, විශේෂයෙන් උණුසුම් හිරු දිනවලදී ඕසෝන් සෞඛ්‍යයට අහිතකර මට්ටමට ළඟා විය හැකිය. සාපේක්ෂව අඩු ඕසෝන් මට්ටම් පවා සෞඛ්‍යයට බලපෑම් ඇති කළ හැකිය.</v>
      </c>
      <c r="BC226" s="7" t="str">
        <f>IFERROR(__xludf.DUMMYFUNCTION("GoogleTranslate(C226, ""en"", ""sk"")"),"Ozón vo vzduchu, ktorý dýchame, môže poškodiť naše zdravie, najmä počas horúcich slnečných dní, kedy môže ozón dosiahnuť nezdravú úroveň. Dokonca aj relatívne nízke hladiny ozónu môžu spôsobiť zdravotné účinky.")</f>
        <v>Ozón vo vzduchu, ktorý dýchame, môže poškodiť naše zdravie, najmä počas horúcich slnečných dní, kedy môže ozón dosiahnuť nezdravú úroveň. Dokonca aj relatívne nízke hladiny ozónu môžu spôsobiť zdravotné účinky.</v>
      </c>
      <c r="BD226" s="7" t="str">
        <f>IFERROR(__xludf.DUMMYFUNCTION("GoogleTranslate(C226, ""en"", ""sl"")"),"Ozon v zraku, ki ga dihamo, lahko škoduje našemu zdravju, zlasti v vročih sončnih dneh, ko lahko ozon doseže nezdravo raven. Celo razmeroma nizke ravni ozona lahko povzročijo zdravstvene posledice.")</f>
        <v>Ozon v zraku, ki ga dihamo, lahko škoduje našemu zdravju, zlasti v vročih sončnih dneh, ko lahko ozon doseže nezdravo raven. Celo razmeroma nizke ravni ozona lahko povzročijo zdravstvene posledice.</v>
      </c>
      <c r="BE226" s="7" t="str">
        <f>IFERROR(__xludf.DUMMYFUNCTION("GoogleTranslate(C226, ""en"", ""es"")"),"El ozono en el aire que respiramos puede dañar nuestra salud, especialmente en los días calurosos y soleados, cuando el ozono puede alcanzar niveles nocivos para la salud. Incluso niveles relativamente bajos de ozono pueden tener efectos sobre la salud.")</f>
        <v>El ozono en el aire que respiramos puede dañar nuestra salud, especialmente en los días calurosos y soleados, cuando el ozono puede alcanzar niveles nocivos para la salud. Incluso niveles relativamente bajos de ozono pueden tener efectos sobre la salud.</v>
      </c>
      <c r="BF226" s="7" t="str">
        <f>IFERROR(__xludf.DUMMYFUNCTION("GoogleTranslate(C226, ""en"", ""sw"")"),"Ozoni katika hewa tunayopumua inaweza kudhuru afya zetu, hasa siku za jua kali wakati ozoni inaweza kufikia viwango visivyofaa. Hata viwango vya chini vya ozoni vinaweza kusababisha athari za kiafya.")</f>
        <v>Ozoni katika hewa tunayopumua inaweza kudhuru afya zetu, hasa siku za jua kali wakati ozoni inaweza kufikia viwango visivyofaa. Hata viwango vya chini vya ozoni vinaweza kusababisha athari za kiafya.</v>
      </c>
      <c r="BG226" s="7" t="str">
        <f>IFERROR(__xludf.DUMMYFUNCTION("GoogleTranslate(C226, ""en"", ""sv"")"),"Ozon i luften vi andas kan skada vår hälsa, särskilt under varma soliga dagar då ozon kan nå ohälsosamma nivåer. Även relativt låga halter av ozon kan orsaka hälsoeffekter.")</f>
        <v>Ozon i luften vi andas kan skada vår hälsa, särskilt under varma soliga dagar då ozon kan nå ohälsosamma nivåer. Även relativt låga halter av ozon kan orsaka hälsoeffekter.</v>
      </c>
      <c r="BH226" s="7" t="str">
        <f>IFERROR(__xludf.DUMMYFUNCTION("GoogleTranslate(C226, ""en"", ""te"")"),"మనం పీల్చే గాలిలోని ఓజోన్ మన ఆరోగ్యానికి హాని కలిగిస్తుంది, ముఖ్యంగా వేడిగా ఉండే ఎండ రోజుల్లో ఓజోన్ అనారోగ్య స్థాయికి చేరుకుంటుంది. సాపేక్షంగా తక్కువ స్థాయి ఓజోన్ కూడా ఆరోగ్య ప్రభావాలను కలిగిస్తుంది.")</f>
        <v>మనం పీల్చే గాలిలోని ఓజోన్ మన ఆరోగ్యానికి హాని కలిగిస్తుంది, ముఖ్యంగా వేడిగా ఉండే ఎండ రోజుల్లో ఓజోన్ అనారోగ్య స్థాయికి చేరుకుంటుంది. సాపేక్షంగా తక్కువ స్థాయి ఓజోన్ కూడా ఆరోగ్య ప్రభావాలను కలిగిస్తుంది.</v>
      </c>
      <c r="BI226" s="7" t="str">
        <f>IFERROR(__xludf.DUMMYFUNCTION("GoogleTranslate(C226, ""en"", ""th"")"),"โอโซนในอากาศที่เราหายใจเข้าไปอาจเป็นอันตรายต่อสุขภาพของเรา โดยเฉพาะอย่างยิ่งในวันที่อากาศร้อนจัด ซึ่งโอโซนอาจถึงระดับที่ไม่ดีต่อสุขภาพ แม้แต่โอโซนในระดับที่ค่อนข้างต่ำก็สามารถส่งผลเสียต่อสุขภาพได้")</f>
        <v>โอโซนในอากาศที่เราหายใจเข้าไปอาจเป็นอันตรายต่อสุขภาพของเรา โดยเฉพาะอย่างยิ่งในวันที่อากาศร้อนจัด ซึ่งโอโซนอาจถึงระดับที่ไม่ดีต่อสุขภาพ แม้แต่โอโซนในระดับที่ค่อนข้างต่ำก็สามารถส่งผลเสียต่อสุขภาพได้</v>
      </c>
      <c r="BJ226" s="7" t="str">
        <f>IFERROR(__xludf.DUMMYFUNCTION("GoogleTranslate(C226, ""en"", ""tr"")"),"Soluduğumuz havadaki ozon, özellikle ozonun sağlıksız seviyelere ulaşabildiği sıcak güneşli günlerde sağlığımıza zarar verebilmektedir. Nispeten düşük ozon seviyeleri bile sağlık açısından etkilere neden olabilir.")</f>
        <v>Soluduğumuz havadaki ozon, özellikle ozonun sağlıksız seviyelere ulaşabildiği sıcak güneşli günlerde sağlığımıza zarar verebilmektedir. Nispeten düşük ozon seviyeleri bile sağlık açısından etkilere neden olabilir.</v>
      </c>
      <c r="BK226" s="7" t="str">
        <f>IFERROR(__xludf.DUMMYFUNCTION("GoogleTranslate(C226, ""en"", ""uk"")"),"Озон у повітрі, яким ми дихаємо, може завдати шкоди нашому здоров’ю, особливо в спекотні сонячні дні, коли озон може досягати нездорового рівня. Навіть відносно низький рівень озону може мати наслідки для здоров'я.")</f>
        <v>Озон у повітрі, яким ми дихаємо, може завдати шкоди нашому здоров’ю, особливо в спекотні сонячні дні, коли озон може досягати нездорового рівня. Навіть відносно низький рівень озону може мати наслідки для здоров'я.</v>
      </c>
      <c r="BL226" s="7" t="str">
        <f>IFERROR(__xludf.DUMMYFUNCTION("GoogleTranslate(C226, ""en"", ""zu"")"),"I-ozone esemoyeni esiwuphefumulayo ingalimaza impilo yethu, ikakhulukazi ngezinsuku ezishisayo lapho i-ozone ingafinyelela amazinga angenampilo. Ngisho namazinga aphansi e-ozone angabangela imiphumela yezempilo.")</f>
        <v>I-ozone esemoyeni esiwuphefumulayo ingalimaza impilo yethu, ikakhulukazi ngezinsuku ezishisayo lapho i-ozone ingafinyelela amazinga angenampilo. Ngisho namazinga aphansi e-ozone angabangela imiphumela yezempilo.</v>
      </c>
    </row>
    <row r="227">
      <c r="A227" s="5" t="str">
        <f t="shared" si="1"/>
        <v>Sulfur_dioxide_irritates_the_skin_and_mucous_membranes_of_the_eyes,_nose,_throat,_and_lungs._High_concentrations_of_SO2_can_cause_inflammation_and_irritation_of_the_respiratory_system,_especially_during_heavy_physical_activity.</v>
      </c>
      <c r="B227" s="4" t="s">
        <v>270</v>
      </c>
      <c r="C227" s="4" t="s">
        <v>270</v>
      </c>
      <c r="D227" s="7" t="str">
        <f>IFERROR(__xludf.DUMMYFUNCTION("GoogleTranslate(C227, ""en"", ""es"")"),"El dióxido de azufre irrita la piel y las membranas mucosas de los ojos, la nariz, la garganta y los pulmones. Altas concentraciones de SO2 pueden provocar inflamación e irritación del sistema respiratorio, especialmente durante la actividad física intens"&amp;"a.")</f>
        <v>El dióxido de azufre irrita la piel y las membranas mucosas de los ojos, la nariz, la garganta y los pulmones. Altas concentraciones de SO2 pueden provocar inflamación e irritación del sistema respiratorio, especialmente durante la actividad física intensa.</v>
      </c>
      <c r="E227" s="7" t="str">
        <f>IFERROR(__xludf.DUMMYFUNCTION("GoogleTranslate(C227, ""en"", ""ar"")"),"يهيج ثاني أكسيد الكبريت الجلد والأغشية المخاطية للعينين والأنف والحنجرة والرئتين. يمكن أن تسبب التركيزات العالية من ثاني أكسيد الكبريت التهابًا وتهيجًا في الجهاز التنفسي، خاصة أثناء النشاط البدني المكثف.")</f>
        <v>يهيج ثاني أكسيد الكبريت الجلد والأغشية المخاطية للعينين والأنف والحنجرة والرئتين. يمكن أن تسبب التركيزات العالية من ثاني أكسيد الكبريت التهابًا وتهيجًا في الجهاز التنفسي، خاصة أثناء النشاط البدني المكثف.</v>
      </c>
      <c r="F227" s="7" t="str">
        <f>IFERROR(__xludf.DUMMYFUNCTION("GoogleTranslate(C227, ""en"", ""hy"")"),"Ծծմբի երկօքսիդը գրգռում է աչքերի, քթի, կոկորդի և թոքերի մաշկը և լորձաթաղանթները։ SO2-ի բարձր կոնցենտրացիաները կարող են առաջացնել շնչառական համակարգի բորբոքում և գրգռում, հատկապես ծանր ֆիզիկական ակտիվության ժամանակ:")</f>
        <v>Ծծմբի երկօքսիդը գրգռում է աչքերի, քթի, կոկորդի և թոքերի մաշկը և լորձաթաղանթները։ SO2-ի բարձր կոնցենտրացիաները կարող են առաջացնել շնչառական համակարգի բորբոքում և գրգռում, հատկապես ծանր ֆիզիկական ակտիվության ժամանակ:</v>
      </c>
      <c r="G227" s="7" t="str">
        <f>IFERROR(__xludf.DUMMYFUNCTION("GoogleTranslate(C227, ""en"", ""vi"")"),"Sulfur dioxide gây kích ứng da và màng nhầy của mắt, mũi, họng và phổi. Nồng độ SO2 cao có thể gây viêm và kích ứng hệ hô hấp, đặc biệt là khi hoạt động thể chất nặng.")</f>
        <v>Sulfur dioxide gây kích ứng da và màng nhầy của mắt, mũi, họng và phổi. Nồng độ SO2 cao có thể gây viêm và kích ứng hệ hô hấp, đặc biệt là khi hoạt động thể chất nặng.</v>
      </c>
      <c r="H227" s="7" t="str">
        <f>IFERROR(__xludf.DUMMYFUNCTION("GoogleTranslate(C227, ""en"", ""az"")"),"Kükürd dioksidi göz, burun, boğaz və ağciyərlərin dəri və selikli qişalarını qıcıqlandırır. SO2-nin yüksək konsentrasiyası xüsusilə ağır fiziki fəaliyyət zamanı tənəffüs sisteminin iltihabına və qıcıqlanmasına səbəb ola bilər.")</f>
        <v>Kükürd dioksidi göz, burun, boğaz və ağciyərlərin dəri və selikli qişalarını qıcıqlandırır. SO2-nin yüksək konsentrasiyası xüsusilə ağır fiziki fəaliyyət zamanı tənəffüs sisteminin iltihabına və qıcıqlanmasına səbəb ola bilər.</v>
      </c>
      <c r="I227" s="7" t="str">
        <f>IFERROR(__xludf.DUMMYFUNCTION("GoogleTranslate(C227, ""en"", ""eu"")"),"Sufre dioxidoak begi, sudurre, eztarri eta biriketako azala eta muki-mintzak narritatzen ditu. SO2 kontzentrazio handiek arnas aparatuaren hantura eta narritadura eragin ditzakete, batez ere jarduera fisiko astunetan.")</f>
        <v>Sufre dioxidoak begi, sudurre, eztarri eta biriketako azala eta muki-mintzak narritatzen ditu. SO2 kontzentrazio handiek arnas aparatuaren hantura eta narritadura eragin ditzakete, batez ere jarduera fisiko astunetan.</v>
      </c>
      <c r="J227" s="7" t="str">
        <f>IFERROR(__xludf.DUMMYFUNCTION("GoogleTranslate(C227, ""en"", ""be"")"),"Дыяксід серы раздражняе скуру і слізістыя абалонкі вачэй, носа, горла і лёгкіх. Высокія канцэнтрацыі SO2 могуць выклікаць запаленне і раздражненне дыхальнай сістэмы, асабліва падчас цяжкіх фізічных нагрузак.")</f>
        <v>Дыяксід серы раздражняе скуру і слізістыя абалонкі вачэй, носа, горла і лёгкіх. Высокія канцэнтрацыі SO2 могуць выклікаць запаленне і раздражненне дыхальнай сістэмы, асабліва падчас цяжкіх фізічных нагрузак.</v>
      </c>
      <c r="K227" s="7" t="str">
        <f>IFERROR(__xludf.DUMMYFUNCTION("GoogleTranslate(C227, ""en"", ""bn"")"),"সালফার ডাই অক্সাইড ত্বক এবং চোখ, নাক, গলা এবং ফুসফুসের শ্লেষ্মা ঝিল্লিকে জ্বালাতন করে। SO2 এর উচ্চ ঘনত্ব শ্বাসযন্ত্রের প্রদাহ এবং জ্বালা সৃষ্টি করতে পারে, বিশেষ করে ভারী শারীরিক কার্যকলাপের সময়।")</f>
        <v>সালফার ডাই অক্সাইড ত্বক এবং চোখ, নাক, গলা এবং ফুসফুসের শ্লেষ্মা ঝিল্লিকে জ্বালাতন করে। SO2 এর উচ্চ ঘনত্ব শ্বাসযন্ত্রের প্রদাহ এবং জ্বালা সৃষ্টি করতে পারে, বিশেষ করে ভারী শারীরিক কার্যকলাপের সময়।</v>
      </c>
      <c r="L227" s="7" t="str">
        <f>IFERROR(__xludf.DUMMYFUNCTION("GoogleTranslate(C227, ""en"", ""bg"")"),"Серният диоксид дразни кожата и лигавиците на очите, носа, гърлото и белите дробове. Високите концентрации на SO2 могат да причинят възпаление и дразнене на дихателната система, особено при тежка физическа активност.")</f>
        <v>Серният диоксид дразни кожата и лигавиците на очите, носа, гърлото и белите дробове. Високите концентрации на SO2 могат да причинят възпаление и дразнене на дихателната система, особено при тежка физическа активност.</v>
      </c>
      <c r="M227" s="7" t="str">
        <f>IFERROR(__xludf.DUMMYFUNCTION("GoogleTranslate(C227, ""en"", ""my"")"),"ဆာလဖာဒိုင်အောက်ဆိုဒ်သည် မျက်လုံး၊ နှာခေါင်း၊ လည်ချောင်းနှင့် အဆုတ်များ၏ အရေပြားနှင့် အကျိအချွဲအမြှေးပါးများကို ယားယံစေသည်။ SO2 မြင့်မားစွာပါဝင်မှုသည် အထူးသဖြင့် ပြင်းထန်သော ကိုယ်လက်လှုပ်ရှားမှုများအတွင်း အသက်ရှူလမ်းကြောင်းစနစ်ကို ရောင်ရမ်းခြင်းနှင့် ယားယံ"&amp;"စေနိုင်သည်။")</f>
        <v>ဆာလဖာဒိုင်အောက်ဆိုဒ်သည် မျက်လုံး၊ နှာခေါင်း၊ လည်ချောင်းနှင့် အဆုတ်များ၏ အရေပြားနှင့် အကျိအချွဲအမြှေးပါးများကို ယားယံစေသည်။ SO2 မြင့်မားစွာပါဝင်မှုသည် အထူးသဖြင့် ပြင်းထန်သော ကိုယ်လက်လှုပ်ရှားမှုများအတွင်း အသက်ရှူလမ်းကြောင်းစနစ်ကို ရောင်ရမ်းခြင်းနှင့် ယားယံစေနိုင်သည်။</v>
      </c>
      <c r="N227" s="7" t="str">
        <f>IFERROR(__xludf.DUMMYFUNCTION("GoogleTranslate(C227, ""en"", ""ca"")"),"El diòxid de sofre irrita la pell i les mucoses dels ulls, el nas, la gola i els pulmons. Les altes concentracions de SO2 poden causar inflamació i irritació del sistema respiratori, especialment durant l'activitat física intensa.")</f>
        <v>El diòxid de sofre irrita la pell i les mucoses dels ulls, el nas, la gola i els pulmons. Les altes concentracions de SO2 poden causar inflamació i irritació del sistema respiratori, especialment durant l'activitat física intensa.</v>
      </c>
      <c r="O227" s="7" t="str">
        <f>IFERROR(__xludf.DUMMYFUNCTION("GoogleTranslate(C227, ""en"", ""zh-cn"")"),"二氧化硫会刺激眼睛、鼻子、喉咙和肺部的皮肤和粘膜。高浓度的 SO2 会引起呼吸系统炎症和刺激，尤其是在剧烈的体力活动期间。")</f>
        <v>二氧化硫会刺激眼睛、鼻子、喉咙和肺部的皮肤和粘膜。高浓度的 SO2 会引起呼吸系统炎症和刺激，尤其是在剧烈的体力活动期间。</v>
      </c>
      <c r="P227" s="7" t="str">
        <f>IFERROR(__xludf.DUMMYFUNCTION("GoogleTranslate(C227, ""en"", ""zh-TW"")"),"二氧化硫會刺激眼睛、鼻子、喉嚨和肺部的皮膚和黏膜。高濃度的 SO2 會引起呼吸系統發炎和刺激，尤其是在劇烈的體力活動期間。")</f>
        <v>二氧化硫會刺激眼睛、鼻子、喉嚨和肺部的皮膚和黏膜。高濃度的 SO2 會引起呼吸系統發炎和刺激，尤其是在劇烈的體力活動期間。</v>
      </c>
      <c r="Q227" s="7" t="str">
        <f>IFERROR(__xludf.DUMMYFUNCTION("GoogleTranslate(C227, ""en"", ""hr"")"),"Sumporni dioksid nadražuje kožu i sluznicu očiju, nosa, grla i pluća. Visoke koncentracije SO2 mogu uzrokovati upalu i iritaciju dišnog sustava, osobito tijekom teške tjelesne aktivnosti.")</f>
        <v>Sumporni dioksid nadražuje kožu i sluznicu očiju, nosa, grla i pluća. Visoke koncentracije SO2 mogu uzrokovati upalu i iritaciju dišnog sustava, osobito tijekom teške tjelesne aktivnosti.</v>
      </c>
      <c r="R227" s="7" t="str">
        <f>IFERROR(__xludf.DUMMYFUNCTION("GoogleTranslate(C227, ""en"", ""cs"")"),"Oxid siřičitý dráždí kůži a sliznice očí, nosu, krku a plic. Vysoké koncentrace SO2 mohou způsobit záněty a podráždění dýchacího systému, zejména při těžké fyzické zátěži.")</f>
        <v>Oxid siřičitý dráždí kůži a sliznice očí, nosu, krku a plic. Vysoké koncentrace SO2 mohou způsobit záněty a podráždění dýchacího systému, zejména při těžké fyzické zátěži.</v>
      </c>
      <c r="S227" s="7" t="str">
        <f>IFERROR(__xludf.DUMMYFUNCTION("GoogleTranslate(C227, ""en"", ""da"")"),"Svovldioxid irriterer huden og slimhinderne i øjne, næse, svælg og lunger. Høje koncentrationer af SO2 kan forårsage betændelse og irritation af luftvejene, især ved hård fysisk aktivitet.")</f>
        <v>Svovldioxid irriterer huden og slimhinderne i øjne, næse, svælg og lunger. Høje koncentrationer af SO2 kan forårsage betændelse og irritation af luftvejene, især ved hård fysisk aktivitet.</v>
      </c>
      <c r="T227" s="7" t="str">
        <f>IFERROR(__xludf.DUMMYFUNCTION("GoogleTranslate(C227, ""en"", ""nl"")"),"Zwaveldioxide irriteert de huid en slijmvliezen van de ogen, neus, keel en longen. Hoge concentraties SO2 kunnen ontstekingen en irritatie van de luchtwegen veroorzaken, vooral tijdens zware lichamelijke activiteit.")</f>
        <v>Zwaveldioxide irriteert de huid en slijmvliezen van de ogen, neus, keel en longen. Hoge concentraties SO2 kunnen ontstekingen en irritatie van de luchtwegen veroorzaken, vooral tijdens zware lichamelijke activiteit.</v>
      </c>
      <c r="U227" s="7" t="str">
        <f>IFERROR(__xludf.DUMMYFUNCTION("GoogleTranslate(C227, ""en"", ""et"")"),"Vääveldioksiid ärritab nahka ja silmade, nina, kurgu ja kopsude limaskesti. SO2 kõrge kontsentratsioon võib põhjustada hingamisteede põletikku ja ärritust, eriti raske füüsilise koormuse korral.")</f>
        <v>Vääveldioksiid ärritab nahka ja silmade, nina, kurgu ja kopsude limaskesti. SO2 kõrge kontsentratsioon võib põhjustada hingamisteede põletikku ja ärritust, eriti raske füüsilise koormuse korral.</v>
      </c>
      <c r="V227" s="5" t="str">
        <f t="shared" si="3"/>
        <v>Sulfur dioxide irritates the skin and mucous membranes of the eyes, nose, throat, and lungs. High concentrations of SO2 can cause inflammation and irritation of the respiratory system, especially during heavy physical activity.</v>
      </c>
      <c r="W227" s="7" t="str">
        <f>IFERROR(__xludf.DUMMYFUNCTION("GoogleTranslate(C227, ""en"", ""fi"")"),"Rikkidioksidi ärsyttää ihoa ja silmien, nenän, kurkun ja keuhkojen limakalvoja. Suuret SO2-pitoisuudet voivat aiheuttaa hengitysteiden tulehdusta ja ärsytystä erityisesti raskaan fyysisen rasituksen aikana.")</f>
        <v>Rikkidioksidi ärsyttää ihoa ja silmien, nenän, kurkun ja keuhkojen limakalvoja. Suuret SO2-pitoisuudet voivat aiheuttaa hengitysteiden tulehdusta ja ärsytystä erityisesti raskaan fyysisen rasituksen aikana.</v>
      </c>
      <c r="X227" s="7" t="str">
        <f>IFERROR(__xludf.DUMMYFUNCTION("GoogleTranslate(C227, ""en"", ""fr"")"),"Le dioxyde de soufre irrite la peau et les muqueuses des yeux, du nez, de la gorge et des poumons. Des concentrations élevées de SO2 peuvent provoquer une inflammation et une irritation du système respiratoire, notamment lors d'une activité physique inten"&amp;"se.")</f>
        <v>Le dioxyde de soufre irrite la peau et les muqueuses des yeux, du nez, de la gorge et des poumons. Des concentrations élevées de SO2 peuvent provoquer une inflammation et une irritation du système respiratoire, notamment lors d'une activité physique intense.</v>
      </c>
      <c r="Y227" s="7" t="str">
        <f>IFERROR(__xludf.DUMMYFUNCTION("GoogleTranslate(C227, ""en"", ""de"")"),"Schwefeldioxid reizt die Haut und Schleimhäute von Augen, Nase, Rachen und Lunge. Hohe SO2-Konzentrationen können insbesondere bei starker körperlicher Aktivität Entzündungen und Reizungen der Atemwege verursachen.")</f>
        <v>Schwefeldioxid reizt die Haut und Schleimhäute von Augen, Nase, Rachen und Lunge. Hohe SO2-Konzentrationen können insbesondere bei starker körperlicher Aktivität Entzündungen und Reizungen der Atemwege verursachen.</v>
      </c>
      <c r="Z227" s="7" t="str">
        <f>IFERROR(__xludf.DUMMYFUNCTION("GoogleTranslate(C227, ""en"", ""el"")"),"Το διοξείδιο του θείου ερεθίζει το δέρμα και τους βλεννογόνους των ματιών, της μύτης, του λαιμού και των πνευμόνων. Υψηλές συγκεντρώσεις SO2 μπορεί να προκαλέσουν φλεγμονή και ερεθισμό του αναπνευστικού συστήματος, ειδικά κατά τη διάρκεια έντονης σωματική"&amp;"ς δραστηριότητας.")</f>
        <v>Το διοξείδιο του θείου ερεθίζει το δέρμα και τους βλεννογόνους των ματιών, της μύτης, του λαιμού και των πνευμόνων. Υψηλές συγκεντρώσεις SO2 μπορεί να προκαλέσουν φλεγμονή και ερεθισμό του αναπνευστικού συστήματος, ειδικά κατά τη διάρκεια έντονης σωματικής δραστηριότητας.</v>
      </c>
      <c r="AA227" s="7" t="str">
        <f>IFERROR(__xludf.DUMMYFUNCTION("GoogleTranslate(C227, ""en"", ""iw"")"),"גופרית דו חמצנית מגרה את העור ואת הריריות של העיניים, האף, הגרון והריאות. ריכוז גבוה של SO2 עלול לגרום לדלקת וגירוי של מערכת הנשימה, במיוחד בזמן פעילות גופנית כבדה.")</f>
        <v>גופרית דו חמצנית מגרה את העור ואת הריריות של העיניים, האף, הגרון והריאות. ריכוז גבוה של SO2 עלול לגרום לדלקת וגירוי של מערכת הנשימה, במיוחד בזמן פעילות גופנית כבדה.</v>
      </c>
      <c r="AB227" s="7" t="str">
        <f>IFERROR(__xludf.DUMMYFUNCTION("GoogleTranslate(C227, ""en"", ""hi"")"),"सल्फर डाइऑक्साइड आंखों, नाक, गले और फेफड़ों की त्वचा और श्लेष्मा झिल्ली को परेशान करता है। SO2 की उच्च सांद्रता श्वसन प्रणाली में सूजन और जलन पैदा कर सकती है, खासकर भारी शारीरिक गतिविधि के दौरान।")</f>
        <v>सल्फर डाइऑक्साइड आंखों, नाक, गले और फेफड़ों की त्वचा और श्लेष्मा झिल्ली को परेशान करता है। SO2 की उच्च सांद्रता श्वसन प्रणाली में सूजन और जलन पैदा कर सकती है, खासकर भारी शारीरिक गतिविधि के दौरान।</v>
      </c>
      <c r="AC227" s="7" t="str">
        <f>IFERROR(__xludf.DUMMYFUNCTION("GoogleTranslate(C227, ""en"", ""hu"")"),"A kén-dioxid irritálja a bőrt és a szem, az orr, a torok és a tüdő nyálkahártyáját. A magas koncentrációjú SO2 gyulladást és irritációt okozhat a légzőrendszerben, különösen nehéz fizikai aktivitás során.")</f>
        <v>A kén-dioxid irritálja a bőrt és a szem, az orr, a torok és a tüdő nyálkahártyáját. A magas koncentrációjú SO2 gyulladást és irritációt okozhat a légzőrendszerben, különösen nehéz fizikai aktivitás során.</v>
      </c>
      <c r="AD227" s="7" t="str">
        <f>IFERROR(__xludf.DUMMYFUNCTION("GoogleTranslate(C227, ""en"", ""is"")"),"Brennisteinsdíoxíð ertir húð og slímhúð í augum, nefi, hálsi og lungum. Mikill styrkur SO2 getur valdið bólgu og ertingu í öndunarfærum, sérstaklega við mikla líkamlega áreynslu.")</f>
        <v>Brennisteinsdíoxíð ertir húð og slímhúð í augum, nefi, hálsi og lungum. Mikill styrkur SO2 getur valdið bólgu og ertingu í öndunarfærum, sérstaklega við mikla líkamlega áreynslu.</v>
      </c>
      <c r="AE227" s="7" t="str">
        <f>IFERROR(__xludf.DUMMYFUNCTION("GoogleTranslate(C227, ""en"", ""id"")"),"Sulfur dioksida mengiritasi kulit dan selaput lendir mata, hidung, tenggorokan, dan paru-paru. Konsentrasi SO2 yang tinggi dapat menyebabkan peradangan dan iritasi pada sistem pernapasan, terutama saat melakukan aktivitas fisik berat.")</f>
        <v>Sulfur dioksida mengiritasi kulit dan selaput lendir mata, hidung, tenggorokan, dan paru-paru. Konsentrasi SO2 yang tinggi dapat menyebabkan peradangan dan iritasi pada sistem pernapasan, terutama saat melakukan aktivitas fisik berat.</v>
      </c>
      <c r="AF227" s="7" t="str">
        <f>IFERROR(__xludf.DUMMYFUNCTION("GoogleTranslate(C227, ""en"", ""in"")"),"Sulfur dioksida mengiritasi kulit dan selaput lendir mata, hidung, tenggorokan, dan paru-paru. Konsentrasi SO2 yang tinggi dapat menyebabkan peradangan dan iritasi pada sistem pernapasan, terutama saat melakukan aktivitas fisik berat.")</f>
        <v>Sulfur dioksida mengiritasi kulit dan selaput lendir mata, hidung, tenggorokan, dan paru-paru. Konsentrasi SO2 yang tinggi dapat menyebabkan peradangan dan iritasi pada sistem pernapasan, terutama saat melakukan aktivitas fisik berat.</v>
      </c>
      <c r="AG227" s="7" t="str">
        <f>IFERROR(__xludf.DUMMYFUNCTION("GoogleTranslate(C227, ""en"", ""it"")"),"L'anidride solforosa irrita la pelle e le mucose degli occhi, del naso, della gola e dei polmoni. Elevate concentrazioni di SO2 possono causare infiammazioni e irritazioni al sistema respiratorio, soprattutto durante l'attività fisica intensa.")</f>
        <v>L'anidride solforosa irrita la pelle e le mucose degli occhi, del naso, della gola e dei polmoni. Elevate concentrazioni di SO2 possono causare infiammazioni e irritazioni al sistema respiratorio, soprattutto durante l'attività fisica intensa.</v>
      </c>
      <c r="AH227" s="7" t="str">
        <f>IFERROR(__xludf.DUMMYFUNCTION("GoogleTranslate(C227, ""en"", ""ja"")"),"二酸化硫黄は、皮膚や目、鼻、喉、肺の粘膜を刺激します。高濃度の SO2 は、特に激しい身体活動中に、呼吸器系の炎症や刺激を引き起こす可能性があります。")</f>
        <v>二酸化硫黄は、皮膚や目、鼻、喉、肺の粘膜を刺激します。高濃度の SO2 は、特に激しい身体活動中に、呼吸器系の炎症や刺激を引き起こす可能性があります。</v>
      </c>
      <c r="AI227" s="7" t="str">
        <f>IFERROR(__xludf.DUMMYFUNCTION("GoogleTranslate(C227, ""en"", ""kn"")"),"ಸಲ್ಫರ್ ಡೈಆಕ್ಸೈಡ್ ಕಣ್ಣುಗಳು, ಮೂಗು, ಗಂಟಲು ಮತ್ತು ಶ್ವಾಸಕೋಶದ ಚರ್ಮ ಮತ್ತು ಲೋಳೆಯ ಪೊರೆಗಳನ್ನು ಕೆರಳಿಸುತ್ತದೆ. SO2 ನ ಹೆಚ್ಚಿನ ಸಾಂದ್ರತೆಯು ಉಸಿರಾಟದ ವ್ಯವಸ್ಥೆಯ ಉರಿಯೂತ ಮತ್ತು ಕಿರಿಕಿರಿಯನ್ನು ಉಂಟುಮಾಡಬಹುದು, ವಿಶೇಷವಾಗಿ ಭಾರೀ ದೈಹಿಕ ಚಟುವಟಿಕೆಯ ಸಮಯದಲ್ಲಿ.")</f>
        <v>ಸಲ್ಫರ್ ಡೈಆಕ್ಸೈಡ್ ಕಣ್ಣುಗಳು, ಮೂಗು, ಗಂಟಲು ಮತ್ತು ಶ್ವಾಸಕೋಶದ ಚರ್ಮ ಮತ್ತು ಲೋಳೆಯ ಪೊರೆಗಳನ್ನು ಕೆರಳಿಸುತ್ತದೆ. SO2 ನ ಹೆಚ್ಚಿನ ಸಾಂದ್ರತೆಯು ಉಸಿರಾಟದ ವ್ಯವಸ್ಥೆಯ ಉರಿಯೂತ ಮತ್ತು ಕಿರಿಕಿರಿಯನ್ನು ಉಂಟುಮಾಡಬಹುದು, ವಿಶೇಷವಾಗಿ ಭಾರೀ ದೈಹಿಕ ಚಟುವಟಿಕೆಯ ಸಮಯದಲ್ಲಿ.</v>
      </c>
      <c r="AJ227" s="7" t="str">
        <f>IFERROR(__xludf.DUMMYFUNCTION("GoogleTranslate(C227, ""en"", ""km"")"),"ស្ពាន់ធ័រឌីអុកស៊ីតធ្វើឱ្យរលាកស្បែក និងភ្នាសរំអិលនៃភ្នែក ច្រមុះ បំពង់ក និងសួត។ កំហាប់ខ្ពស់នៃ SO2 អាចបណ្តាលឱ្យរលាក និងរលាកប្រព័ន្ធផ្លូវដង្ហើម ជាពិសេសអំឡុងពេលហាត់ប្រាណខ្លាំង។")</f>
        <v>ស្ពាន់ធ័រឌីអុកស៊ីតធ្វើឱ្យរលាកស្បែក និងភ្នាសរំអិលនៃភ្នែក ច្រមុះ បំពង់ក និងសួត។ កំហាប់ខ្ពស់នៃ SO2 អាចបណ្តាលឱ្យរលាក និងរលាកប្រព័ន្ធផ្លូវដង្ហើម ជាពិសេសអំឡុងពេលហាត់ប្រាណខ្លាំង។</v>
      </c>
      <c r="AK227" s="7" t="str">
        <f>IFERROR(__xludf.DUMMYFUNCTION("GoogleTranslate(C227, ""en"", ""ko"")"),"이산화황은 피부와 눈, 코, 목, 폐의 점막을 자극합니다. 고농도의 SO2는 특히 과도한 신체 활동 중에 호흡기계에 염증과 자극을 유발할 수 있습니다.")</f>
        <v>이산화황은 피부와 눈, 코, 목, 폐의 점막을 자극합니다. 고농도의 SO2는 특히 과도한 신체 활동 중에 호흡기계에 염증과 자극을 유발할 수 있습니다.</v>
      </c>
      <c r="AL227" s="7" t="str">
        <f>IFERROR(__xludf.DUMMYFUNCTION("GoogleTranslate(C227, ""en"", ""lo"")"),"sulfur dioxide ເຮັດໃຫ້ເກີດການລະຄາຍເຄືອງຕໍ່ຜິວຫນັງແລະເຍື່ອເມືອກຂອງຕາ, ດັງ, ຄໍ, ແລະປອດ. ຄວາມເຂັ້ມຂຸ້ນສູງຂອງ SO2 ສາມາດເຮັດໃຫ້ເກີດການອັກເສບແລະການລະຄາຍເຄືອງຂອງລະບົບຫາຍໃຈ, ໂດຍສະເພາະໃນເວລາອອກກໍາລັງກາຍຢ່າງຮຸນແຮງ.")</f>
        <v>sulfur dioxide ເຮັດໃຫ້ເກີດການລະຄາຍເຄືອງຕໍ່ຜິວຫນັງແລະເຍື່ອເມືອກຂອງຕາ, ດັງ, ຄໍ, ແລະປອດ. ຄວາມເຂັ້ມຂຸ້ນສູງຂອງ SO2 ສາມາດເຮັດໃຫ້ເກີດການອັກເສບແລະການລະຄາຍເຄືອງຂອງລະບົບຫາຍໃຈ, ໂດຍສະເພາະໃນເວລາອອກກໍາລັງກາຍຢ່າງຮຸນແຮງ.</v>
      </c>
      <c r="AM227" s="7" t="str">
        <f>IFERROR(__xludf.DUMMYFUNCTION("GoogleTranslate(C227, ""en"", ""lv"")"),"Sēra dioksīds kairina ādu un acu, deguna, rīkles un plaušu gļotādas. Augsta SO2 koncentrācija var izraisīt elpošanas sistēmas iekaisumu un kairinājumu, īpaši smagas fiziskās slodzes laikā.")</f>
        <v>Sēra dioksīds kairina ādu un acu, deguna, rīkles un plaušu gļotādas. Augsta SO2 koncentrācija var izraisīt elpošanas sistēmas iekaisumu un kairinājumu, īpaši smagas fiziskās slodzes laikā.</v>
      </c>
      <c r="AN227" s="7" t="str">
        <f>IFERROR(__xludf.DUMMYFUNCTION("GoogleTranslate(C227, ""en"", ""lt"")"),"Sieros dioksidas dirgina odą ir akių, nosies, gerklės ir plaučių gleivines. Didelės SO2 koncentracijos gali sukelti kvėpavimo sistemos uždegimą ir dirginimą, ypač esant sunkiam fiziniam krūviui.")</f>
        <v>Sieros dioksidas dirgina odą ir akių, nosies, gerklės ir plaučių gleivines. Didelės SO2 koncentracijos gali sukelti kvėpavimo sistemos uždegimą ir dirginimą, ypač esant sunkiam fiziniam krūviui.</v>
      </c>
      <c r="AO227" s="7" t="str">
        <f>IFERROR(__xludf.DUMMYFUNCTION("GoogleTranslate(C227, ""en"", ""mk"")"),"Сулфур диоксидот ја иритира кожата и мукозните мембрани на очите, носот, грлото и белите дробови. Високите концентрации на SO2 може да предизвикаат воспаление и иритација на респираторниот систем, особено при тешка физичка активност.")</f>
        <v>Сулфур диоксидот ја иритира кожата и мукозните мембрани на очите, носот, грлото и белите дробови. Високите концентрации на SO2 може да предизвикаат воспаление и иритација на респираторниот систем, особено при тешка физичка активност.</v>
      </c>
      <c r="AP227" s="7" t="str">
        <f>IFERROR(__xludf.DUMMYFUNCTION("GoogleTranslate(C227, ""en"", ""ms"")"),"Sulfur dioksida merengsakan kulit dan membran mukus mata, hidung, tekak, dan paru-paru. Kepekatan SO2 yang tinggi boleh menyebabkan keradangan dan kerengsaan sistem pernafasan, terutamanya semasa aktiviti fizikal yang berat.")</f>
        <v>Sulfur dioksida merengsakan kulit dan membran mukus mata, hidung, tekak, dan paru-paru. Kepekatan SO2 yang tinggi boleh menyebabkan keradangan dan kerengsaan sistem pernafasan, terutamanya semasa aktiviti fizikal yang berat.</v>
      </c>
      <c r="AQ227" s="7" t="str">
        <f>IFERROR(__xludf.DUMMYFUNCTION("GoogleTranslate(C227, ""en"", ""ml"")"),"സൾഫർ ഡയോക്സൈഡ് കണ്ണുകൾ, മൂക്ക്, തൊണ്ട, ശ്വാസകോശം എന്നിവയുടെ ചർമ്മത്തെയും കഫം ചർമ്മത്തെയും പ്രകോപിപ്പിക്കുന്നു. SO2 ൻ്റെ ഉയർന്ന സാന്ദ്രത ശ്വസനവ്യവസ്ഥയുടെ വീക്കം, പ്രകോപനം എന്നിവയ്ക്ക് കാരണമാകും, പ്രത്യേകിച്ച് കനത്ത ശാരീരിക പ്രവർത്തനങ്ങളിൽ.")</f>
        <v>സൾഫർ ഡയോക്സൈഡ് കണ്ണുകൾ, മൂക്ക്, തൊണ്ട, ശ്വാസകോശം എന്നിവയുടെ ചർമ്മത്തെയും കഫം ചർമ്മത്തെയും പ്രകോപിപ്പിക്കുന്നു. SO2 ൻ്റെ ഉയർന്ന സാന്ദ്രത ശ്വസനവ്യവസ്ഥയുടെ വീക്കം, പ്രകോപനം എന്നിവയ്ക്ക് കാരണമാകും, പ്രത്യേകിച്ച് കനത്ത ശാരീരിക പ്രവർത്തനങ്ങളിൽ.</v>
      </c>
      <c r="AR227" s="7" t="str">
        <f>IFERROR(__xludf.DUMMYFUNCTION("GoogleTranslate(C227, ""en"", ""mr"")"),"सल्फर डायऑक्साइड त्वचा आणि डोळे, नाक, घसा आणि फुफ्फुसांच्या श्लेष्मल त्वचेला त्रास देते. SO2 ची उच्च सांद्रता श्वसन प्रणालीची जळजळ आणि चिडचिड होऊ शकते, विशेषत: जड शारीरिक हालचालींदरम्यान.")</f>
        <v>सल्फर डायऑक्साइड त्वचा आणि डोळे, नाक, घसा आणि फुफ्फुसांच्या श्लेष्मल त्वचेला त्रास देते. SO2 ची उच्च सांद्रता श्वसन प्रणालीची जळजळ आणि चिडचिड होऊ शकते, विशेषत: जड शारीरिक हालचालींदरम्यान.</v>
      </c>
      <c r="AS227" s="7" t="str">
        <f>IFERROR(__xludf.DUMMYFUNCTION("GoogleTranslate(C227, ""en"", ""mn"")"),"Хүхрийн давхар исэл нь нүд, хамар, хоолой, уушигны арьс, салст бүрхэвчийг цочроодог. SO2-ийн өндөр концентраци нь амьсгалын тогтолцооны үрэвсэл, цочролыг үүсгэдэг, ялангуяа хүнд дасгалын үед.")</f>
        <v>Хүхрийн давхар исэл нь нүд, хамар, хоолой, уушигны арьс, салст бүрхэвчийг цочроодог. SO2-ийн өндөр концентраци нь амьсгалын тогтолцооны үрэвсэл, цочролыг үүсгэдэг, ялангуяа хүнд дасгалын үед.</v>
      </c>
      <c r="AT227" s="7" t="str">
        <f>IFERROR(__xludf.DUMMYFUNCTION("GoogleTranslate(C227, ""en"", ""ne"")"),"सल्फर डाइअक्साइडले छाला र आँखा, नाक, घाँटी र फोक्सोको श्लेष्म झिल्लीलाई जलाउँछ। SO2 को उच्च सांद्रताले श्वासप्रश्वास प्रणालीको सूजन र जलन निम्त्याउन सक्छ, विशेष गरी भारी शारीरिक गतिविधिको समयमा।")</f>
        <v>सल्फर डाइअक्साइडले छाला र आँखा, नाक, घाँटी र फोक्सोको श्लेष्म झिल्लीलाई जलाउँछ। SO2 को उच्च सांद्रताले श्वासप्रश्वास प्रणालीको सूजन र जलन निम्त्याउन सक्छ, विशेष गरी भारी शारीरिक गतिविधिको समयमा।</v>
      </c>
      <c r="AU227" s="7" t="str">
        <f>IFERROR(__xludf.DUMMYFUNCTION("GoogleTranslate(C227, ""en"", ""nb"")"),"Svoveldioksid irriterer huden og slimhinnene i øyne, nese, svelg og lunger. Høye konsentrasjoner av SO2 kan forårsake betennelse og irritasjon i luftveiene, spesielt ved tung fysisk aktivitet.")</f>
        <v>Svoveldioksid irriterer huden og slimhinnene i øyne, nese, svelg og lunger. Høye konsentrasjoner av SO2 kan forårsake betennelse og irritasjon i luftveiene, spesielt ved tung fysisk aktivitet.</v>
      </c>
      <c r="AV227" s="7" t="str">
        <f>IFERROR(__xludf.DUMMYFUNCTION("GoogleTranslate(C227, ""en"", ""fa"")"),"دی اکسید گوگرد پوست و غشاهای مخاطی چشم، بینی، گلو و ریه ها را تحریک می کند. غلظت بالای SO2 می تواند باعث التهاب و تحریک سیستم تنفسی به خصوص در هنگام فعالیت بدنی سنگین شود.")</f>
        <v>دی اکسید گوگرد پوست و غشاهای مخاطی چشم، بینی، گلو و ریه ها را تحریک می کند. غلظت بالای SO2 می تواند باعث التهاب و تحریک سیستم تنفسی به خصوص در هنگام فعالیت بدنی سنگین شود.</v>
      </c>
      <c r="AW227" s="7" t="str">
        <f>IFERROR(__xludf.DUMMYFUNCTION("GoogleTranslate(C227, ""en"", ""pl"")"),"Dwutlenek siarki podrażnia skórę i błony śluzowe oczu, nosa, gardła i płuc. Wysokie stężenia SO2 mogą powodować stany zapalne i podrażnienia układu oddechowego, szczególnie podczas dużej aktywności fizycznej.")</f>
        <v>Dwutlenek siarki podrażnia skórę i błony śluzowe oczu, nosa, gardła i płuc. Wysokie stężenia SO2 mogą powodować stany zapalne i podrażnienia układu oddechowego, szczególnie podczas dużej aktywności fizycznej.</v>
      </c>
      <c r="AX227" s="7" t="str">
        <f>IFERROR(__xludf.DUMMYFUNCTION("GoogleTranslate(C227, ""en"", ""pt"")"),"O dióxido de enxofre irrita a pele e as membranas mucosas dos olhos, nariz, garganta e pulmões. Altas concentrações de SO2 podem causar inflamação e irritação do sistema respiratório, especialmente durante atividades físicas intensas.")</f>
        <v>O dióxido de enxofre irrita a pele e as membranas mucosas dos olhos, nariz, garganta e pulmões. Altas concentrações de SO2 podem causar inflamação e irritação do sistema respiratório, especialmente durante atividades físicas intensas.</v>
      </c>
      <c r="AY227" s="7" t="str">
        <f>IFERROR(__xludf.DUMMYFUNCTION("GoogleTranslate(C227, ""en"", ""ro"")"),"Dioxidul de sulf irită pielea și membranele mucoase ale ochilor, nasului, gâtului și plămânilor. Concentrațiile mari de SO2 pot provoca inflamații și iritații ale sistemului respirator, în special în timpul activității fizice intense.")</f>
        <v>Dioxidul de sulf irită pielea și membranele mucoase ale ochilor, nasului, gâtului și plămânilor. Concentrațiile mari de SO2 pot provoca inflamații și iritații ale sistemului respirator, în special în timpul activității fizice intense.</v>
      </c>
      <c r="AZ227" s="7" t="str">
        <f>IFERROR(__xludf.DUMMYFUNCTION("GoogleTranslate(C227, ""en"", ""ru"")"),"Диоксид серы раздражает кожу и слизистые оболочки глаз, носа, горла и легких. Высокие концентрации SO2 могут вызвать воспаление и раздражение органов дыхания, особенно при тяжелых физических нагрузках.")</f>
        <v>Диоксид серы раздражает кожу и слизистые оболочки глаз, носа, горла и легких. Высокие концентрации SO2 могут вызвать воспаление и раздражение органов дыхания, особенно при тяжелых физических нагрузках.</v>
      </c>
      <c r="BA227" s="7" t="str">
        <f>IFERROR(__xludf.DUMMYFUNCTION("GoogleTranslate(C227, ""en"", ""sr"")"),"Сумпор диоксид иритира кожу и слузокожу очију, носа, грла и плућа. Високе концентрације СО2 могу изазвати упалу и иритацију респираторног система, посебно током тешке физичке активности.")</f>
        <v>Сумпор диоксид иритира кожу и слузокожу очију, носа, грла и плућа. Високе концентрације СО2 могу изазвати упалу и иритацију респираторног система, посебно током тешке физичке активности.</v>
      </c>
      <c r="BB227" s="7" t="str">
        <f>IFERROR(__xludf.DUMMYFUNCTION("GoogleTranslate(C227, ""en"", ""si"")"),"සල්ෆර් ඩයොක්සයිඩ් ඇස්, නාසය, උගුර සහ පෙනහළු වල සම සහ ශ්ලේෂ්මල පටල කුපිත කරයි. SO2 හි ඉහළ සාන්ද්‍රණය හේතුවෙන් ශ්වසන පද්ධතියේ දැවිල්ල හා කෝපයක් ඇති කළ හැකිය, විශේෂයෙන් අධික ශාරීරික ක්‍රියාකාරකම් වලදී.")</f>
        <v>සල්ෆර් ඩයොක්සයිඩ් ඇස්, නාසය, උගුර සහ පෙනහළු වල සම සහ ශ්ලේෂ්මල පටල කුපිත කරයි. SO2 හි ඉහළ සාන්ද්‍රණය හේතුවෙන් ශ්වසන පද්ධතියේ දැවිල්ල හා කෝපයක් ඇති කළ හැකිය, විශේෂයෙන් අධික ශාරීරික ක්‍රියාකාරකම් වලදී.</v>
      </c>
      <c r="BC227" s="7" t="str">
        <f>IFERROR(__xludf.DUMMYFUNCTION("GoogleTranslate(C227, ""en"", ""sk"")"),"Oxid siričitý dráždi pokožku a sliznice očí, nosa, hrdla a pľúc. Vysoké koncentrácie SO2 môžu spôsobiť zápal a podráždenie dýchacieho systému, najmä pri ťažkej fyzickej aktivite.")</f>
        <v>Oxid siričitý dráždi pokožku a sliznice očí, nosa, hrdla a pľúc. Vysoké koncentrácie SO2 môžu spôsobiť zápal a podráždenie dýchacieho systému, najmä pri ťažkej fyzickej aktivite.</v>
      </c>
      <c r="BD227" s="7" t="str">
        <f>IFERROR(__xludf.DUMMYFUNCTION("GoogleTranslate(C227, ""en"", ""sl"")"),"Žveplov dioksid draži kožo in sluznico oči, nosu, žrela in pljuč. Visoke koncentracije SO2 lahko povzročijo vnetje in draženje dihalnih poti, zlasti pri težji telesni aktivnosti.")</f>
        <v>Žveplov dioksid draži kožo in sluznico oči, nosu, žrela in pljuč. Visoke koncentracije SO2 lahko povzročijo vnetje in draženje dihalnih poti, zlasti pri težji telesni aktivnosti.</v>
      </c>
      <c r="BE227" s="7" t="str">
        <f>IFERROR(__xludf.DUMMYFUNCTION("GoogleTranslate(C227, ""en"", ""es"")"),"El dióxido de azufre irrita la piel y las membranas mucosas de los ojos, la nariz, la garganta y los pulmones. Altas concentraciones de SO2 pueden provocar inflamación e irritación del sistema respiratorio, especialmente durante la actividad física intens"&amp;"a.")</f>
        <v>El dióxido de azufre irrita la piel y las membranas mucosas de los ojos, la nariz, la garganta y los pulmones. Altas concentraciones de SO2 pueden provocar inflamación e irritación del sistema respiratorio, especialmente durante la actividad física intensa.</v>
      </c>
      <c r="BF227" s="7" t="str">
        <f>IFERROR(__xludf.DUMMYFUNCTION("GoogleTranslate(C227, ""en"", ""sw"")"),"Dioksidi ya sulfuri inakera ngozi na utando wa mucous wa macho, pua, koo na mapafu. Mkusanyiko wa juu wa SO2 unaweza kusababisha kuvimba na hasira ya mfumo wa kupumua, hasa wakati wa shughuli nzito za kimwili.")</f>
        <v>Dioksidi ya sulfuri inakera ngozi na utando wa mucous wa macho, pua, koo na mapafu. Mkusanyiko wa juu wa SO2 unaweza kusababisha kuvimba na hasira ya mfumo wa kupumua, hasa wakati wa shughuli nzito za kimwili.</v>
      </c>
      <c r="BG227" s="7" t="str">
        <f>IFERROR(__xludf.DUMMYFUNCTION("GoogleTranslate(C227, ""en"", ""sv"")"),"Svaveldioxid irriterar huden och slemhinnorna i ögon, näsa, svalg och lungor. Höga koncentrationer av SO2 kan orsaka inflammation och irritation i andningsorganen, särskilt vid hård fysisk aktivitet.")</f>
        <v>Svaveldioxid irriterar huden och slemhinnorna i ögon, näsa, svalg och lungor. Höga koncentrationer av SO2 kan orsaka inflammation och irritation i andningsorganen, särskilt vid hård fysisk aktivitet.</v>
      </c>
      <c r="BH227" s="7" t="str">
        <f>IFERROR(__xludf.DUMMYFUNCTION("GoogleTranslate(C227, ""en"", ""te"")"),"సల్ఫర్ డయాక్సైడ్ కళ్ళు, ముక్కు, గొంతు మరియు ఊపిరితిత్తుల చర్మం మరియు శ్లేష్మ పొరలను చికాకుపెడుతుంది. SO2 యొక్క అధిక సాంద్రతలు శ్వాసకోశ వ్యవస్థ యొక్క వాపు మరియు చికాకును కలిగిస్తాయి, ముఖ్యంగా భారీ శారీరక శ్రమ సమయంలో.")</f>
        <v>సల్ఫర్ డయాక్సైడ్ కళ్ళు, ముక్కు, గొంతు మరియు ఊపిరితిత్తుల చర్మం మరియు శ్లేష్మ పొరలను చికాకుపెడుతుంది. SO2 యొక్క అధిక సాంద్రతలు శ్వాసకోశ వ్యవస్థ యొక్క వాపు మరియు చికాకును కలిగిస్తాయి, ముఖ్యంగా భారీ శారీరక శ్రమ సమయంలో.</v>
      </c>
      <c r="BI227" s="7" t="str">
        <f>IFERROR(__xludf.DUMMYFUNCTION("GoogleTranslate(C227, ""en"", ""th"")"),"ซัลเฟอร์ไดออกไซด์ระคายเคืองต่อผิวหนังและเยื่อเมือกของดวงตา จมูก คอ และปอด SO2 ที่มีความเข้มข้นสูงอาจทำให้เกิดการอักเสบและการระคายเคืองต่อระบบทางเดินหายใจ โดยเฉพาะในระหว่างการออกกำลังกายอย่างหนัก")</f>
        <v>ซัลเฟอร์ไดออกไซด์ระคายเคืองต่อผิวหนังและเยื่อเมือกของดวงตา จมูก คอ และปอด SO2 ที่มีความเข้มข้นสูงอาจทำให้เกิดการอักเสบและการระคายเคืองต่อระบบทางเดินหายใจ โดยเฉพาะในระหว่างการออกกำลังกายอย่างหนัก</v>
      </c>
      <c r="BJ227" s="7" t="str">
        <f>IFERROR(__xludf.DUMMYFUNCTION("GoogleTranslate(C227, ""en"", ""tr"")"),"Kükürt dioksit gözlerin, burnun, boğazın ve akciğerlerin derisini ve mukoza zarlarını tahriş eder. Yüksek SO2 konsantrasyonları, özellikle ağır fiziksel aktivite sırasında solunum sisteminde iltihaplanma ve tahrişe neden olabilir.")</f>
        <v>Kükürt dioksit gözlerin, burnun, boğazın ve akciğerlerin derisini ve mukoza zarlarını tahriş eder. Yüksek SO2 konsantrasyonları, özellikle ağır fiziksel aktivite sırasında solunum sisteminde iltihaplanma ve tahrişe neden olabilir.</v>
      </c>
      <c r="BK227" s="7" t="str">
        <f>IFERROR(__xludf.DUMMYFUNCTION("GoogleTranslate(C227, ""en"", ""uk"")"),"Діоксид сірки подразнює шкіру та слизові оболонки очей, носа, горла, легенів. Високі концентрації SO2 можуть викликати запалення та подразнення дихальної системи, особливо під час важких фізичних навантажень.")</f>
        <v>Діоксид сірки подразнює шкіру та слизові оболонки очей, носа, горла, легенів. Високі концентрації SO2 можуть викликати запалення та подразнення дихальної системи, особливо під час важких фізичних навантажень.</v>
      </c>
      <c r="BL227" s="7" t="str">
        <f>IFERROR(__xludf.DUMMYFUNCTION("GoogleTranslate(C227, ""en"", ""zu"")"),"I-sulphur dioxide ihlukumeza isikhumba nolwelwesi lwamafinyila lwamehlo, ikhala, umphimbo namaphaphu. Ukugxila okuphezulu kwe-SO2 kungabangela ukuvuvukala nokucasuka kwesistimu yokuphefumula, ikakhulukazi ngesikhathi sokusebenza kanzima komzimba.")</f>
        <v>I-sulphur dioxide ihlukumeza isikhumba nolwelwesi lwamafinyila lwamehlo, ikhala, umphimbo namaphaphu. Ukugxila okuphezulu kwe-SO2 kungabangela ukuvuvukala nokucasuka kwesistimu yokuphefumula, ikakhulukazi ngesikhathi sokusebenza kanzima komzimba.</v>
      </c>
    </row>
    <row r="228">
      <c r="A228" s="5" t="str">
        <f t="shared" si="1"/>
        <v>The_main_health_effect_of_nitrogen_dioxide_is_on_the_respiratory_system._Inhalation_of_nitrogen_dioxide_by_children_increases_their_risk_of_respiratory_infection_and_may_lead_to_poorer_lung_function_in_later_life.</v>
      </c>
      <c r="B228" s="4" t="s">
        <v>271</v>
      </c>
      <c r="C228" s="4" t="s">
        <v>271</v>
      </c>
      <c r="D228" s="7" t="str">
        <f>IFERROR(__xludf.DUMMYFUNCTION("GoogleTranslate(C228, ""en"", ""es"")"),"El principal efecto del dióxido de nitrógeno sobre la salud se produce en el sistema respiratorio. La inhalación de dióxido de nitrógeno por parte de los niños aumenta su riesgo de infección respiratoria y puede provocar una función pulmonar más deficient"&amp;"e en el futuro.")</f>
        <v>El principal efecto del dióxido de nitrógeno sobre la salud se produce en el sistema respiratorio. La inhalación de dióxido de nitrógeno por parte de los niños aumenta su riesgo de infección respiratoria y puede provocar una función pulmonar más deficiente en el futuro.</v>
      </c>
      <c r="E228" s="7" t="str">
        <f>IFERROR(__xludf.DUMMYFUNCTION("GoogleTranslate(C228, ""en"", ""ar"")"),"التأثير الصحي الرئيسي لثاني أكسيد النيتروجين هو على الجهاز التنفسي. يزيد استنشاق الأطفال لثاني أكسيد النيتروجين من خطر الإصابة بعدوى الجهاز التنفسي وقد يؤدي إلى ضعف وظائف الرئة في وقت لاحق من الحياة.")</f>
        <v>التأثير الصحي الرئيسي لثاني أكسيد النيتروجين هو على الجهاز التنفسي. يزيد استنشاق الأطفال لثاني أكسيد النيتروجين من خطر الإصابة بعدوى الجهاز التنفسي وقد يؤدي إلى ضعف وظائف الرئة في وقت لاحق من الحياة.</v>
      </c>
      <c r="F228" s="7" t="str">
        <f>IFERROR(__xludf.DUMMYFUNCTION("GoogleTranslate(C228, ""en"", ""hy"")"),"Ազոտի երկօքսիդի հիմնական առողջական ազդեցությունը շնչառական համակարգի վրա է: Երեխաների կողմից ազոտի երկօքսիդի ներշնչումը մեծացնում է նրանց շնչառական վարակների վտանգը և կարող է հանգեցնել թոքերի ավելի վատ աշխատանքի հետագա կյանքում:")</f>
        <v>Ազոտի երկօքսիդի հիմնական առողջական ազդեցությունը շնչառական համակարգի վրա է: Երեխաների կողմից ազոտի երկօքսիդի ներշնչումը մեծացնում է նրանց շնչառական վարակների վտանգը և կարող է հանգեցնել թոքերի ավելի վատ աշխատանքի հետագա կյանքում:</v>
      </c>
      <c r="G228" s="7" t="str">
        <f>IFERROR(__xludf.DUMMYFUNCTION("GoogleTranslate(C228, ""en"", ""vi"")"),"Tác dụng chính của nitơ dioxide đối với sức khỏe là đối với hệ hô hấp. Trẻ em hít phải nitơ dioxide làm tăng nguy cơ nhiễm trùng đường hô hấp và có thể dẫn đến chức năng phổi kém hơn trong cuộc sống sau này.")</f>
        <v>Tác dụng chính của nitơ dioxide đối với sức khỏe là đối với hệ hô hấp. Trẻ em hít phải nitơ dioxide làm tăng nguy cơ nhiễm trùng đường hô hấp và có thể dẫn đến chức năng phổi kém hơn trong cuộc sống sau này.</v>
      </c>
      <c r="H228" s="7" t="str">
        <f>IFERROR(__xludf.DUMMYFUNCTION("GoogleTranslate(C228, ""en"", ""az"")"),"Azot dioksidin sağlamlığa əsas təsiri tənəffüs sisteminə aiddir. Uşaqların azot dioksidin inhalyasiyası onların tənəffüs yoluxma riskini artırır və sonrakı həyatda ağciyər funksiyasının pisləşməsinə səbəb ola bilər.")</f>
        <v>Azot dioksidin sağlamlığa əsas təsiri tənəffüs sisteminə aiddir. Uşaqların azot dioksidin inhalyasiyası onların tənəffüs yoluxma riskini artırır və sonrakı həyatda ağciyər funksiyasının pisləşməsinə səbəb ola bilər.</v>
      </c>
      <c r="I228" s="7" t="str">
        <f>IFERROR(__xludf.DUMMYFUNCTION("GoogleTranslate(C228, ""en"", ""eu"")"),"Nitrogeno dioxidoaren osasun eragin nagusia arnas aparatuan dago. Haurrak nitrogeno dioxidoa arnasteak arnas infekzioa izateko arriskua areagotzen du eta gero bizitzan biriken funtzio txarragoa ekar dezake.")</f>
        <v>Nitrogeno dioxidoaren osasun eragin nagusia arnas aparatuan dago. Haurrak nitrogeno dioxidoa arnasteak arnas infekzioa izateko arriskua areagotzen du eta gero bizitzan biriken funtzio txarragoa ekar dezake.</v>
      </c>
      <c r="J228" s="7" t="str">
        <f>IFERROR(__xludf.DUMMYFUNCTION("GoogleTranslate(C228, ""en"", ""be"")"),"Асноўны ўплыў дыяксіду азоту на здароўе аказвае на дыхальную сістэму. Удыханне дзецьмі дыяксіду азоту павялічвае рызыку рэспіраторнай інфекцыі і можа прывесці да пагаршэння функцыі лёгкіх у далейшым жыцці.")</f>
        <v>Асноўны ўплыў дыяксіду азоту на здароўе аказвае на дыхальную сістэму. Удыханне дзецьмі дыяксіду азоту павялічвае рызыку рэспіраторнай інфекцыі і можа прывесці да пагаршэння функцыі лёгкіх у далейшым жыцці.</v>
      </c>
      <c r="K228" s="7" t="str">
        <f>IFERROR(__xludf.DUMMYFUNCTION("GoogleTranslate(C228, ""en"", ""bn"")"),"নাইট্রোজেন ডাই অক্সাইডের প্রধান স্বাস্থ্য প্রভাব শ্বাসযন্ত্রের উপর। শিশুদের দ্বারা নাইট্রোজেন ডাই অক্সাইড শ্বাস-প্রশ্বাসের সংক্রমণের ঝুঁকি বাড়ায় এবং পরবর্তী জীবনে ফুসফুসের কার্যকারিতা খারাপ হতে পারে।")</f>
        <v>নাইট্রোজেন ডাই অক্সাইডের প্রধান স্বাস্থ্য প্রভাব শ্বাসযন্ত্রের উপর। শিশুদের দ্বারা নাইট্রোজেন ডাই অক্সাইড শ্বাস-প্রশ্বাসের সংক্রমণের ঝুঁকি বাড়ায় এবং পরবর্তী জীবনে ফুসফুসের কার্যকারিতা খারাপ হতে পারে।</v>
      </c>
      <c r="L228" s="7" t="str">
        <f>IFERROR(__xludf.DUMMYFUNCTION("GoogleTranslate(C228, ""en"", ""bg"")"),"Основният здравословен ефект на азотния диоксид е върху дихателната система. Вдишването на азотен диоксид от деца увеличава риска от респираторна инфекция и може да доведе до по-лоша белодробна функция в по-късен живот.")</f>
        <v>Основният здравословен ефект на азотния диоксид е върху дихателната система. Вдишването на азотен диоксид от деца увеличава риска от респираторна инфекция и може да доведе до по-лоша белодробна функция в по-късен живот.</v>
      </c>
      <c r="M228" s="7" t="str">
        <f>IFERROR(__xludf.DUMMYFUNCTION("GoogleTranslate(C228, ""en"", ""my"")"),"နိုက်ထရိုဂျင်ဒိုင်အောက်ဆိုဒ်၏ အဓိက ကျန်းမာရေးဆိုင်ရာ သက်ရောက်မှုမှာ အသက်ရှူလမ်းကြောင်းစနစ်အပေါ် ဖြစ်သည်။ ကလေးငယ်များ၏ နိုက်ထရိုဂျင်ဒိုင်အောက်ဆိုဒ်ကို ရှူရှိုက်မိခြင်းသည် ၎င်းတို့၏ အသက်ရှုလမ်းကြောင်းဆိုင်ရာ ကူးစက်မှုအန္တရာယ်ကို တိုးစေပြီး နောက်ပိုင်းတွင် အ"&amp;"ဆုတ်၏လုပ်ဆောင်မှု အားနည်းလာနိုင်သည်။")</f>
        <v>နိုက်ထရိုဂျင်ဒိုင်အောက်ဆိုဒ်၏ အဓိက ကျန်းမာရေးဆိုင်ရာ သက်ရောက်မှုမှာ အသက်ရှူလမ်းကြောင်းစနစ်အပေါ် ဖြစ်သည်။ ကလေးငယ်များ၏ နိုက်ထရိုဂျင်ဒိုင်အောက်ဆိုဒ်ကို ရှူရှိုက်မိခြင်းသည် ၎င်းတို့၏ အသက်ရှုလမ်းကြောင်းဆိုင်ရာ ကူးစက်မှုအန္တရာယ်ကို တိုးစေပြီး နောက်ပိုင်းတွင် အဆုတ်၏လုပ်ဆောင်မှု အားနည်းလာနိုင်သည်။</v>
      </c>
      <c r="N228" s="7" t="str">
        <f>IFERROR(__xludf.DUMMYFUNCTION("GoogleTranslate(C228, ""en"", ""ca"")"),"El principal efecte sobre la salut del diòxid de nitrogen és sobre el sistema respiratori. La inhalació de diòxid de nitrogen per part dels nens augmenta el seu risc d'infecció respiratòria i pot conduir a una funció pulmonar més deficient en la vida post"&amp;"erior.")</f>
        <v>El principal efecte sobre la salut del diòxid de nitrogen és sobre el sistema respiratori. La inhalació de diòxid de nitrogen per part dels nens augmenta el seu risc d'infecció respiratòria i pot conduir a una funció pulmonar més deficient en la vida posterior.</v>
      </c>
      <c r="O228" s="7" t="str">
        <f>IFERROR(__xludf.DUMMYFUNCTION("GoogleTranslate(C228, ""en"", ""zh-cn"")"),"二氧化氮对健康的主要影响是对呼吸系统的影响。儿童吸入二氧化氮会增加呼吸道感染的风险，并可能导致以后的肺功能较差。")</f>
        <v>二氧化氮对健康的主要影响是对呼吸系统的影响。儿童吸入二氧化氮会增加呼吸道感染的风险，并可能导致以后的肺功能较差。</v>
      </c>
      <c r="P228" s="7" t="str">
        <f>IFERROR(__xludf.DUMMYFUNCTION("GoogleTranslate(C228, ""en"", ""zh-TW"")"),"二氧化氮對健康的主要影響是對呼吸系統的影響。兒童吸入二氧化氮會增加呼吸道感染的風險，並可能導致以後的肺功能較差。")</f>
        <v>二氧化氮對健康的主要影響是對呼吸系統的影響。兒童吸入二氧化氮會增加呼吸道感染的風險，並可能導致以後的肺功能較差。</v>
      </c>
      <c r="Q228" s="7" t="str">
        <f>IFERROR(__xludf.DUMMYFUNCTION("GoogleTranslate(C228, ""en"", ""hr"")"),"Glavni zdravstveni učinak dušikovog dioksida je na dišni sustav. Udisanje dušikovog dioksida kod djece povećava rizik od infekcije dišnog sustava i može dovesti do slabijeg rada pluća u kasnijem životu.")</f>
        <v>Glavni zdravstveni učinak dušikovog dioksida je na dišni sustav. Udisanje dušikovog dioksida kod djece povećava rizik od infekcije dišnog sustava i može dovesti do slabijeg rada pluća u kasnijem životu.</v>
      </c>
      <c r="R228" s="7" t="str">
        <f>IFERROR(__xludf.DUMMYFUNCTION("GoogleTranslate(C228, ""en"", ""cs"")"),"Hlavní zdravotní účinek oxidu dusičitého je na dýchací systém. Vdechování oxidu dusičitého dětmi zvyšuje riziko infekce dýchacích cest a může vést k horší funkci plic v pozdějším věku.")</f>
        <v>Hlavní zdravotní účinek oxidu dusičitého je na dýchací systém. Vdechování oxidu dusičitého dětmi zvyšuje riziko infekce dýchacích cest a může vést k horší funkci plic v pozdějším věku.</v>
      </c>
      <c r="S228" s="7" t="str">
        <f>IFERROR(__xludf.DUMMYFUNCTION("GoogleTranslate(C228, ""en"", ""da"")"),"Den væsentligste sundhedseffekt af nitrogendioxid er på åndedrætssystemet. Børns indånding af nitrogendioxid øger deres risiko for luftvejsinfektion og kan føre til dårligere lungefunktion senere i livet.")</f>
        <v>Den væsentligste sundhedseffekt af nitrogendioxid er på åndedrætssystemet. Børns indånding af nitrogendioxid øger deres risiko for luftvejsinfektion og kan føre til dårligere lungefunktion senere i livet.</v>
      </c>
      <c r="T228" s="7" t="str">
        <f>IFERROR(__xludf.DUMMYFUNCTION("GoogleTranslate(C228, ""en"", ""nl"")"),"Het belangrijkste gezondheidseffect van stikstofdioxide heeft betrekking op de luchtwegen. Het inademen van stikstofdioxide door kinderen verhoogt het risico op luchtweginfecties en kan op latere leeftijd leiden tot een slechtere longfunctie.")</f>
        <v>Het belangrijkste gezondheidseffect van stikstofdioxide heeft betrekking op de luchtwegen. Het inademen van stikstofdioxide door kinderen verhoogt het risico op luchtweginfecties en kan op latere leeftijd leiden tot een slechtere longfunctie.</v>
      </c>
      <c r="U228" s="7" t="str">
        <f>IFERROR(__xludf.DUMMYFUNCTION("GoogleTranslate(C228, ""en"", ""et"")"),"Lämmastikdioksiidi peamine tervisemõju on hingamisteedele. Lämmastikdioksiidi sissehingamine laste poolt suurendab nende hingamisteede infektsioonide riski ja võib hilisemas elus põhjustada kopsude halvenemist.")</f>
        <v>Lämmastikdioksiidi peamine tervisemõju on hingamisteedele. Lämmastikdioksiidi sissehingamine laste poolt suurendab nende hingamisteede infektsioonide riski ja võib hilisemas elus põhjustada kopsude halvenemist.</v>
      </c>
      <c r="V228" s="5" t="str">
        <f t="shared" si="3"/>
        <v>The main health effect of nitrogen dioxide is on the respiratory system. Inhalation of nitrogen dioxide by children increases their risk of respiratory infection and may lead to poorer lung function in later life.</v>
      </c>
      <c r="W228" s="7" t="str">
        <f>IFERROR(__xludf.DUMMYFUNCTION("GoogleTranslate(C228, ""en"", ""fi"")"),"Typpidioksidin tärkein terveysvaikutus kohdistuu hengityselimiin. Typpidioksidin hengittäminen lasten toimesta lisää hengitystieinfektioiden riskiä ja voi heikentää keuhkojen toimintaa myöhemmällä iällä.")</f>
        <v>Typpidioksidin tärkein terveysvaikutus kohdistuu hengityselimiin. Typpidioksidin hengittäminen lasten toimesta lisää hengitystieinfektioiden riskiä ja voi heikentää keuhkojen toimintaa myöhemmällä iällä.</v>
      </c>
      <c r="X228" s="7" t="str">
        <f>IFERROR(__xludf.DUMMYFUNCTION("GoogleTranslate(C228, ""en"", ""fr"")"),"Le principal effet du dioxyde d’azote sur la santé concerne le système respiratoire. L'inhalation de dioxyde d'azote par les enfants augmente leur risque d'infection respiratoire et peut entraîner une diminution de la fonction pulmonaire plus tard dans la"&amp;" vie.")</f>
        <v>Le principal effet du dioxyde d’azote sur la santé concerne le système respiratoire. L'inhalation de dioxyde d'azote par les enfants augmente leur risque d'infection respiratoire et peut entraîner une diminution de la fonction pulmonaire plus tard dans la vie.</v>
      </c>
      <c r="Y228" s="7" t="str">
        <f>IFERROR(__xludf.DUMMYFUNCTION("GoogleTranslate(C228, ""en"", ""de"")"),"Die gesundheitliche Wirkung von Stickstoffdioxid liegt vor allem auf den Atemwegen. Das Einatmen von Stickstoffdioxid bei Kindern erhöht das Risiko einer Atemwegsinfektion und kann im späteren Leben zu einer Verschlechterung der Lungenfunktion führen.")</f>
        <v>Die gesundheitliche Wirkung von Stickstoffdioxid liegt vor allem auf den Atemwegen. Das Einatmen von Stickstoffdioxid bei Kindern erhöht das Risiko einer Atemwegsinfektion und kann im späteren Leben zu einer Verschlechterung der Lungenfunktion führen.</v>
      </c>
      <c r="Z228" s="7" t="str">
        <f>IFERROR(__xludf.DUMMYFUNCTION("GoogleTranslate(C228, ""en"", ""el"")"),"Η κύρια επίδραση του διοξειδίου του αζώτου στην υγεία είναι στο αναπνευστικό σύστημα. Η εισπνοή διοξειδίου του αζώτου από παιδιά αυξάνει τον κίνδυνο λοίμωξης του αναπνευστικού και μπορεί να οδηγήσει σε κακή λειτουργία των πνευμόνων στη μετέπειτα ζωή.")</f>
        <v>Η κύρια επίδραση του διοξειδίου του αζώτου στην υγεία είναι στο αναπνευστικό σύστημα. Η εισπνοή διοξειδίου του αζώτου από παιδιά αυξάνει τον κίνδυνο λοίμωξης του αναπνευστικού και μπορεί να οδηγήσει σε κακή λειτουργία των πνευμόνων στη μετέπειτα ζωή.</v>
      </c>
      <c r="AA228" s="7" t="str">
        <f>IFERROR(__xludf.DUMMYFUNCTION("GoogleTranslate(C228, ""en"", ""iw"")"),"ההשפעה הבריאותית העיקרית של חנקן דו חמצני היא על מערכת הנשימה. שאיפה של חנקן דו חמצני על ידי ילדים מגבירה את הסיכון שלהם לזיהום בדרכי הנשימה ועלולה להוביל לתפקוד ריאות ירוד יותר בשלב מאוחר יותר בחיים.")</f>
        <v>ההשפעה הבריאותית העיקרית של חנקן דו חמצני היא על מערכת הנשימה. שאיפה של חנקן דו חמצני על ידי ילדים מגבירה את הסיכון שלהם לזיהום בדרכי הנשימה ועלולה להוביל לתפקוד ריאות ירוד יותר בשלב מאוחר יותר בחיים.</v>
      </c>
      <c r="AB228" s="7" t="str">
        <f>IFERROR(__xludf.DUMMYFUNCTION("GoogleTranslate(C228, ""en"", ""hi"")"),"नाइट्रोजन डाइऑक्साइड का मुख्य स्वास्थ्य प्रभाव श्वसन तंत्र पर पड़ता है। बच्चों द्वारा नाइट्रोजन डाइऑक्साइड के साँस लेने से उनमें श्वसन संक्रमण का खतरा बढ़ जाता है और बाद के जीवन में फेफड़ों की कार्यक्षमता ख़राब हो सकती है।")</f>
        <v>नाइट्रोजन डाइऑक्साइड का मुख्य स्वास्थ्य प्रभाव श्वसन तंत्र पर पड़ता है। बच्चों द्वारा नाइट्रोजन डाइऑक्साइड के साँस लेने से उनमें श्वसन संक्रमण का खतरा बढ़ जाता है और बाद के जीवन में फेफड़ों की कार्यक्षमता ख़राब हो सकती है।</v>
      </c>
      <c r="AC228" s="7" t="str">
        <f>IFERROR(__xludf.DUMMYFUNCTION("GoogleTranslate(C228, ""en"", ""hu"")"),"A nitrogén-dioxid fő egészségügyi hatása a légzőrendszerre van. A nitrogén-dioxid gyermekek általi belélegzése növeli a légúti fertőzések kockázatát, és a későbbi életkorban a tüdőfunkció romlásához vezethet.")</f>
        <v>A nitrogén-dioxid fő egészségügyi hatása a légzőrendszerre van. A nitrogén-dioxid gyermekek általi belélegzése növeli a légúti fertőzések kockázatát, és a későbbi életkorban a tüdőfunkció romlásához vezethet.</v>
      </c>
      <c r="AD228" s="7" t="str">
        <f>IFERROR(__xludf.DUMMYFUNCTION("GoogleTranslate(C228, ""en"", ""is"")"),"Helstu heilsuáhrif köfnunarefnisdíoxíðs eru á öndunarfærin. Innöndun barna á köfnunarefnisdíoxíði eykur hættuna á öndunarfærasýkingu og getur leitt til verri lungnastarfsemi síðar á ævinni.")</f>
        <v>Helstu heilsuáhrif köfnunarefnisdíoxíðs eru á öndunarfærin. Innöndun barna á köfnunarefnisdíoxíði eykur hættuna á öndunarfærasýkingu og getur leitt til verri lungnastarfsemi síðar á ævinni.</v>
      </c>
      <c r="AE228" s="7" t="str">
        <f>IFERROR(__xludf.DUMMYFUNCTION("GoogleTranslate(C228, ""en"", ""id"")"),"Efek kesehatan utama dari nitrogen dioksida adalah pada sistem pernapasan. Menghirup nitrogen dioksida oleh anak-anak meningkatkan risiko infeksi pernafasan dan dapat menyebabkan penurunan fungsi paru-paru di kemudian hari.")</f>
        <v>Efek kesehatan utama dari nitrogen dioksida adalah pada sistem pernapasan. Menghirup nitrogen dioksida oleh anak-anak meningkatkan risiko infeksi pernafasan dan dapat menyebabkan penurunan fungsi paru-paru di kemudian hari.</v>
      </c>
      <c r="AF228" s="7" t="str">
        <f>IFERROR(__xludf.DUMMYFUNCTION("GoogleTranslate(C228, ""en"", ""in"")"),"Efek kesehatan utama dari nitrogen dioksida adalah pada sistem pernapasan. Menghirup nitrogen dioksida oleh anak-anak meningkatkan risiko infeksi pernafasan dan dapat menyebabkan penurunan fungsi paru-paru di kemudian hari.")</f>
        <v>Efek kesehatan utama dari nitrogen dioksida adalah pada sistem pernapasan. Menghirup nitrogen dioksida oleh anak-anak meningkatkan risiko infeksi pernafasan dan dapat menyebabkan penurunan fungsi paru-paru di kemudian hari.</v>
      </c>
      <c r="AG228" s="7" t="str">
        <f>IFERROR(__xludf.DUMMYFUNCTION("GoogleTranslate(C228, ""en"", ""it"")"),"Il principale effetto sulla salute del biossido di azoto è sul sistema respiratorio. L’inalazione di biossido di azoto da parte dei bambini aumenta il rischio di infezioni respiratorie e può portare a una ridotta funzionalità polmonare in età avanzata.")</f>
        <v>Il principale effetto sulla salute del biossido di azoto è sul sistema respiratorio. L’inalazione di biossido di azoto da parte dei bambini aumenta il rischio di infezioni respiratorie e può portare a una ridotta funzionalità polmonare in età avanzata.</v>
      </c>
      <c r="AH228" s="7" t="str">
        <f>IFERROR(__xludf.DUMMYFUNCTION("GoogleTranslate(C228, ""en"", ""ja"")"),"二酸化窒素の主な健康影響は呼吸器系にあります。子供が二酸化窒素を吸入すると、呼吸器感染症のリスクが高まり、その後の肺機能の低下につながる可能性があります。")</f>
        <v>二酸化窒素の主な健康影響は呼吸器系にあります。子供が二酸化窒素を吸入すると、呼吸器感染症のリスクが高まり、その後の肺機能の低下につながる可能性があります。</v>
      </c>
      <c r="AI228" s="7" t="str">
        <f>IFERROR(__xludf.DUMMYFUNCTION("GoogleTranslate(C228, ""en"", ""kn"")"),"ಸಾರಜನಕ ಡೈಆಕ್ಸೈಡ್‌ನ ಮುಖ್ಯ ಆರೋಗ್ಯ ಪರಿಣಾಮವು ಉಸಿರಾಟದ ವ್ಯವಸ್ಥೆಯಲ್ಲಿದೆ. ಮಕ್ಕಳು ನೈಟ್ರೋಜನ್ ಡೈಆಕ್ಸೈಡ್ ಅನ್ನು ಉಸಿರಾಡುವುದರಿಂದ ಉಸಿರಾಟದ ಸೋಂಕಿನ ಅಪಾಯವನ್ನು ಹೆಚ್ಚಿಸುತ್ತದೆ ಮತ್ತು ನಂತರದ ಜೀವನದಲ್ಲಿ ಶ್ವಾಸಕೋಶದ ಕಾರ್ಯವು ದುರ್ಬಲಗೊಳ್ಳಬಹುದು.")</f>
        <v>ಸಾರಜನಕ ಡೈಆಕ್ಸೈಡ್‌ನ ಮುಖ್ಯ ಆರೋಗ್ಯ ಪರಿಣಾಮವು ಉಸಿರಾಟದ ವ್ಯವಸ್ಥೆಯಲ್ಲಿದೆ. ಮಕ್ಕಳು ನೈಟ್ರೋಜನ್ ಡೈಆಕ್ಸೈಡ್ ಅನ್ನು ಉಸಿರಾಡುವುದರಿಂದ ಉಸಿರಾಟದ ಸೋಂಕಿನ ಅಪಾಯವನ್ನು ಹೆಚ್ಚಿಸುತ್ತದೆ ಮತ್ತು ನಂತರದ ಜೀವನದಲ್ಲಿ ಶ್ವಾಸಕೋಶದ ಕಾರ್ಯವು ದುರ್ಬಲಗೊಳ್ಳಬಹುದು.</v>
      </c>
      <c r="AJ228" s="7" t="str">
        <f>IFERROR(__xludf.DUMMYFUNCTION("GoogleTranslate(C228, ""en"", ""km"")"),"ឥទ្ធិពលសុខភាពចម្បងនៃអាសូតឌីអុកស៊ីតគឺនៅលើប្រព័ន្ធផ្លូវដង្ហើម។ ការស្រូបយកអាសូតឌីអុកស៊ីតដោយកុមារបង្កើនហានិភ័យនៃការឆ្លងមេរោគផ្លូវដង្ហើម ហើយអាចនាំឱ្យមុខងារសួតចុះខ្សោយក្នុងជីវិតក្រោយ។")</f>
        <v>ឥទ្ធិពលសុខភាពចម្បងនៃអាសូតឌីអុកស៊ីតគឺនៅលើប្រព័ន្ធផ្លូវដង្ហើម។ ការស្រូបយកអាសូតឌីអុកស៊ីតដោយកុមារបង្កើនហានិភ័យនៃការឆ្លងមេរោគផ្លូវដង្ហើម ហើយអាចនាំឱ្យមុខងារសួតចុះខ្សោយក្នុងជីវិតក្រោយ។</v>
      </c>
      <c r="AK228" s="7" t="str">
        <f>IFERROR(__xludf.DUMMYFUNCTION("GoogleTranslate(C228, ""en"", ""ko"")"),"이산화질소가 건강에 미치는 주요 영향은 호흡기계에 있습니다. 어린이가 이산화질소를 흡입하면 호흡기 감염 위험이 증가하고 나중에 폐 기능이 저하될 수 있습니다.")</f>
        <v>이산화질소가 건강에 미치는 주요 영향은 호흡기계에 있습니다. 어린이가 이산화질소를 흡입하면 호흡기 감염 위험이 증가하고 나중에 폐 기능이 저하될 수 있습니다.</v>
      </c>
      <c r="AL228" s="7" t="str">
        <f>IFERROR(__xludf.DUMMYFUNCTION("GoogleTranslate(C228, ""en"", ""lo"")"),"ຜົນກະທົບດ້ານສຸຂະພາບຕົ້ນຕໍຂອງໄນໂຕຣເຈນອອກໄຊແມ່ນກ່ຽວກັບລະບົບຫາຍໃຈ. ການສູດດົມຂອງໄນໂຕຣເຈນໄດອອກໄຊໂດຍເດັກນ້ອຍເພີ່ມຄວາມສ່ຽງຕໍ່ການຕິດເຊື້ອທາງເດີນຫາຍໃຈຂອງເຂົາເຈົ້າ ແລະອາດຈະເຮັດໃຫ້ການເຮັດວຽກຂອງປອດບໍ່ດີໃນຊີວິດຕໍ່ມາ.")</f>
        <v>ຜົນກະທົບດ້ານສຸຂະພາບຕົ້ນຕໍຂອງໄນໂຕຣເຈນອອກໄຊແມ່ນກ່ຽວກັບລະບົບຫາຍໃຈ. ການສູດດົມຂອງໄນໂຕຣເຈນໄດອອກໄຊໂດຍເດັກນ້ອຍເພີ່ມຄວາມສ່ຽງຕໍ່ການຕິດເຊື້ອທາງເດີນຫາຍໃຈຂອງເຂົາເຈົ້າ ແລະອາດຈະເຮັດໃຫ້ການເຮັດວຽກຂອງປອດບໍ່ດີໃນຊີວິດຕໍ່ມາ.</v>
      </c>
      <c r="AM228" s="7" t="str">
        <f>IFERROR(__xludf.DUMMYFUNCTION("GoogleTranslate(C228, ""en"", ""lv"")"),"Galvenā slāpekļa dioksīda ietekme uz veselību ir uz elpošanas sistēmu. Slāpekļa dioksīda ieelpošana bērniem palielina elpceļu infekciju risku un var pasliktināt plaušu darbību vēlākā dzīvē.")</f>
        <v>Galvenā slāpekļa dioksīda ietekme uz veselību ir uz elpošanas sistēmu. Slāpekļa dioksīda ieelpošana bērniem palielina elpceļu infekciju risku un var pasliktināt plaušu darbību vēlākā dzīvē.</v>
      </c>
      <c r="AN228" s="7" t="str">
        <f>IFERROR(__xludf.DUMMYFUNCTION("GoogleTranslate(C228, ""en"", ""lt"")"),"Pagrindinis azoto dioksido poveikis sveikatai yra kvėpavimo sistemai. Vaikams įkvėpus azoto dioksido, padidėja kvėpavimo takų infekcijų rizika ir vėlesniame amžiuje gali pablogėti plaučių funkcija.")</f>
        <v>Pagrindinis azoto dioksido poveikis sveikatai yra kvėpavimo sistemai. Vaikams įkvėpus azoto dioksido, padidėja kvėpavimo takų infekcijų rizika ir vėlesniame amžiuje gali pablogėti plaučių funkcija.</v>
      </c>
      <c r="AO228" s="7" t="str">
        <f>IFERROR(__xludf.DUMMYFUNCTION("GoogleTranslate(C228, ""en"", ""mk"")"),"Главниот здравствен ефект на азот диоксид е врз респираторниот систем. Вдишувањето на азот диоксид од страна на децата го зголемува нивниот ризик од респираторни инфекции и може да доведе до полоша функција на белите дробови во подоцнежниот живот.")</f>
        <v>Главниот здравствен ефект на азот диоксид е врз респираторниот систем. Вдишувањето на азот диоксид од страна на децата го зголемува нивниот ризик од респираторни инфекции и може да доведе до полоша функција на белите дробови во подоцнежниот живот.</v>
      </c>
      <c r="AP228" s="7" t="str">
        <f>IFERROR(__xludf.DUMMYFUNCTION("GoogleTranslate(C228, ""en"", ""ms"")"),"Kesan kesihatan utama nitrogen dioksida adalah pada sistem pernafasan. Penyedutan nitrogen dioksida oleh kanak-kanak meningkatkan risiko jangkitan pernafasan dan boleh menyebabkan fungsi paru-paru yang lebih lemah di kemudian hari.")</f>
        <v>Kesan kesihatan utama nitrogen dioksida adalah pada sistem pernafasan. Penyedutan nitrogen dioksida oleh kanak-kanak meningkatkan risiko jangkitan pernafasan dan boleh menyebabkan fungsi paru-paru yang lebih lemah di kemudian hari.</v>
      </c>
      <c r="AQ228" s="7" t="str">
        <f>IFERROR(__xludf.DUMMYFUNCTION("GoogleTranslate(C228, ""en"", ""ml"")"),"നൈട്രജൻ ഡൈ ഓക്സൈഡിൻ്റെ പ്രധാന ആരോഗ്യ പ്രഭാവം ശ്വസനവ്യവസ്ഥയിലാണ്. കുട്ടികൾ നൈട്രജൻ ഡയോക്സൈഡ് ശ്വസിക്കുന്നത് ശ്വാസകോശ അണുബാധയ്ക്കുള്ള സാധ്യത വർദ്ധിപ്പിക്കുകയും പിന്നീടുള്ള ജീവിതത്തിൽ ശ്വാസകോശത്തിൻ്റെ പ്രവർത്തനം മോശമാകുകയും ചെയ്യും.")</f>
        <v>നൈട്രജൻ ഡൈ ഓക്സൈഡിൻ്റെ പ്രധാന ആരോഗ്യ പ്രഭാവം ശ്വസനവ്യവസ്ഥയിലാണ്. കുട്ടികൾ നൈട്രജൻ ഡയോക്സൈഡ് ശ്വസിക്കുന്നത് ശ്വാസകോശ അണുബാധയ്ക്കുള്ള സാധ്യത വർദ്ധിപ്പിക്കുകയും പിന്നീടുള്ള ജീവിതത്തിൽ ശ്വാസകോശത്തിൻ്റെ പ്രവർത്തനം മോശമാകുകയും ചെയ്യും.</v>
      </c>
      <c r="AR228" s="7" t="str">
        <f>IFERROR(__xludf.DUMMYFUNCTION("GoogleTranslate(C228, ""en"", ""mr"")"),"नायट्रोजन डायऑक्साइडचा मुख्य आरोग्यावर परिणाम श्वसन प्रणालीवर होतो. मुलांनी नायट्रोजन डाय ऑक्साईड इनहेलेशन केल्याने श्वासोच्छवासाच्या संसर्गाचा धोका वाढतो आणि नंतरच्या आयुष्यात फुफ्फुसाचे कार्य खराब होऊ शकते.")</f>
        <v>नायट्रोजन डायऑक्साइडचा मुख्य आरोग्यावर परिणाम श्वसन प्रणालीवर होतो. मुलांनी नायट्रोजन डाय ऑक्साईड इनहेलेशन केल्याने श्वासोच्छवासाच्या संसर्गाचा धोका वाढतो आणि नंतरच्या आयुष्यात फुफ्फुसाचे कार्य खराब होऊ शकते.</v>
      </c>
      <c r="AS228" s="7" t="str">
        <f>IFERROR(__xludf.DUMMYFUNCTION("GoogleTranslate(C228, ""en"", ""mn"")"),"Азотын давхар ислийн эрүүл мэндэд үзүүлэх гол нөлөө нь амьсгалын тогтолцоонд нөлөөлдөг. Хүүхдүүд азотын давхар ислээр амьсгалах нь амьсгалын замын халдвар авах эрсдэлийг нэмэгдүүлж, хожуу насандаа уушигны үйл ажиллагаа мууддаг.")</f>
        <v>Азотын давхар ислийн эрүүл мэндэд үзүүлэх гол нөлөө нь амьсгалын тогтолцоонд нөлөөлдөг. Хүүхдүүд азотын давхар ислээр амьсгалах нь амьсгалын замын халдвар авах эрсдэлийг нэмэгдүүлж, хожуу насандаа уушигны үйл ажиллагаа мууддаг.</v>
      </c>
      <c r="AT228" s="7" t="str">
        <f>IFERROR(__xludf.DUMMYFUNCTION("GoogleTranslate(C228, ""en"", ""ne"")"),"नाइट्रोजन डाइअक्साइडको मुख्य स्वास्थ्य प्रभाव श्वासप्रश्वास प्रणालीमा पर्छ। बच्चाहरु द्वारा नाइट्रोजन डाइअक्साइड को सास मा श्वासप्रश्वास संक्रमण को जोखिम बढ्छ र पछि जीवन मा गरीब फोक्सो को कार्य को नेतृत्व गर्न सक्छ।")</f>
        <v>नाइट्रोजन डाइअक्साइडको मुख्य स्वास्थ्य प्रभाव श्वासप्रश्वास प्रणालीमा पर्छ। बच्चाहरु द्वारा नाइट्रोजन डाइअक्साइड को सास मा श्वासप्रश्वास संक्रमण को जोखिम बढ्छ र पछि जीवन मा गरीब फोक्सो को कार्य को नेतृत्व गर्न सक्छ।</v>
      </c>
      <c r="AU228" s="7" t="str">
        <f>IFERROR(__xludf.DUMMYFUNCTION("GoogleTranslate(C228, ""en"", ""nb"")"),"Den viktigste helseeffekten av nitrogendioksid er på luftveiene. Innånding av nitrogendioksid av barn øker risikoen for luftveisinfeksjon og kan føre til dårligere lungefunksjon senere i livet.")</f>
        <v>Den viktigste helseeffekten av nitrogendioksid er på luftveiene. Innånding av nitrogendioksid av barn øker risikoen for luftveisinfeksjon og kan føre til dårligere lungefunksjon senere i livet.</v>
      </c>
      <c r="AV228" s="7" t="str">
        <f>IFERROR(__xludf.DUMMYFUNCTION("GoogleTranslate(C228, ""en"", ""fa"")"),"اثر اصلی دی اکسید نیتروژن بر سلامت دستگاه تنفسی است. استنشاق دی اکسید نیتروژن توسط کودکان خطر ابتلا به عفونت تنفسی را افزایش می دهد و ممکن است منجر به عملکرد ضعیف ریه در زندگی بعدی شود.")</f>
        <v>اثر اصلی دی اکسید نیتروژن بر سلامت دستگاه تنفسی است. استنشاق دی اکسید نیتروژن توسط کودکان خطر ابتلا به عفونت تنفسی را افزایش می دهد و ممکن است منجر به عملکرد ضعیف ریه در زندگی بعدی شود.</v>
      </c>
      <c r="AW228" s="7" t="str">
        <f>IFERROR(__xludf.DUMMYFUNCTION("GoogleTranslate(C228, ""en"", ""pl"")"),"Główny wpływ dwutlenku azotu na zdrowie dotyczy układu oddechowego. Wdychanie dwutlenku azotu przez dzieci zwiększa ryzyko infekcji dróg oddechowych i może prowadzić do gorszej czynności płuc w późniejszym życiu.")</f>
        <v>Główny wpływ dwutlenku azotu na zdrowie dotyczy układu oddechowego. Wdychanie dwutlenku azotu przez dzieci zwiększa ryzyko infekcji dróg oddechowych i może prowadzić do gorszej czynności płuc w późniejszym życiu.</v>
      </c>
      <c r="AX228" s="7" t="str">
        <f>IFERROR(__xludf.DUMMYFUNCTION("GoogleTranslate(C228, ""en"", ""pt"")"),"O principal efeito do dióxido de nitrogênio na saúde ocorre no sistema respiratório. A inalação de dióxido de nitrogênio por crianças aumenta o risco de infecção respiratória e pode levar a uma pior função pulmonar mais tarde na vida.")</f>
        <v>O principal efeito do dióxido de nitrogênio na saúde ocorre no sistema respiratório. A inalação de dióxido de nitrogênio por crianças aumenta o risco de infecção respiratória e pode levar a uma pior função pulmonar mais tarde na vida.</v>
      </c>
      <c r="AY228" s="7" t="str">
        <f>IFERROR(__xludf.DUMMYFUNCTION("GoogleTranslate(C228, ""en"", ""ro"")"),"Principalul efect asupra sănătății al dioxidului de azot este asupra sistemului respirator. Inhalarea dioxidului de azot de către copii crește riscul lor de infecție respiratorie și poate duce la o funcționare mai slabă a plămânilor mai târziu în viață.")</f>
        <v>Principalul efect asupra sănătății al dioxidului de azot este asupra sistemului respirator. Inhalarea dioxidului de azot de către copii crește riscul lor de infecție respiratorie și poate duce la o funcționare mai slabă a plămânilor mai târziu în viață.</v>
      </c>
      <c r="AZ228" s="7" t="str">
        <f>IFERROR(__xludf.DUMMYFUNCTION("GoogleTranslate(C228, ""en"", ""ru"")"),"Основное воздействие диоксида азота на здоровье оказывается на дыхательную систему. Вдыхание диоксида азота детьми увеличивает риск респираторных инфекций и может привести к ухудшению функции легких в дальнейшей жизни.")</f>
        <v>Основное воздействие диоксида азота на здоровье оказывается на дыхательную систему. Вдыхание диоксида азота детьми увеличивает риск респираторных инфекций и может привести к ухудшению функции легких в дальнейшей жизни.</v>
      </c>
      <c r="BA228" s="7" t="str">
        <f>IFERROR(__xludf.DUMMYFUNCTION("GoogleTranslate(C228, ""en"", ""sr"")"),"Главни здравствени ефекат азот-диоксида је на респираторни систем. Удисање азот-диоксида код деце повећава ризик од респираторне инфекције и може довести до слабије функције плућа у каснијем животу.")</f>
        <v>Главни здравствени ефекат азот-диоксида је на респираторни систем. Удисање азот-диоксида код деце повећава ризик од респираторне инфекције и може довести до слабије функције плућа у каснијем животу.</v>
      </c>
      <c r="BB228" s="7" t="str">
        <f>IFERROR(__xludf.DUMMYFUNCTION("GoogleTranslate(C228, ""en"", ""si"")"),"නයිට්‍රජන් ඩයොක්සයිඩ් වල ප්‍රධාන සෞඛ්‍ය බලපෑම වන්නේ ශ්වසන පද්ධතියටයි. ළමුන් විසින් නයිට්‍රජන් ඩයොක්සයිඩ් ආශ්වාස කිරීම ඔවුන්ගේ ශ්වසන ආසාදන අවදානම වැඩි කරන අතර පසුකාලීන ජීවිතයේ පෙනහළු ක්‍රියාකාරිත්වය දුර්වල වීමට හේතු විය හැක.")</f>
        <v>නයිට්‍රජන් ඩයොක්සයිඩ් වල ප්‍රධාන සෞඛ්‍ය බලපෑම වන්නේ ශ්වසන පද්ධතියටයි. ළමුන් විසින් නයිට්‍රජන් ඩයොක්සයිඩ් ආශ්වාස කිරීම ඔවුන්ගේ ශ්වසන ආසාදන අවදානම වැඩි කරන අතර පසුකාලීන ජීවිතයේ පෙනහළු ක්‍රියාකාරිත්වය දුර්වල වීමට හේතු විය හැක.</v>
      </c>
      <c r="BC228" s="7" t="str">
        <f>IFERROR(__xludf.DUMMYFUNCTION("GoogleTranslate(C228, ""en"", ""sk"")"),"Hlavný zdravotný účinok oxidu dusičitého je na dýchací systém. Inhalácia oxidu dusičitého deťmi zvyšuje riziko infekcie dýchacích ciest a môže viesť k zhoršeniu funkcie pľúc v neskoršom veku.")</f>
        <v>Hlavný zdravotný účinok oxidu dusičitého je na dýchací systém. Inhalácia oxidu dusičitého deťmi zvyšuje riziko infekcie dýchacích ciest a môže viesť k zhoršeniu funkcie pľúc v neskoršom veku.</v>
      </c>
      <c r="BD228" s="7" t="str">
        <f>IFERROR(__xludf.DUMMYFUNCTION("GoogleTranslate(C228, ""en"", ""sl"")"),"Glavni učinek dušikovega dioksida na zdravje je na dihala. Vdihavanje dušikovega dioksida pri otrocih poveča tveganje za okužbo dihal in lahko povzroči slabše delovanje pljuč v poznejšem življenju.")</f>
        <v>Glavni učinek dušikovega dioksida na zdravje je na dihala. Vdihavanje dušikovega dioksida pri otrocih poveča tveganje za okužbo dihal in lahko povzroči slabše delovanje pljuč v poznejšem življenju.</v>
      </c>
      <c r="BE228" s="7" t="str">
        <f>IFERROR(__xludf.DUMMYFUNCTION("GoogleTranslate(C228, ""en"", ""es"")"),"El principal efecto del dióxido de nitrógeno sobre la salud se produce en el sistema respiratorio. La inhalación de dióxido de nitrógeno por parte de los niños aumenta su riesgo de infección respiratoria y puede provocar una función pulmonar más deficient"&amp;"e en el futuro.")</f>
        <v>El principal efecto del dióxido de nitrógeno sobre la salud se produce en el sistema respiratorio. La inhalación de dióxido de nitrógeno por parte de los niños aumenta su riesgo de infección respiratoria y puede provocar una función pulmonar más deficiente en el futuro.</v>
      </c>
      <c r="BF228" s="7" t="str">
        <f>IFERROR(__xludf.DUMMYFUNCTION("GoogleTranslate(C228, ""en"", ""sw"")"),"Athari kuu ya afya ya dioksidi ya nitrojeni iko kwenye mfumo wa kupumua. Kuvuta pumzi ya dioksidi ya nitrojeni kwa watoto huongeza hatari ya kupata maambukizi ya njia ya upumuaji na kunaweza kusababisha utendaji mbaya wa mapafu katika maisha ya baadaye.")</f>
        <v>Athari kuu ya afya ya dioksidi ya nitrojeni iko kwenye mfumo wa kupumua. Kuvuta pumzi ya dioksidi ya nitrojeni kwa watoto huongeza hatari ya kupata maambukizi ya njia ya upumuaji na kunaweza kusababisha utendaji mbaya wa mapafu katika maisha ya baadaye.</v>
      </c>
      <c r="BG228" s="7" t="str">
        <f>IFERROR(__xludf.DUMMYFUNCTION("GoogleTranslate(C228, ""en"", ""sv"")"),"Den huvudsakliga hälsoeffekten av kvävedioxid är på andningsorganen. Inandning av kvävedioxid av barn ökar risken för luftvägsinfektion och kan leda till sämre lungfunktion senare i livet.")</f>
        <v>Den huvudsakliga hälsoeffekten av kvävedioxid är på andningsorganen. Inandning av kvävedioxid av barn ökar risken för luftvägsinfektion och kan leda till sämre lungfunktion senare i livet.</v>
      </c>
      <c r="BH228" s="7" t="str">
        <f>IFERROR(__xludf.DUMMYFUNCTION("GoogleTranslate(C228, ""en"", ""te"")"),"నైట్రోజన్ డయాక్సైడ్ యొక్క ప్రధాన ఆరోగ్య ప్రభావం శ్వాసకోశ వ్యవస్థపై ఉంటుంది. పిల్లలు నైట్రోజన్ డయాక్సైడ్ పీల్చడం వల్ల వారి శ్వాసకోశ సంక్రమణ ప్రమాదాన్ని పెంచుతుంది మరియు తరువాతి జీవితంలో ఊపిరితిత్తుల పనితీరు బలహీనపడవచ్చు.")</f>
        <v>నైట్రోజన్ డయాక్సైడ్ యొక్క ప్రధాన ఆరోగ్య ప్రభావం శ్వాసకోశ వ్యవస్థపై ఉంటుంది. పిల్లలు నైట్రోజన్ డయాక్సైడ్ పీల్చడం వల్ల వారి శ్వాసకోశ సంక్రమణ ప్రమాదాన్ని పెంచుతుంది మరియు తరువాతి జీవితంలో ఊపిరితిత్తుల పనితీరు బలహీనపడవచ్చు.</v>
      </c>
      <c r="BI228" s="7" t="str">
        <f>IFERROR(__xludf.DUMMYFUNCTION("GoogleTranslate(C228, ""en"", ""th"")"),"ผลกระทบต่อสุขภาพที่สำคัญของไนโตรเจนไดออกไซด์อยู่ที่ระบบทางเดินหายใจ การสูดดมไนโตรเจนไดออกไซด์โดยเด็กจะเพิ่มความเสี่ยงต่อการติดเชื้อทางเดินหายใจ และอาจส่งผลให้การทำงานของปอดแย่ลงในชีวิตบั้นปลาย")</f>
        <v>ผลกระทบต่อสุขภาพที่สำคัญของไนโตรเจนไดออกไซด์อยู่ที่ระบบทางเดินหายใจ การสูดดมไนโตรเจนไดออกไซด์โดยเด็กจะเพิ่มความเสี่ยงต่อการติดเชื้อทางเดินหายใจ และอาจส่งผลให้การทำงานของปอดแย่ลงในชีวิตบั้นปลาย</v>
      </c>
      <c r="BJ228" s="7" t="str">
        <f>IFERROR(__xludf.DUMMYFUNCTION("GoogleTranslate(C228, ""en"", ""tr"")"),"Nitrojen dioksitin sağlık üzerindeki ana etkisi solunum sistemi üzerindedir. Nitrojen dioksitin çocuklar tarafından solunması, solunum yolu enfeksiyonu riskini artırır ve daha sonraki yaşamda akciğer fonksiyonlarının zayıflamasına neden olabilir.")</f>
        <v>Nitrojen dioksitin sağlık üzerindeki ana etkisi solunum sistemi üzerindedir. Nitrojen dioksitin çocuklar tarafından solunması, solunum yolu enfeksiyonu riskini artırır ve daha sonraki yaşamda akciğer fonksiyonlarının zayıflamasına neden olabilir.</v>
      </c>
      <c r="BK228" s="7" t="str">
        <f>IFERROR(__xludf.DUMMYFUNCTION("GoogleTranslate(C228, ""en"", ""uk"")"),"Основний вплив діоксиду азоту на здоров'я - на дихальну систему. Вдихання діоксиду азоту дітьми підвищує ризик респіраторних інфекцій і може призвести до погіршення функції легенів у подальшому житті.")</f>
        <v>Основний вплив діоксиду азоту на здоров'я - на дихальну систему. Вдихання діоксиду азоту дітьми підвищує ризик респіраторних інфекцій і може призвести до погіршення функції легенів у подальшому житті.</v>
      </c>
      <c r="BL228" s="7" t="str">
        <f>IFERROR(__xludf.DUMMYFUNCTION("GoogleTranslate(C228, ""en"", ""zu"")"),"Umthelela omkhulu wezempilo we-nitrogen dioxide usesimiso sokuphefumula. Ukuhogela izingane nge-nitrogen dioxide kwandisa ingozi yazo yokutheleleka ngokuphefumula futhi kungase kuholele ekusebenzeni kabi kwamaphaphu lapho sezikhulile.")</f>
        <v>Umthelela omkhulu wezempilo we-nitrogen dioxide usesimiso sokuphefumula. Ukuhogela izingane nge-nitrogen dioxide kwandisa ingozi yazo yokutheleleka ngokuphefumula futhi kungase kuholele ekusebenzeni kabi kwamaphaphu lapho sezikhulile.</v>
      </c>
    </row>
    <row r="229">
      <c r="A229" s="5" t="str">
        <f t="shared" si="1"/>
        <v>Breathing_air_with_a_high_concentration_of_CO_reduces_the_amount_of_oxygen_that_can_be_transported_in_the_blood_stream_to_critical_organs_like_the_heart_and_brain._At_very_high_levels,_which_are_possible_indoors_or_in_other_enclosed_environments,_CO_can_cause_dizziness,_confusion,_unconsciousness_and_death.</v>
      </c>
      <c r="B229" s="4" t="s">
        <v>272</v>
      </c>
      <c r="C229" s="4" t="s">
        <v>272</v>
      </c>
      <c r="D229" s="7" t="str">
        <f>IFERROR(__xludf.DUMMYFUNCTION("GoogleTranslate(C229, ""en"", ""es"")"),"Respirar aire con una alta concentración de CO reduce la cantidad de oxígeno que puede transportarse en el torrente sanguíneo a órganos críticos como el corazón y el cerebro. En niveles muy altos, que son posibles en interiores o en otros ambientes cerrad"&amp;"os, el CO puede causar mareos, confusión, pérdida del conocimiento y la muerte.")</f>
        <v>Respirar aire con una alta concentración de CO reduce la cantidad de oxígeno que puede transportarse en el torrente sanguíneo a órganos críticos como el corazón y el cerebro. En niveles muy altos, que son posibles en interiores o en otros ambientes cerrados, el CO puede causar mareos, confusión, pérdida del conocimiento y la muerte.</v>
      </c>
      <c r="E229" s="7" t="str">
        <f>IFERROR(__xludf.DUMMYFUNCTION("GoogleTranslate(C229, ""en"", ""ar"")"),"إن استنشاق الهواء الذي يحتوي على نسبة عالية من ثاني أكسيد الكربون يقلل من كمية الأكسجين التي يمكن نقلها في مجرى الدم إلى الأعضاء الحيوية مثل القلب والدماغ. عند المستويات العالية جدًا، والتي يمكن حدوثها في الداخل أو في بيئات مغلقة أخرى، يمكن أن يسبب ثاني أ"&amp;"كسيد الكربون الدوخة والارتباك وفقدان الوعي والموت.")</f>
        <v>إن استنشاق الهواء الذي يحتوي على نسبة عالية من ثاني أكسيد الكربون يقلل من كمية الأكسجين التي يمكن نقلها في مجرى الدم إلى الأعضاء الحيوية مثل القلب والدماغ. عند المستويات العالية جدًا، والتي يمكن حدوثها في الداخل أو في بيئات مغلقة أخرى، يمكن أن يسبب ثاني أكسيد الكربون الدوخة والارتباك وفقدان الوعي والموت.</v>
      </c>
      <c r="F229" s="7" t="str">
        <f>IFERROR(__xludf.DUMMYFUNCTION("GoogleTranslate(C229, ""en"", ""hy"")"),"CO-ի բարձր կոնցենտրացիայով օդ շնչելը նվազեցնում է թթվածնի քանակությունը, որը կարող է արյան հոսքով տեղափոխվել կարևոր օրգաններ, ինչպիսիք են սիրտը և ուղեղը: Շատ բարձր մակարդակներում, որոնք հնարավոր են ներսում կամ այլ փակ միջավայրերում, CO-ն կարող է առաջացնել"&amp;" գլխապտույտ, շփոթություն, ուշագնացություն և մահ:")</f>
        <v>CO-ի բարձր կոնցենտրացիայով օդ շնչելը նվազեցնում է թթվածնի քանակությունը, որը կարող է արյան հոսքով տեղափոխվել կարևոր օրգաններ, ինչպիսիք են սիրտը և ուղեղը: Շատ բարձր մակարդակներում, որոնք հնարավոր են ներսում կամ այլ փակ միջավայրերում, CO-ն կարող է առաջացնել գլխապտույտ, շփոթություն, ուշագնացություն և մահ:</v>
      </c>
      <c r="G229" s="7" t="str">
        <f>IFERROR(__xludf.DUMMYFUNCTION("GoogleTranslate(C229, ""en"", ""vi"")"),"Hít thở không khí có nồng độ CO cao sẽ làm giảm lượng oxy được vận chuyển trong máu đến các cơ quan quan trọng như tim và não. Ở mức rất cao, có thể xảy ra trong nhà hoặc trong các môi trường khép kín khác, CO có thể gây chóng mặt, lú lẫn, bất tỉnh và tử "&amp;"vong.")</f>
        <v>Hít thở không khí có nồng độ CO cao sẽ làm giảm lượng oxy được vận chuyển trong máu đến các cơ quan quan trọng như tim và não. Ở mức rất cao, có thể xảy ra trong nhà hoặc trong các môi trường khép kín khác, CO có thể gây chóng mặt, lú lẫn, bất tỉnh và tử vong.</v>
      </c>
      <c r="H229" s="7" t="str">
        <f>IFERROR(__xludf.DUMMYFUNCTION("GoogleTranslate(C229, ""en"", ""az"")"),"Yüksək CO konsentrasiyası olan havanın nəfəs alması qan axını ilə ürək və beyin kimi kritik orqanlara daşına bilən oksigenin miqdarını azaldır. Daxili və ya digər qapalı mühitlərdə mümkün olan çox yüksək səviyyələrdə CO başgicəllənmə, çaşqınlıq, huşsuzluq"&amp;" və ölümə səbəb ola bilər.")</f>
        <v>Yüksək CO konsentrasiyası olan havanın nəfəs alması qan axını ilə ürək və beyin kimi kritik orqanlara daşına bilən oksigenin miqdarını azaldır. Daxili və ya digər qapalı mühitlərdə mümkün olan çox yüksək səviyyələrdə CO başgicəllənmə, çaşqınlıq, huşsuzluq və ölümə səbəb ola bilər.</v>
      </c>
      <c r="I229" s="7" t="str">
        <f>IFERROR(__xludf.DUMMYFUNCTION("GoogleTranslate(C229, ""en"", ""eu"")"),"CO kontzentrazio handia duen airea arnastea odolean bihotza eta garuna bezalako organo kritikoetara garraiatu daitekeen oxigeno kopurua murrizten du. Maila oso altuetan, barrualdean edo beste ingurune itxietan posible direnak, COk zorabioak, nahasmena, ko"&amp;"nortegabetasuna eta heriotza eragin ditzake.")</f>
        <v>CO kontzentrazio handia duen airea arnastea odolean bihotza eta garuna bezalako organo kritikoetara garraiatu daitekeen oxigeno kopurua murrizten du. Maila oso altuetan, barrualdean edo beste ingurune itxietan posible direnak, COk zorabioak, nahasmena, konortegabetasuna eta heriotza eragin ditzake.</v>
      </c>
      <c r="J229" s="7" t="str">
        <f>IFERROR(__xludf.DUMMYFUNCTION("GoogleTranslate(C229, ""en"", ""be"")"),"Удыханне паветра з высокай канцэнтрацыяй CO памяншае колькасць кіслароду, які можа транспартавацца крывёю да важных органаў, такіх як сэрца і мозг. Пры вельмі высокіх узроўнях, якія магчымы ў памяшканні або ў іншых закрытых памяшканнях, CO можа выклікаць "&amp;"галавакружэнне, спутанность свядомасці, страту прытомнасці і смерць.")</f>
        <v>Удыханне паветра з высокай канцэнтрацыяй CO памяншае колькасць кіслароду, які можа транспартавацца крывёю да важных органаў, такіх як сэрца і мозг. Пры вельмі высокіх узроўнях, якія магчымы ў памяшканні або ў іншых закрытых памяшканнях, CO можа выклікаць галавакружэнне, спутанность свядомасці, страту прытомнасці і смерць.</v>
      </c>
      <c r="K229" s="7" t="str">
        <f>IFERROR(__xludf.DUMMYFUNCTION("GoogleTranslate(C229, ""en"", ""bn"")"),"CO-এর উচ্চ ঘনত্বের সাথে শ্বাস-প্রশ্বাসের বায়ু অক্সিজেনের পরিমাণ হ্রাস করে যা রক্তের প্রবাহে হৃদয় এবং মস্তিষ্কের মতো গুরুত্বপূর্ণ অঙ্গগুলিতে পরিবাহিত হতে পারে। খুব উচ্চ স্তরে, যা বাড়ির ভিতরে বা অন্যান্য আবদ্ধ পরিবেশে সম্ভব, CO মাথা ঘোরা, বিভ্রান্তি, অচে"&amp;"তনতা এবং মৃত্যুর কারণ হতে পারে।")</f>
        <v>CO-এর উচ্চ ঘনত্বের সাথে শ্বাস-প্রশ্বাসের বায়ু অক্সিজেনের পরিমাণ হ্রাস করে যা রক্তের প্রবাহে হৃদয় এবং মস্তিষ্কের মতো গুরুত্বপূর্ণ অঙ্গগুলিতে পরিবাহিত হতে পারে। খুব উচ্চ স্তরে, যা বাড়ির ভিতরে বা অন্যান্য আবদ্ধ পরিবেশে সম্ভব, CO মাথা ঘোরা, বিভ্রান্তি, অচেতনতা এবং মৃত্যুর কারণ হতে পারে।</v>
      </c>
      <c r="L229" s="7" t="str">
        <f>IFERROR(__xludf.DUMMYFUNCTION("GoogleTranslate(C229, ""en"", ""bg"")"),"Вдишването на въздух с висока концентрация на CO намалява количеството кислород, което може да се транспортира в кръвния поток до критични органи като сърцето и мозъка. При много високи нива, които са възможни на закрито или в други затворени среди, CO мо"&amp;"же да причини замайване, объркване, безсъзнание и смърт.")</f>
        <v>Вдишването на въздух с висока концентрация на CO намалява количеството кислород, което може да се транспортира в кръвния поток до критични органи като сърцето и мозъка. При много високи нива, които са възможни на закрито или в други затворени среди, CO може да причини замайване, объркване, безсъзнание и смърт.</v>
      </c>
      <c r="M229" s="7" t="str">
        <f>IFERROR(__xludf.DUMMYFUNCTION("GoogleTranslate(C229, ""en"", ""my"")"),"CO ပမာဏမြင့်မားစွာ ရှူရှိုက်ရသောလေသည် နှလုံးနှင့် ဦးနှောက်ကဲ့သို့ အရေးကြီးသော အင်္ဂါများဆီသို့ ပို့ဆောင်နိုင်သည့် အောက်ဆီဂျင်ပမာဏကို လျော့နည်းစေသည်။ အိမ်တွင်း သို့မဟုတ် အခြားအလုံပိတ်ပတ်ဝန်းကျင်များတွင် ဖြစ်နိုင်သည့် အလွန်မြင့်မားသောအဆင့်တွင် CO သည် မူးဝေခ"&amp;"ြင်း၊ စိတ်ရှုပ်ထွေးခြင်း၊ သတိလစ်ခြင်းနှင့် သေဆုံးခြင်းတို့ကို ဖြစ်စေနိုင်သည်။")</f>
        <v>CO ပမာဏမြင့်မားစွာ ရှူရှိုက်ရသောလေသည် နှလုံးနှင့် ဦးနှောက်ကဲ့သို့ အရေးကြီးသော အင်္ဂါများဆီသို့ ပို့ဆောင်နိုင်သည့် အောက်ဆီဂျင်ပမာဏကို လျော့နည်းစေသည်။ အိမ်တွင်း သို့မဟုတ် အခြားအလုံပိတ်ပတ်ဝန်းကျင်များတွင် ဖြစ်နိုင်သည့် အလွန်မြင့်မားသောအဆင့်တွင် CO သည် မူးဝေခြင်း၊ စိတ်ရှုပ်ထွေးခြင်း၊ သတိလစ်ခြင်းနှင့် သေဆုံးခြင်းတို့ကို ဖြစ်စေနိုင်သည်။</v>
      </c>
      <c r="N229" s="7" t="str">
        <f>IFERROR(__xludf.DUMMYFUNCTION("GoogleTranslate(C229, ""en"", ""ca"")"),"Respirar aire amb una alta concentració de CO redueix la quantitat d'oxigen que es pot transportar al torrent sanguini a òrgans crítics com el cor i el cervell. A nivells molt elevats, que són possibles a l'interior o en altres ambients tancats, el CO pot"&amp;" provocar marejos, confusió, inconsciència i la mort.")</f>
        <v>Respirar aire amb una alta concentració de CO redueix la quantitat d'oxigen que es pot transportar al torrent sanguini a òrgans crítics com el cor i el cervell. A nivells molt elevats, que són possibles a l'interior o en altres ambients tancats, el CO pot provocar marejos, confusió, inconsciència i la mort.</v>
      </c>
      <c r="O229" s="7" t="str">
        <f>IFERROR(__xludf.DUMMYFUNCTION("GoogleTranslate(C229, ""en"", ""zh-cn"")"),"呼吸高浓度二氧化碳的空气会减少血液中输送到心脏和大脑等关键器官的氧气量。在室内或其他封闭环境中，二氧化碳浓度可能很高，会导致头晕、神志不清、失去知觉和死亡。")</f>
        <v>呼吸高浓度二氧化碳的空气会减少血液中输送到心脏和大脑等关键器官的氧气量。在室内或其他封闭环境中，二氧化碳浓度可能很高，会导致头晕、神志不清、失去知觉和死亡。</v>
      </c>
      <c r="P229" s="7" t="str">
        <f>IFERROR(__xludf.DUMMYFUNCTION("GoogleTranslate(C229, ""en"", ""zh-TW"")"),"呼吸高濃度二氧化碳的空氣會減少血液中輸送到心臟和大腦等關鍵器官的氧氣量。在室內或其他封閉環境中，二氧化碳濃度可能很高，會導致頭暈、神智不清、失去知覺和死亡。")</f>
        <v>呼吸高濃度二氧化碳的空氣會減少血液中輸送到心臟和大腦等關鍵器官的氧氣量。在室內或其他封閉環境中，二氧化碳濃度可能很高，會導致頭暈、神智不清、失去知覺和死亡。</v>
      </c>
      <c r="Q229" s="7" t="str">
        <f>IFERROR(__xludf.DUMMYFUNCTION("GoogleTranslate(C229, ""en"", ""hr"")"),"Udisanje zraka s visokom koncentracijom CO smanjuje količinu kisika koja se krvotokom može prenijeti do kritičnih organa poput srca i mozga. Pri vrlo visokim razinama, koje su moguće u zatvorenim prostorima ili drugim zatvorenim prostorima, CO može uzroko"&amp;"vati vrtoglavicu, zbunjenost, nesvjesticu i smrt.")</f>
        <v>Udisanje zraka s visokom koncentracijom CO smanjuje količinu kisika koja se krvotokom može prenijeti do kritičnih organa poput srca i mozga. Pri vrlo visokim razinama, koje su moguće u zatvorenim prostorima ili drugim zatvorenim prostorima, CO može uzrokovati vrtoglavicu, zbunjenost, nesvjesticu i smrt.</v>
      </c>
      <c r="R229" s="7" t="str">
        <f>IFERROR(__xludf.DUMMYFUNCTION("GoogleTranslate(C229, ""en"", ""cs"")"),"Dýchání vzduchu s vysokou koncentrací CO snižuje množství kyslíku, které může být transportováno v krevním řečišti do kritických orgánů, jako je srdce a mozek. Při velmi vysokých hladinách, které jsou možné uvnitř nebo v jiných uzavřených prostředích, můž"&amp;"e CO způsobit závratě, zmatenost, bezvědomí a smrt.")</f>
        <v>Dýchání vzduchu s vysokou koncentrací CO snižuje množství kyslíku, které může být transportováno v krevním řečišti do kritických orgánů, jako je srdce a mozek. Při velmi vysokých hladinách, které jsou možné uvnitř nebo v jiných uzavřených prostředích, může CO způsobit závratě, zmatenost, bezvědomí a smrt.</v>
      </c>
      <c r="S229" s="7" t="str">
        <f>IFERROR(__xludf.DUMMYFUNCTION("GoogleTranslate(C229, ""en"", ""da"")"),"Indånding af luft med en høj koncentration af CO reducerer mængden af ​​ilt, der kan transporteres i blodbanen til kritiske organer som hjertet og hjernen. Ved meget høje niveauer, som er mulige indendørs eller i andre lukkede omgivelser, kan CO forårsage"&amp;" svimmelhed, forvirring, bevidstløshed og død.")</f>
        <v>Indånding af luft med en høj koncentration af CO reducerer mængden af ​​ilt, der kan transporteres i blodbanen til kritiske organer som hjertet og hjernen. Ved meget høje niveauer, som er mulige indendørs eller i andre lukkede omgivelser, kan CO forårsage svimmelhed, forvirring, bevidstløshed og død.</v>
      </c>
      <c r="T229" s="7" t="str">
        <f>IFERROR(__xludf.DUMMYFUNCTION("GoogleTranslate(C229, ""en"", ""nl"")"),"Het inademen van lucht met een hoge CO-concentratie vermindert de hoeveelheid zuurstof die in de bloedbaan naar kritische organen zoals het hart en de hersenen kan worden getransporteerd. Op zeer hoge niveaus, wat mogelijk is binnenshuis of in andere besl"&amp;"oten omgevingen, kan CO duizeligheid, verwarring, bewusteloosheid en de dood veroorzaken.")</f>
        <v>Het inademen van lucht met een hoge CO-concentratie vermindert de hoeveelheid zuurstof die in de bloedbaan naar kritische organen zoals het hart en de hersenen kan worden getransporteerd. Op zeer hoge niveaus, wat mogelijk is binnenshuis of in andere besloten omgevingen, kan CO duizeligheid, verwarring, bewusteloosheid en de dood veroorzaken.</v>
      </c>
      <c r="U229" s="7" t="str">
        <f>IFERROR(__xludf.DUMMYFUNCTION("GoogleTranslate(C229, ""en"", ""et"")"),"Kõrge CO kontsentratsiooniga õhu sissehingamine vähendab hapniku hulka, mida saab vereringes transportida kriitilistesse organitesse, nagu süda ja aju. Väga kõrgel tasemel, mis on võimalik siseruumides või muus suletud keskkonnas, võib CO põhjustada peari"&amp;"nglust, segadust, teadvusetust ja surma.")</f>
        <v>Kõrge CO kontsentratsiooniga õhu sissehingamine vähendab hapniku hulka, mida saab vereringes transportida kriitilistesse organitesse, nagu süda ja aju. Väga kõrgel tasemel, mis on võimalik siseruumides või muus suletud keskkonnas, võib CO põhjustada pearinglust, segadust, teadvusetust ja surma.</v>
      </c>
      <c r="V229" s="5" t="str">
        <f t="shared" si="3"/>
        <v>Breathing air with a high concentration of CO reduces the amount of oxygen that can be transported in the blood stream to critical organs like the heart and brain. At very high levels, which are possible indoors or in other enclosed environments, CO can cause dizziness, confusion, unconsciousness and death.</v>
      </c>
      <c r="W229" s="7" t="str">
        <f>IFERROR(__xludf.DUMMYFUNCTION("GoogleTranslate(C229, ""en"", ""fi"")"),"Korkean CO-pitoisuuden sisältävän ilman hengittäminen vähentää hapen määrää, joka voidaan kuljettaa verenkierrossa kriittisiin elimiin, kuten sydämeen ja aivoihin. Erittäin korkeilla pitoisuuksilla, jotka ovat mahdollisia sisätiloissa tai muissa suljetuis"&amp;"sa ympäristöissä, CO voi aiheuttaa huimausta, sekavuutta, tajuttomuutta ja kuoleman.")</f>
        <v>Korkean CO-pitoisuuden sisältävän ilman hengittäminen vähentää hapen määrää, joka voidaan kuljettaa verenkierrossa kriittisiin elimiin, kuten sydämeen ja aivoihin. Erittäin korkeilla pitoisuuksilla, jotka ovat mahdollisia sisätiloissa tai muissa suljetuissa ympäristöissä, CO voi aiheuttaa huimausta, sekavuutta, tajuttomuutta ja kuoleman.</v>
      </c>
      <c r="X229" s="7" t="str">
        <f>IFERROR(__xludf.DUMMYFUNCTION("GoogleTranslate(C229, ""en"", ""fr"")"),"Respirer de l'air avec une concentration élevée de CO réduit la quantité d'oxygène qui peut être transportée dans la circulation sanguine vers des organes critiques comme le cœur et le cerveau. À des niveaux très élevés, possibles à l'intérieur ou dans d'"&amp;"autres environnements clos, le CO peut provoquer des étourdissements, de la confusion, une perte de conscience et la mort.")</f>
        <v>Respirer de l'air avec une concentration élevée de CO réduit la quantité d'oxygène qui peut être transportée dans la circulation sanguine vers des organes critiques comme le cœur et le cerveau. À des niveaux très élevés, possibles à l'intérieur ou dans d'autres environnements clos, le CO peut provoquer des étourdissements, de la confusion, une perte de conscience et la mort.</v>
      </c>
      <c r="Y229" s="7" t="str">
        <f>IFERROR(__xludf.DUMMYFUNCTION("GoogleTranslate(C229, ""en"", ""de"")"),"Atemluft mit einer hohen CO-Konzentration verringert die Menge an Sauerstoff, die im Blutkreislauf zu wichtigen Organen wie Herz und Gehirn transportiert werden kann. Bei sehr hohen Konzentrationen, die in Innenräumen oder anderen geschlossenen Räumen mög"&amp;"lich sind, kann CO Schwindel, Verwirrtheit, Bewusstlosigkeit und Tod verursachen.")</f>
        <v>Atemluft mit einer hohen CO-Konzentration verringert die Menge an Sauerstoff, die im Blutkreislauf zu wichtigen Organen wie Herz und Gehirn transportiert werden kann. Bei sehr hohen Konzentrationen, die in Innenräumen oder anderen geschlossenen Räumen möglich sind, kann CO Schwindel, Verwirrtheit, Bewusstlosigkeit und Tod verursachen.</v>
      </c>
      <c r="Z229" s="7" t="str">
        <f>IFERROR(__xludf.DUMMYFUNCTION("GoogleTranslate(C229, ""en"", ""el"")"),"Η εισπνοή αέρα με υψηλή συγκέντρωση CO μειώνει την ποσότητα οξυγόνου που μπορεί να μεταφερθεί στην κυκλοφορία του αίματος σε κρίσιμα όργανα όπως η καρδιά και ο εγκέφαλος. Σε πολύ υψηλά επίπεδα, τα οποία είναι πιθανά σε εσωτερικούς ή σε άλλα κλειστά περιβά"&amp;"λλοντα, το CO μπορεί να προκαλέσει ζάλη, σύγχυση, απώλεια των αισθήσεων και θάνατο.")</f>
        <v>Η εισπνοή αέρα με υψηλή συγκέντρωση CO μειώνει την ποσότητα οξυγόνου που μπορεί να μεταφερθεί στην κυκλοφορία του αίματος σε κρίσιμα όργανα όπως η καρδιά και ο εγκέφαλος. Σε πολύ υψηλά επίπεδα, τα οποία είναι πιθανά σε εσωτερικούς ή σε άλλα κλειστά περιβάλλοντα, το CO μπορεί να προκαλέσει ζάλη, σύγχυση, απώλεια των αισθήσεων και θάνατο.</v>
      </c>
      <c r="AA229" s="7" t="str">
        <f>IFERROR(__xludf.DUMMYFUNCTION("GoogleTranslate(C229, ""en"", ""iw"")"),"נשימה של אוויר עם ריכוז גבוה של CO מפחיתה את כמות החמצן שניתן להעביר בזרם הדם לאיברים קריטיים כמו הלב והמוח. ברמות גבוהות מאוד, האפשריות בתוך הבית או בסביבות סגורות אחרות, CO עלול לגרום לסחרחורת, בלבול, חוסר הכרה ומוות.")</f>
        <v>נשימה של אוויר עם ריכוז גבוה של CO מפחיתה את כמות החמצן שניתן להעביר בזרם הדם לאיברים קריטיים כמו הלב והמוח. ברמות גבוהות מאוד, האפשריות בתוך הבית או בסביבות סגורות אחרות, CO עלול לגרום לסחרחורת, בלבול, חוסר הכרה ומוות.</v>
      </c>
      <c r="AB229" s="7" t="str">
        <f>IFERROR(__xludf.DUMMYFUNCTION("GoogleTranslate(C229, ""en"", ""hi"")"),"सीओ की उच्च सांद्रता वाली हवा में सांस लेने से ऑक्सीजन की मात्रा कम हो जाती है जिसे रक्त प्रवाह में हृदय और मस्तिष्क जैसे महत्वपूर्ण अंगों तक पहुंचाया जा सकता है। बहुत उच्च स्तर पर, जो घर के अंदर या अन्य बंद वातावरण में संभव है, सीओ चक्कर, भ्रम, बेहोशी और"&amp;" मृत्यु का कारण बन सकता है।")</f>
        <v>सीओ की उच्च सांद्रता वाली हवा में सांस लेने से ऑक्सीजन की मात्रा कम हो जाती है जिसे रक्त प्रवाह में हृदय और मस्तिष्क जैसे महत्वपूर्ण अंगों तक पहुंचाया जा सकता है। बहुत उच्च स्तर पर, जो घर के अंदर या अन्य बंद वातावरण में संभव है, सीओ चक्कर, भ्रम, बेहोशी और मृत्यु का कारण बन सकता है।</v>
      </c>
      <c r="AC229" s="7" t="str">
        <f>IFERROR(__xludf.DUMMYFUNCTION("GoogleTranslate(C229, ""en"", ""hu"")"),"A magas CO-koncentrációjú levegő belélegzése csökkenti a véráramban a kritikus szervekbe, például a szívbe és az agyba szállítható oxigén mennyiségét. Nagyon magas szinten, ami beltéren vagy más zárt környezetben lehetséges, a CO szédülést, zavartságot, e"&amp;"szméletvesztést és halált okozhat.")</f>
        <v>A magas CO-koncentrációjú levegő belélegzése csökkenti a véráramban a kritikus szervekbe, például a szívbe és az agyba szállítható oxigén mennyiségét. Nagyon magas szinten, ami beltéren vagy más zárt környezetben lehetséges, a CO szédülést, zavartságot, eszméletvesztést és halált okozhat.</v>
      </c>
      <c r="AD229" s="7" t="str">
        <f>IFERROR(__xludf.DUMMYFUNCTION("GoogleTranslate(C229, ""en"", ""is"")"),"Innöndun lofts með háum styrk CO dregur úr súrefnismagni sem hægt er að flytja í blóðrásinni til mikilvægra líffæra eins og hjarta og heila. Í mjög háu magni, sem er mögulegt innandyra eða í öðru lokuðu umhverfi, getur CO valdið sundli, rugli, meðvitundar"&amp;"leysi og dauða.")</f>
        <v>Innöndun lofts með háum styrk CO dregur úr súrefnismagni sem hægt er að flytja í blóðrásinni til mikilvægra líffæra eins og hjarta og heila. Í mjög háu magni, sem er mögulegt innandyra eða í öðru lokuðu umhverfi, getur CO valdið sundli, rugli, meðvitundarleysi og dauða.</v>
      </c>
      <c r="AE229" s="7" t="str">
        <f>IFERROR(__xludf.DUMMYFUNCTION("GoogleTranslate(C229, ""en"", ""id"")"),"Menghirup udara dengan konsentrasi CO yang tinggi mengurangi jumlah oksigen yang dapat diangkut dalam aliran darah ke organ penting seperti jantung dan otak. Pada tingkat yang sangat tinggi, yang mungkin terjadi di dalam ruangan atau di lingkungan tertutu"&amp;"p lainnya, CO dapat menyebabkan pusing, kebingungan, tidak sadarkan diri, dan kematian.")</f>
        <v>Menghirup udara dengan konsentrasi CO yang tinggi mengurangi jumlah oksigen yang dapat diangkut dalam aliran darah ke organ penting seperti jantung dan otak. Pada tingkat yang sangat tinggi, yang mungkin terjadi di dalam ruangan atau di lingkungan tertutup lainnya, CO dapat menyebabkan pusing, kebingungan, tidak sadarkan diri, dan kematian.</v>
      </c>
      <c r="AF229" s="7" t="str">
        <f>IFERROR(__xludf.DUMMYFUNCTION("GoogleTranslate(C229, ""en"", ""in"")"),"Menghirup udara dengan konsentrasi CO yang tinggi mengurangi jumlah oksigen yang dapat diangkut dalam aliran darah ke organ penting seperti jantung dan otak. Pada tingkat yang sangat tinggi, yang mungkin terjadi di dalam ruangan atau di lingkungan tertutu"&amp;"p lainnya, CO dapat menyebabkan pusing, kebingungan, tidak sadarkan diri, dan kematian.")</f>
        <v>Menghirup udara dengan konsentrasi CO yang tinggi mengurangi jumlah oksigen yang dapat diangkut dalam aliran darah ke organ penting seperti jantung dan otak. Pada tingkat yang sangat tinggi, yang mungkin terjadi di dalam ruangan atau di lingkungan tertutup lainnya, CO dapat menyebabkan pusing, kebingungan, tidak sadarkan diri, dan kematian.</v>
      </c>
      <c r="AG229" s="7" t="str">
        <f>IFERROR(__xludf.DUMMYFUNCTION("GoogleTranslate(C229, ""en"", ""it"")"),"Respirare aria con un’alta concentrazione di CO riduce la quantità di ossigeno che può essere trasportata nel flusso sanguigno verso organi critici come il cuore e il cervello. A livelli molto elevati, possibili all'interno o in altri ambienti chiusi, la "&amp;"CO può causare vertigini, confusione, perdita di coscienza e morte.")</f>
        <v>Respirare aria con un’alta concentrazione di CO riduce la quantità di ossigeno che può essere trasportata nel flusso sanguigno verso organi critici come il cuore e il cervello. A livelli molto elevati, possibili all'interno o in altri ambienti chiusi, la CO può causare vertigini, confusione, perdita di coscienza e morte.</v>
      </c>
      <c r="AH229" s="7" t="str">
        <f>IFERROR(__xludf.DUMMYFUNCTION("GoogleTranslate(C229, ""en"", ""ja"")"),"高濃度の二酸化炭素を含む空気を呼吸すると、血流に乗って心臓や脳などの重要な器官に輸送できる酸素の量が減少します。非常に高レベルの CO は、屋内やその他の密閉された環境で発生する可能性があり、めまい、混乱、意識不明、死亡を引き起こす可能性があります。")</f>
        <v>高濃度の二酸化炭素を含む空気を呼吸すると、血流に乗って心臓や脳などの重要な器官に輸送できる酸素の量が減少します。非常に高レベルの CO は、屋内やその他の密閉された環境で発生する可能性があり、めまい、混乱、意識不明、死亡を引き起こす可能性があります。</v>
      </c>
      <c r="AI229" s="7" t="str">
        <f>IFERROR(__xludf.DUMMYFUNCTION("GoogleTranslate(C229, ""en"", ""kn"")"),"CO ಯ ಹೆಚ್ಚಿನ ಸಾಂದ್ರತೆಯೊಂದಿಗೆ ಗಾಳಿಯನ್ನು ಉಸಿರಾಡುವುದು ರಕ್ತದ ಹರಿವಿನಲ್ಲಿ ಹೃದಯ ಮತ್ತು ಮೆದುಳಿನಂತಹ ನಿರ್ಣಾಯಕ ಅಂಗಗಳಿಗೆ ಸಾಗಿಸಬಹುದಾದ ಆಮ್ಲಜನಕದ ಪ್ರಮಾಣವನ್ನು ಕಡಿಮೆ ಮಾಡುತ್ತದೆ. ಹೆಚ್ಚಿನ ಮಟ್ಟದಲ್ಲಿ, ಒಳಾಂಗಣದಲ್ಲಿ ಅಥವಾ ಇತರ ಸುತ್ತುವರಿದ ವಾತಾವರಣದಲ್ಲಿ, CO ತಲೆತಿರುಗುವಿಕೆ, ಗೊಂದಲ, ಪ್ರಜ್ಞಾ"&amp;"ಹೀನತೆ ಮತ್ತು ಸಾವಿಗೆ ಕಾರಣವಾಗಬಹುದು.")</f>
        <v>CO ಯ ಹೆಚ್ಚಿನ ಸಾಂದ್ರತೆಯೊಂದಿಗೆ ಗಾಳಿಯನ್ನು ಉಸಿರಾಡುವುದು ರಕ್ತದ ಹರಿವಿನಲ್ಲಿ ಹೃದಯ ಮತ್ತು ಮೆದುಳಿನಂತಹ ನಿರ್ಣಾಯಕ ಅಂಗಗಳಿಗೆ ಸಾಗಿಸಬಹುದಾದ ಆಮ್ಲಜನಕದ ಪ್ರಮಾಣವನ್ನು ಕಡಿಮೆ ಮಾಡುತ್ತದೆ. ಹೆಚ್ಚಿನ ಮಟ್ಟದಲ್ಲಿ, ಒಳಾಂಗಣದಲ್ಲಿ ಅಥವಾ ಇತರ ಸುತ್ತುವರಿದ ವಾತಾವರಣದಲ್ಲಿ, CO ತಲೆತಿರುಗುವಿಕೆ, ಗೊಂದಲ, ಪ್ರಜ್ಞಾಹೀನತೆ ಮತ್ತು ಸಾವಿಗೆ ಕಾರಣವಾಗಬಹುದು.</v>
      </c>
      <c r="AJ229" s="7" t="str">
        <f>IFERROR(__xludf.DUMMYFUNCTION("GoogleTranslate(C229, ""en"", ""km"")"),"ការដកដង្ហើមតាមខ្យល់ដែលមានកំហាប់ខ្ពស់នៃ CO កាត់បន្ថយបរិមាណអុកស៊ីសែន ដែលអាចដឹកជញ្ជូនក្នុងចរន្តឈាមទៅកាន់សរីរាង្គសំខាន់ៗដូចជាបេះដូង និងខួរក្បាល។ នៅកម្រិតខ្ពស់បំផុត ដែលអាចធ្វើទៅបាននៅក្នុងផ្ទះ ឬក្នុងបរិយាកាសបិទជិតផ្សេងទៀត CO អាចបណ្តាលឱ្យវិលមុខ ច្របូកច្របល់ សន្ល"&amp;"ប់ និងស្លាប់។")</f>
        <v>ការដកដង្ហើមតាមខ្យល់ដែលមានកំហាប់ខ្ពស់នៃ CO កាត់បន្ថយបរិមាណអុកស៊ីសែន ដែលអាចដឹកជញ្ជូនក្នុងចរន្តឈាមទៅកាន់សរីរាង្គសំខាន់ៗដូចជាបេះដូង និងខួរក្បាល។ នៅកម្រិតខ្ពស់បំផុត ដែលអាចធ្វើទៅបាននៅក្នុងផ្ទះ ឬក្នុងបរិយាកាសបិទជិតផ្សេងទៀត CO អាចបណ្តាលឱ្យវិលមុខ ច្របូកច្របល់ សន្លប់ និងស្លាប់។</v>
      </c>
      <c r="AK229" s="7" t="str">
        <f>IFERROR(__xludf.DUMMYFUNCTION("GoogleTranslate(C229, ""en"", ""ko"")"),"CO 농도가 높은 공기를 호흡하면 혈류를 통해 심장이나 뇌와 같은 중요한 기관으로 운반될 수 있는 산소의 양이 줄어듭니다. 실내 또는 기타 밀폐된 환경에서 발생할 수 있는 매우 높은 수준의 CO는 현기증, 혼란, 의식 상실 및 사망을 유발할 수 있습니다.")</f>
        <v>CO 농도가 높은 공기를 호흡하면 혈류를 통해 심장이나 뇌와 같은 중요한 기관으로 운반될 수 있는 산소의 양이 줄어듭니다. 실내 또는 기타 밀폐된 환경에서 발생할 수 있는 매우 높은 수준의 CO는 현기증, 혼란, 의식 상실 및 사망을 유발할 수 있습니다.</v>
      </c>
      <c r="AL229" s="7" t="str">
        <f>IFERROR(__xludf.DUMMYFUNCTION("GoogleTranslate(C229, ""en"", ""lo"")"),"ການຫາຍໃຈທາງອາກາດທີ່ມີຄວາມເຂັ້ມຂຸ້ນຂອງ CO ສູງຈະຊ່ວຍຫຼຸດຜ່ອນປະລິມານອົກຊີເຈນທີ່ສາມາດຂົນສົ່ງໃນກະແສເລືອດໄປສູ່ອະໄວຍະວະທີ່ສໍາຄັນເຊັ່ນຫົວໃຈແລະສະຫມອງ. ໃນລະດັບທີ່ສູງຫຼາຍ, ເຊິ່ງເປັນໄປໄດ້ພາຍໃນເຮືອນຫຼືໃນສະພາບແວດລ້ອມປິດລ້ອມອື່ນໆ, CO ສາມາດເຮັດໃຫ້ເກີດອາການວິນຫົວ, ສັບສົນ,"&amp;" ເສຍສະຕິແລະເສຍຊີວິດ.")</f>
        <v>ການຫາຍໃຈທາງອາກາດທີ່ມີຄວາມເຂັ້ມຂຸ້ນຂອງ CO ສູງຈະຊ່ວຍຫຼຸດຜ່ອນປະລິມານອົກຊີເຈນທີ່ສາມາດຂົນສົ່ງໃນກະແສເລືອດໄປສູ່ອະໄວຍະວະທີ່ສໍາຄັນເຊັ່ນຫົວໃຈແລະສະຫມອງ. ໃນລະດັບທີ່ສູງຫຼາຍ, ເຊິ່ງເປັນໄປໄດ້ພາຍໃນເຮືອນຫຼືໃນສະພາບແວດລ້ອມປິດລ້ອມອື່ນໆ, CO ສາມາດເຮັດໃຫ້ເກີດອາການວິນຫົວ, ສັບສົນ, ເສຍສະຕິແລະເສຍຊີວິດ.</v>
      </c>
      <c r="AM229" s="7" t="str">
        <f>IFERROR(__xludf.DUMMYFUNCTION("GoogleTranslate(C229, ""en"", ""lv"")"),"Elpojot gaisu ar augstu CO koncentrāciju, samazinās skābekļa daudzums, kas var tikt transportēts asinsritē uz kritiskiem orgāniem, piemēram, sirdi un smadzenēm. Ļoti augstā līmenī, kas ir iespējams telpās vai citā slēgtā vidē, CO var izraisīt reiboni, apj"&amp;"ukumu, bezsamaņu un nāvi.")</f>
        <v>Elpojot gaisu ar augstu CO koncentrāciju, samazinās skābekļa daudzums, kas var tikt transportēts asinsritē uz kritiskiem orgāniem, piemēram, sirdi un smadzenēm. Ļoti augstā līmenī, kas ir iespējams telpās vai citā slēgtā vidē, CO var izraisīt reiboni, apjukumu, bezsamaņu un nāvi.</v>
      </c>
      <c r="AN229" s="7" t="str">
        <f>IFERROR(__xludf.DUMMYFUNCTION("GoogleTranslate(C229, ""en"", ""lt"")"),"Kvėpuojant oru, kuriame yra didelė CO koncentracija, sumažėja deguonies kiekis, kuris kraujyje gali būti transportuojamas į svarbius organus, tokius kaip širdis ir smegenys. Esant labai dideliems kiekiams, kurie galimi patalpose arba kitoje uždaroje aplin"&amp;"koje, CO gali sukelti galvos svaigimą, sumišimą, sąmonės netekimą ir mirtį.")</f>
        <v>Kvėpuojant oru, kuriame yra didelė CO koncentracija, sumažėja deguonies kiekis, kuris kraujyje gali būti transportuojamas į svarbius organus, tokius kaip širdis ir smegenys. Esant labai dideliems kiekiams, kurie galimi patalpose arba kitoje uždaroje aplinkoje, CO gali sukelti galvos svaigimą, sumišimą, sąmonės netekimą ir mirtį.</v>
      </c>
      <c r="AO229" s="7" t="str">
        <f>IFERROR(__xludf.DUMMYFUNCTION("GoogleTranslate(C229, ""en"", ""mk"")"),"Дишењето воздух со висока концентрација на CO ја намалува количината на кислород што може да се транспортира во крвотокот до критичните органи како срцето и мозокот. На многу високи нивоа, кои се можни во затворени простории или во други затворени средини"&amp;", CO може да предизвика вртоглавица, конфузија, несвестица и смрт.")</f>
        <v>Дишењето воздух со висока концентрација на CO ја намалува количината на кислород што може да се транспортира во крвотокот до критичните органи како срцето и мозокот. На многу високи нивоа, кои се можни во затворени простории или во други затворени средини, CO може да предизвика вртоглавица, конфузија, несвестица и смрт.</v>
      </c>
      <c r="AP229" s="7" t="str">
        <f>IFERROR(__xludf.DUMMYFUNCTION("GoogleTranslate(C229, ""en"", ""ms"")"),"Menghirup udara dengan kepekatan CO yang tinggi mengurangkan jumlah oksigen yang boleh diangkut dalam aliran darah ke organ kritikal seperti jantung dan otak. Pada tahap yang sangat tinggi, yang mungkin berlaku di dalam atau dalam persekitaran tertutup la"&amp;"in, CO boleh menyebabkan pening, kekeliruan, tidak sedarkan diri dan kematian.")</f>
        <v>Menghirup udara dengan kepekatan CO yang tinggi mengurangkan jumlah oksigen yang boleh diangkut dalam aliran darah ke organ kritikal seperti jantung dan otak. Pada tahap yang sangat tinggi, yang mungkin berlaku di dalam atau dalam persekitaran tertutup lain, CO boleh menyebabkan pening, kekeliruan, tidak sedarkan diri dan kematian.</v>
      </c>
      <c r="AQ229" s="7" t="str">
        <f>IFERROR(__xludf.DUMMYFUNCTION("GoogleTranslate(C229, ""en"", ""ml"")"),"ഉയർന്ന CO സാന്ദ്രത ഉള്ള വായു ശ്വസിക്കുന്നത് രക്തപ്രവാഹത്തിൽ ഹൃദയം, തലച്ചോറ് തുടങ്ങിയ നിർണായക അവയവങ്ങളിലേക്ക് കൊണ്ടുപോകാൻ കഴിയുന്ന ഓക്സിജൻ്റെ അളവ് കുറയ്ക്കുന്നു. വളരെ ഉയർന്ന തലങ്ങളിൽ, വീടിനകത്തോ മറ്റ് അടച്ച അന്തരീക്ഷത്തിലോ സാധ്യമായ, CO തലകറക്കം, ആശയക്കുഴപ്"&amp;"പം, അബോധാവസ്ഥ, മരണം എന്നിവയ്ക്ക് കാരണമാകും.")</f>
        <v>ഉയർന്ന CO സാന്ദ്രത ഉള്ള വായു ശ്വസിക്കുന്നത് രക്തപ്രവാഹത്തിൽ ഹൃദയം, തലച്ചോറ് തുടങ്ങിയ നിർണായക അവയവങ്ങളിലേക്ക് കൊണ്ടുപോകാൻ കഴിയുന്ന ഓക്സിജൻ്റെ അളവ് കുറയ്ക്കുന്നു. വളരെ ഉയർന്ന തലങ്ങളിൽ, വീടിനകത്തോ മറ്റ് അടച്ച അന്തരീക്ഷത്തിലോ സാധ്യമായ, CO തലകറക്കം, ആശയക്കുഴപ്പം, അബോധാവസ്ഥ, മരണം എന്നിവയ്ക്ക് കാരണമാകും.</v>
      </c>
      <c r="AR229" s="7" t="str">
        <f>IFERROR(__xludf.DUMMYFUNCTION("GoogleTranslate(C229, ""en"", ""mr"")"),"CO च्या उच्च एकाग्रतेसह हवा श्वास घेतल्याने रक्तप्रवाहात हृदय आणि मेंदू सारख्या गंभीर अवयवांमध्ये ऑक्सिजनचे प्रमाण कमी होते. खूप उच्च पातळीवर, जे घरामध्ये किंवा इतर बंदिस्त वातावरणात शक्य आहे, CO चक्कर येणे, गोंधळ, बेशुद्धी आणि मृत्यू होऊ शकते.")</f>
        <v>CO च्या उच्च एकाग्रतेसह हवा श्वास घेतल्याने रक्तप्रवाहात हृदय आणि मेंदू सारख्या गंभीर अवयवांमध्ये ऑक्सिजनचे प्रमाण कमी होते. खूप उच्च पातळीवर, जे घरामध्ये किंवा इतर बंदिस्त वातावरणात शक्य आहे, CO चक्कर येणे, गोंधळ, बेशुद्धी आणि मृत्यू होऊ शकते.</v>
      </c>
      <c r="AS229" s="7" t="str">
        <f>IFERROR(__xludf.DUMMYFUNCTION("GoogleTranslate(C229, ""en"", ""mn"")"),"CO-ийн өндөр агууламжтай агаараар амьсгалах нь цусны урсгалаар зүрх, тархи зэрэг чухал эрхтнүүдэд хүргэх хүчилтөрөгчийн хэмжээг бууруулдаг. Дотор болон бусад битүү орчинд байж болох маш өндөр түвшинд CO нь толгой эргэх, төөрөгдүүлэх, ухаан алдах, үхэлд хү"&amp;"ргэдэг.")</f>
        <v>CO-ийн өндөр агууламжтай агаараар амьсгалах нь цусны урсгалаар зүрх, тархи зэрэг чухал эрхтнүүдэд хүргэх хүчилтөрөгчийн хэмжээг бууруулдаг. Дотор болон бусад битүү орчинд байж болох маш өндөр түвшинд CO нь толгой эргэх, төөрөгдүүлэх, ухаан алдах, үхэлд хүргэдэг.</v>
      </c>
      <c r="AT229" s="7" t="str">
        <f>IFERROR(__xludf.DUMMYFUNCTION("GoogleTranslate(C229, ""en"", ""ne"")"),"CO को उच्च एकाग्रताको साथ सास फेर्ने हावाले रक्त प्रवाहमा हृदय र मस्तिष्क जस्ता महत्वपूर्ण अंगहरूमा ओक्सीजनको मात्रा घटाउँछ। धेरै उच्च स्तरहरूमा, जुन घर भित्र वा अन्य बन्द वातावरणमा सम्भव छ, CO ले चक्कर, भ्रम, बेहोशी र मृत्यु निम्त्याउन सक्छ।")</f>
        <v>CO को उच्च एकाग्रताको साथ सास फेर्ने हावाले रक्त प्रवाहमा हृदय र मस्तिष्क जस्ता महत्वपूर्ण अंगहरूमा ओक्सीजनको मात्रा घटाउँछ। धेरै उच्च स्तरहरूमा, जुन घर भित्र वा अन्य बन्द वातावरणमा सम्भव छ, CO ले चक्कर, भ्रम, बेहोशी र मृत्यु निम्त्याउन सक्छ।</v>
      </c>
      <c r="AU229" s="7" t="str">
        <f>IFERROR(__xludf.DUMMYFUNCTION("GoogleTranslate(C229, ""en"", ""nb"")"),"Å puste luft med høy konsentrasjon av CO reduserer mengden oksygen som kan transporteres i blodstrømmen til kritiske organer som hjertet og hjernen. Ved svært høye nivåer, som er mulig innendørs eller i andre lukkede omgivelser, kan CO forårsake svimmelhe"&amp;"t, forvirring, bevisstløshet og død.")</f>
        <v>Å puste luft med høy konsentrasjon av CO reduserer mengden oksygen som kan transporteres i blodstrømmen til kritiske organer som hjertet og hjernen. Ved svært høye nivåer, som er mulig innendørs eller i andre lukkede omgivelser, kan CO forårsake svimmelhet, forvirring, bevisstløshet og død.</v>
      </c>
      <c r="AV229" s="7" t="str">
        <f>IFERROR(__xludf.DUMMYFUNCTION("GoogleTranslate(C229, ""en"", ""fa"")"),"تنفس هوا با غلظت بالای CO باعث کاهش میزان اکسیژنی می شود که می تواند در جریان خون به اندام های حیاتی مانند قلب و مغز منتقل شود. در سطوح بسیار بالا، که ممکن است در داخل خانه یا در محیط های بسته دیگر، CO می تواند باعث سرگیجه، گیجی، بیهوشی و مرگ شود.")</f>
        <v>تنفس هوا با غلظت بالای CO باعث کاهش میزان اکسیژنی می شود که می تواند در جریان خون به اندام های حیاتی مانند قلب و مغز منتقل شود. در سطوح بسیار بالا، که ممکن است در داخل خانه یا در محیط های بسته دیگر، CO می تواند باعث سرگیجه، گیجی، بیهوشی و مرگ شود.</v>
      </c>
      <c r="AW229" s="7" t="str">
        <f>IFERROR(__xludf.DUMMYFUNCTION("GoogleTranslate(C229, ""en"", ""pl"")"),"Wdychanie powietrza o wysokim stężeniu CO zmniejsza ilość tlenu, który może być transportowany w krwiobiegu do najważniejszych narządów, takich jak serce i mózg. W bardzo wysokich stężeniach, które są możliwe w pomieszczeniach zamkniętych lub w innych zam"&amp;"kniętych środowiskach, CO może powodować zawroty głowy, dezorientację, utratę przytomności i śmierć.")</f>
        <v>Wdychanie powietrza o wysokim stężeniu CO zmniejsza ilość tlenu, który może być transportowany w krwiobiegu do najważniejszych narządów, takich jak serce i mózg. W bardzo wysokich stężeniach, które są możliwe w pomieszczeniach zamkniętych lub w innych zamkniętych środowiskach, CO może powodować zawroty głowy, dezorientację, utratę przytomności i śmierć.</v>
      </c>
      <c r="AX229" s="7" t="str">
        <f>IFERROR(__xludf.DUMMYFUNCTION("GoogleTranslate(C229, ""en"", ""pt"")"),"Respirar ar com alta concentração de CO reduz a quantidade de oxigênio que pode ser transportado na corrente sanguínea para órgãos críticos como o coração e o cérebro. Em níveis muito elevados, possíveis em ambientes fechados ou outros ambientes fechados,"&amp;" o CO pode causar tonturas, confusão, inconsciência e morte.")</f>
        <v>Respirar ar com alta concentração de CO reduz a quantidade de oxigênio que pode ser transportado na corrente sanguínea para órgãos críticos como o coração e o cérebro. Em níveis muito elevados, possíveis em ambientes fechados ou outros ambientes fechados, o CO pode causar tonturas, confusão, inconsciência e morte.</v>
      </c>
      <c r="AY229" s="7" t="str">
        <f>IFERROR(__xludf.DUMMYFUNCTION("GoogleTranslate(C229, ""en"", ""ro"")"),"Respirarea aerului cu o concentrație mare de CO reduce cantitatea de oxigen care poate fi transportată în fluxul sanguin către organe critice precum inima și creierul. La niveluri foarte ridicate, care sunt posibile în interior sau în alte medii închise, "&amp;"CO poate provoca amețeli, confuzie, inconștiență și moarte.")</f>
        <v>Respirarea aerului cu o concentrație mare de CO reduce cantitatea de oxigen care poate fi transportată în fluxul sanguin către organe critice precum inima și creierul. La niveluri foarte ridicate, care sunt posibile în interior sau în alte medii închise, CO poate provoca amețeli, confuzie, inconștiență și moarte.</v>
      </c>
      <c r="AZ229" s="7" t="str">
        <f>IFERROR(__xludf.DUMMYFUNCTION("GoogleTranslate(C229, ""en"", ""ru"")"),"Вдыхание воздуха с высокой концентрацией CO снижает количество кислорода, который может транспортироваться с током крови к критически важным органам, таким как сердце и мозг. При очень высоких уровнях, которые возможны в помещении или в других закрытых по"&amp;"мещениях, CO может вызвать головокружение, спутанность сознания, потерю сознания и смерть.")</f>
        <v>Вдыхание воздуха с высокой концентрацией CO снижает количество кислорода, который может транспортироваться с током крови к критически важным органам, таким как сердце и мозг. При очень высоких уровнях, которые возможны в помещении или в других закрытых помещениях, CO может вызвать головокружение, спутанность сознания, потерю сознания и смерть.</v>
      </c>
      <c r="BA229" s="7" t="str">
        <f>IFERROR(__xludf.DUMMYFUNCTION("GoogleTranslate(C229, ""en"", ""sr"")"),"Удисање ваздуха са високом концентрацијом ЦО смањује количину кисеоника која се може транспортовати у крвотоку до критичних органа као што су срце и мозак. На веома високим нивоима, који су могући у затвореном простору или у другим затвореним срединама, Ц"&amp;"О може изазвати вртоглавицу, конфузију, несвестицу и смрт.")</f>
        <v>Удисање ваздуха са високом концентрацијом ЦО смањује количину кисеоника која се може транспортовати у крвотоку до критичних органа као што су срце и мозак. На веома високим нивоима, који су могући у затвореном простору или у другим затвореним срединама, ЦО може изазвати вртоглавицу, конфузију, несвестицу и смрт.</v>
      </c>
      <c r="BB229" s="7" t="str">
        <f>IFERROR(__xludf.DUMMYFUNCTION("GoogleTranslate(C229, ""en"", ""si"")"),"CO ඉහළ සාන්ද්‍රණයක් සහිත වාතය ආශ්වාස කිරීම හෘදය සහ මොළය වැනි තීරණාත්මක අවයව වෙත රුධිර ප්‍රවාහයේ ප්‍රවාහනය කළ හැකි ඔක්සිජන් ප්‍රමාණය අඩු කරයි. ගෘහස්ථව හෝ වෙනත් සංවෘත පරිසරයක ඇති ඉතා ඉහළ මට්ටම්වලදී, CO මගින් කරකැවිල්ල, ව්‍යාකූලත්වය, සිහිසුන්භාවය සහ මරණය ඇති"&amp;" කළ හැකිය.")</f>
        <v>CO ඉහළ සාන්ද්‍රණයක් සහිත වාතය ආශ්වාස කිරීම හෘදය සහ මොළය වැනි තීරණාත්මක අවයව වෙත රුධිර ප්‍රවාහයේ ප්‍රවාහනය කළ හැකි ඔක්සිජන් ප්‍රමාණය අඩු කරයි. ගෘහස්ථව හෝ වෙනත් සංවෘත පරිසරයක ඇති ඉතා ඉහළ මට්ටම්වලදී, CO මගින් කරකැවිල්ල, ව්‍යාකූලත්වය, සිහිසුන්භාවය සහ මරණය ඇති කළ හැකිය.</v>
      </c>
      <c r="BC229" s="7" t="str">
        <f>IFERROR(__xludf.DUMMYFUNCTION("GoogleTranslate(C229, ""en"", ""sk"")"),"Dýchanie vzduchu s vysokou koncentráciou CO znižuje množstvo kyslíka, ktoré môže byť transportované v krvnom obehu do kritických orgánov, ako je srdce a mozog. Pri veľmi vysokých hladinách, ktoré sú možné vo vnútri alebo v iných uzavretých prostrediach, m"&amp;"ôže CO spôsobiť závraty, zmätenosť, bezvedomie a smrť.")</f>
        <v>Dýchanie vzduchu s vysokou koncentráciou CO znižuje množstvo kyslíka, ktoré môže byť transportované v krvnom obehu do kritických orgánov, ako je srdce a mozog. Pri veľmi vysokých hladinách, ktoré sú možné vo vnútri alebo v iných uzavretých prostrediach, môže CO spôsobiť závraty, zmätenosť, bezvedomie a smrť.</v>
      </c>
      <c r="BD229" s="7" t="str">
        <f>IFERROR(__xludf.DUMMYFUNCTION("GoogleTranslate(C229, ""en"", ""sl"")"),"Vdihavanje zraka z visoko koncentracijo CO zmanjša količino kisika, ki se lahko v krvnem obtoku prenese do kritičnih organov, kot sta srce in možgani. Pri zelo visokih ravneh, ki so možne v zaprtih prostorih ali drugih zaprtih okoljih, lahko CO povzroči o"&amp;"motico, zmedenost, nezavest in smrt.")</f>
        <v>Vdihavanje zraka z visoko koncentracijo CO zmanjša količino kisika, ki se lahko v krvnem obtoku prenese do kritičnih organov, kot sta srce in možgani. Pri zelo visokih ravneh, ki so možne v zaprtih prostorih ali drugih zaprtih okoljih, lahko CO povzroči omotico, zmedenost, nezavest in smrt.</v>
      </c>
      <c r="BE229" s="7" t="str">
        <f>IFERROR(__xludf.DUMMYFUNCTION("GoogleTranslate(C229, ""en"", ""es"")"),"Respirar aire con una alta concentración de CO reduce la cantidad de oxígeno que puede transportarse en el torrente sanguíneo a órganos críticos como el corazón y el cerebro. En niveles muy altos, que son posibles en interiores o en otros ambientes cerrad"&amp;"os, el CO puede causar mareos, confusión, pérdida del conocimiento y la muerte.")</f>
        <v>Respirar aire con una alta concentración de CO reduce la cantidad de oxígeno que puede transportarse en el torrente sanguíneo a órganos críticos como el corazón y el cerebro. En niveles muy altos, que son posibles en interiores o en otros ambientes cerrados, el CO puede causar mareos, confusión, pérdida del conocimiento y la muerte.</v>
      </c>
      <c r="BF229" s="7" t="str">
        <f>IFERROR(__xludf.DUMMYFUNCTION("GoogleTranslate(C229, ""en"", ""sw"")"),"Hewa inayopumua yenye mkusanyiko wa juu wa CO hupunguza kiwango cha oksijeni kinachoweza kusafirishwa katika mkondo wa damu hadi kwa viungo muhimu kama vile moyo na ubongo. Katika viwango vya juu sana, ambavyo vinawezekana ndani ya nyumba au katika mazing"&amp;"ira mengine yaliyofungwa, CO inaweza kusababisha kizunguzungu, kuchanganyikiwa, kupoteza fahamu na kifo.")</f>
        <v>Hewa inayopumua yenye mkusanyiko wa juu wa CO hupunguza kiwango cha oksijeni kinachoweza kusafirishwa katika mkondo wa damu hadi kwa viungo muhimu kama vile moyo na ubongo. Katika viwango vya juu sana, ambavyo vinawezekana ndani ya nyumba au katika mazingira mengine yaliyofungwa, CO inaweza kusababisha kizunguzungu, kuchanganyikiwa, kupoteza fahamu na kifo.</v>
      </c>
      <c r="BG229" s="7" t="str">
        <f>IFERROR(__xludf.DUMMYFUNCTION("GoogleTranslate(C229, ""en"", ""sv"")"),"Andningsluft med hög koncentration av CO minskar mängden syre som kan transporteras i blodomloppet till kritiska organ som hjärtat och hjärnan. Vid mycket höga nivåer, som är möjliga inomhus eller i andra slutna miljöer, kan CO orsaka yrsel, förvirring, m"&amp;"edvetslöshet och dödsfall.")</f>
        <v>Andningsluft med hög koncentration av CO minskar mängden syre som kan transporteras i blodomloppet till kritiska organ som hjärtat och hjärnan. Vid mycket höga nivåer, som är möjliga inomhus eller i andra slutna miljöer, kan CO orsaka yrsel, förvirring, medvetslöshet och dödsfall.</v>
      </c>
      <c r="BH229" s="7" t="str">
        <f>IFERROR(__xludf.DUMMYFUNCTION("GoogleTranslate(C229, ""en"", ""te"")"),"CO యొక్క అధిక సాంద్రత కలిగిన గాలిని పీల్చడం వలన గుండె మరియు మెదడు వంటి క్లిష్టమైన అవయవాలకు రక్త ప్రవాహంలో రవాణా చేయగల ఆక్సిజన్ పరిమాణాన్ని తగ్గిస్తుంది. ఇంటి లోపల లేదా ఇతర పరివేష్టిత పరిసరాలలో సాధ్యమయ్యే అధిక స్థాయిలలో, CO మైకము, గందరగోళం, అపస్మారక స్థితి"&amp;" మరియు మరణానికి కారణమవుతుంది.")</f>
        <v>CO యొక్క అధిక సాంద్రత కలిగిన గాలిని పీల్చడం వలన గుండె మరియు మెదడు వంటి క్లిష్టమైన అవయవాలకు రక్త ప్రవాహంలో రవాణా చేయగల ఆక్సిజన్ పరిమాణాన్ని తగ్గిస్తుంది. ఇంటి లోపల లేదా ఇతర పరివేష్టిత పరిసరాలలో సాధ్యమయ్యే అధిక స్థాయిలలో, CO మైకము, గందరగోళం, అపస్మారక స్థితి మరియు మరణానికి కారణమవుతుంది.</v>
      </c>
      <c r="BI229" s="7" t="str">
        <f>IFERROR(__xludf.DUMMYFUNCTION("GoogleTranslate(C229, ""en"", ""th"")"),"อากาศหายใจที่มีความเข้มข้นของ CO สูงจะช่วยลดปริมาณออกซิเจนที่สามารถขนส่งในกระแสเลือดไปยังอวัยวะสำคัญเช่นหัวใจและสมอง ในระดับที่สูงมาก ซึ่งเป็นไปได้ในอาคารหรือในสภาพแวดล้อมปิดอื่นๆ CO อาจทำให้เกิดอาการวิงเวียนศีรษะ สับสน หมดสติ และเสียชีวิตได้")</f>
        <v>อากาศหายใจที่มีความเข้มข้นของ CO สูงจะช่วยลดปริมาณออกซิเจนที่สามารถขนส่งในกระแสเลือดไปยังอวัยวะสำคัญเช่นหัวใจและสมอง ในระดับที่สูงมาก ซึ่งเป็นไปได้ในอาคารหรือในสภาพแวดล้อมปิดอื่นๆ CO อาจทำให้เกิดอาการวิงเวียนศีรษะ สับสน หมดสติ และเสียชีวิตได้</v>
      </c>
      <c r="BJ229" s="7" t="str">
        <f>IFERROR(__xludf.DUMMYFUNCTION("GoogleTranslate(C229, ""en"", ""tr"")"),"Yüksek konsantrasyonda CO içeren havayı solumak, kan dolaşımında kalp ve beyin gibi kritik organlara taşınabilen oksijen miktarını azaltır. İç mekanlarda veya diğer kapalı ortamlarda mümkün olan çok yüksek seviyelerde CO, baş dönmesine, kafa karışıklığına"&amp;", bilinç kaybına ve ölüme neden olabilir.")</f>
        <v>Yüksek konsantrasyonda CO içeren havayı solumak, kan dolaşımında kalp ve beyin gibi kritik organlara taşınabilen oksijen miktarını azaltır. İç mekanlarda veya diğer kapalı ortamlarda mümkün olan çok yüksek seviyelerde CO, baş dönmesine, kafa karışıklığına, bilinç kaybına ve ölüme neden olabilir.</v>
      </c>
      <c r="BK229" s="7" t="str">
        <f>IFERROR(__xludf.DUMMYFUNCTION("GoogleTranslate(C229, ""en"", ""uk"")"),"Вдихання повітря з високою концентрацією вуглекислого газу зменшує кількість кисню, який може транспортуватися кров’ю до таких важливих органів, як серце та мозок. При дуже високих рівнях, які можливі в приміщенні або в інших закритих приміщеннях, CO може"&amp;" викликати запаморочення, сплутаність свідомості, втрату свідомості та смерть.")</f>
        <v>Вдихання повітря з високою концентрацією вуглекислого газу зменшує кількість кисню, який може транспортуватися кров’ю до таких важливих органів, як серце та мозок. При дуже високих рівнях, які можливі в приміщенні або в інших закритих приміщеннях, CO може викликати запаморочення, сплутаність свідомості, втрату свідомості та смерть.</v>
      </c>
      <c r="BL229" s="7" t="str">
        <f>IFERROR(__xludf.DUMMYFUNCTION("GoogleTranslate(C229, ""en"", ""zu"")"),"Umoya ophefumulayo onokugxiliswa okuphezulu kwe-CO kunciphisa inani lomoya-mpilo ongathuthwa emgudwini wegazi uye ezithweni ezibalulekile njengenhliziyo nobuchopho. Emazingeni aphezulu kakhulu, okungenzeka ngaphakathi endlini noma kwezinye izindawo ezival"&amp;"ekile, i-CO ingabangela isiyezi, ukudideka, ukuquleka nokufa.")</f>
        <v>Umoya ophefumulayo onokugxiliswa okuphezulu kwe-CO kunciphisa inani lomoya-mpilo ongathuthwa emgudwini wegazi uye ezithweni ezibalulekile njengenhliziyo nobuchopho. Emazingeni aphezulu kakhulu, okungenzeka ngaphakathi endlini noma kwezinye izindawo ezivalekile, i-CO ingabangela isiyezi, ukudideka, ukuquleka nokufa.</v>
      </c>
    </row>
    <row r="230">
      <c r="A230" s="5" t="str">
        <f t="shared" si="1"/>
        <v>Exposure_to_high_levels_of_lead_may_cause_anemia,_weakness,_and_kidney_and_brain_damage._Very_high_lead_exposure_can_cause_death.</v>
      </c>
      <c r="B230" s="4" t="s">
        <v>273</v>
      </c>
      <c r="C230" s="4" t="s">
        <v>273</v>
      </c>
      <c r="D230" s="7" t="str">
        <f>IFERROR(__xludf.DUMMYFUNCTION("GoogleTranslate(C230, ""en"", ""es"")"),"La exposición a altos niveles de plomo puede causar anemia, debilidad y daño renal y cerebral. Una exposición muy alta al plomo puede causar la muerte.")</f>
        <v>La exposición a altos niveles de plomo puede causar anemia, debilidad y daño renal y cerebral. Una exposición muy alta al plomo puede causar la muerte.</v>
      </c>
      <c r="E230" s="7" t="str">
        <f>IFERROR(__xludf.DUMMYFUNCTION("GoogleTranslate(C230, ""en"", ""ar"")"),"التعرض لمستويات عالية من الرصاص قد يسبب فقر الدم والضعف وتلف الكلى والدماغ. التعرض العالي جدًا للرصاص يمكن أن يسبب الوفاة.")</f>
        <v>التعرض لمستويات عالية من الرصاص قد يسبب فقر الدم والضعف وتلف الكلى والدماغ. التعرض العالي جدًا للرصاص يمكن أن يسبب الوفاة.</v>
      </c>
      <c r="F230" s="7" t="str">
        <f>IFERROR(__xludf.DUMMYFUNCTION("GoogleTranslate(C230, ""en"", ""hy"")"),"Կապարի բարձր մակարդակի ազդեցությունը կարող է առաջացնել անեմիա, թուլություն և երիկամների և ուղեղի վնաս: Կապարի շատ բարձր ազդեցությունը կարող է մահվան պատճառ դառնալ:")</f>
        <v>Կապարի բարձր մակարդակի ազդեցությունը կարող է առաջացնել անեմիա, թուլություն և երիկամների և ուղեղի վնաս: Կապարի շատ բարձր ազդեցությունը կարող է մահվան պատճառ դառնալ:</v>
      </c>
      <c r="G230" s="7" t="str">
        <f>IFERROR(__xludf.DUMMYFUNCTION("GoogleTranslate(C230, ""en"", ""vi"")"),"Tiếp xúc với hàm lượng chì cao có thể gây thiếu máu, suy nhược, tổn thương thận và não. Phơi nhiễm chì rất cao có thể gây tử vong.")</f>
        <v>Tiếp xúc với hàm lượng chì cao có thể gây thiếu máu, suy nhược, tổn thương thận và não. Phơi nhiễm chì rất cao có thể gây tử vong.</v>
      </c>
      <c r="H230" s="7" t="str">
        <f>IFERROR(__xludf.DUMMYFUNCTION("GoogleTranslate(C230, ""en"", ""az"")"),"Yüksək səviyyədə qurğuşuna məruz qalma anemiya, zəiflik, böyrək və beyin zədələnməsinə səbəb ola bilər. Çox yüksək qurğuşun məruz qalması ölümə səbəb ola bilər.")</f>
        <v>Yüksək səviyyədə qurğuşuna məruz qalma anemiya, zəiflik, böyrək və beyin zədələnməsinə səbəb ola bilər. Çox yüksək qurğuşun məruz qalması ölümə səbəb ola bilər.</v>
      </c>
      <c r="I230" s="7" t="str">
        <f>IFERROR(__xludf.DUMMYFUNCTION("GoogleTranslate(C230, ""en"", ""eu"")"),"Berun-maila altuen esposizioak anemia, ahultasuna eta giltzurrun eta garuneko kalteak sor ditzake. Berunaren esposizio oso handiak heriotza eragin dezake.")</f>
        <v>Berun-maila altuen esposizioak anemia, ahultasuna eta giltzurrun eta garuneko kalteak sor ditzake. Berunaren esposizio oso handiak heriotza eragin dezake.</v>
      </c>
      <c r="J230" s="7" t="str">
        <f>IFERROR(__xludf.DUMMYFUNCTION("GoogleTranslate(C230, ""en"", ""be"")"),"Ўздзеянне высокага ўзроўню свінцу можа выклікаць анемію, слабасць і пашкоджанне нырак і мозгу. Вельмі высокае ўздзеянне свінцу можа прывесці да смерці.")</f>
        <v>Ўздзеянне высокага ўзроўню свінцу можа выклікаць анемію, слабасць і пашкоджанне нырак і мозгу. Вельмі высокае ўздзеянне свінцу можа прывесці да смерці.</v>
      </c>
      <c r="K230" s="7" t="str">
        <f>IFERROR(__xludf.DUMMYFUNCTION("GoogleTranslate(C230, ""en"", ""bn"")"),"উচ্চ মাত্রার সীসার সংস্পর্শে অ্যানিমিয়া, দুর্বলতা এবং কিডনি ও মস্তিষ্কের ক্ষতি হতে পারে। খুব বেশি সীসার এক্সপোজার মৃত্যুর কারণ হতে পারে।")</f>
        <v>উচ্চ মাত্রার সীসার সংস্পর্শে অ্যানিমিয়া, দুর্বলতা এবং কিডনি ও মস্তিষ্কের ক্ষতি হতে পারে। খুব বেশি সীসার এক্সপোজার মৃত্যুর কারণ হতে পারে।</v>
      </c>
      <c r="L230" s="7" t="str">
        <f>IFERROR(__xludf.DUMMYFUNCTION("GoogleTranslate(C230, ""en"", ""bg"")"),"Излагането на високи нива на олово може да причини анемия, слабост и увреждане на бъбреците и мозъка. Много високото излагане на олово може да причини смърт.")</f>
        <v>Излагането на високи нива на олово може да причини анемия, слабост и увреждане на бъбреците и мозъка. Много високото излагане на олово може да причини смърт.</v>
      </c>
      <c r="M230" s="7" t="str">
        <f>IFERROR(__xludf.DUMMYFUNCTION("GoogleTranslate(C230, ""en"", ""my"")"),"ခဲဓာတ်မြင့်မားစွာ ထိတွေ့ခြင်းကြောင့် သွေးအားနည်းခြင်း၊ အားနည်းခြင်းနှင့် ကျောက်ကပ်နှင့် ဦးနှောက်တို့ကို ထိခိုက်ပျက်စီးစေနိုင်သည်။ ခဲနှင့်ထိတွေ့မှု အလွန်မြင့်မားပါက သေဆုံးစေနိုင်သည်။")</f>
        <v>ခဲဓာတ်မြင့်မားစွာ ထိတွေ့ခြင်းကြောင့် သွေးအားနည်းခြင်း၊ အားနည်းခြင်းနှင့် ကျောက်ကပ်နှင့် ဦးနှောက်တို့ကို ထိခိုက်ပျက်စီးစေနိုင်သည်။ ခဲနှင့်ထိတွေ့မှု အလွန်မြင့်မားပါက သေဆုံးစေနိုင်သည်။</v>
      </c>
      <c r="N230" s="7" t="str">
        <f>IFERROR(__xludf.DUMMYFUNCTION("GoogleTranslate(C230, ""en"", ""ca"")"),"L'exposició a nivells elevats de plom pot causar anèmia, debilitat i danys renals i cerebrals. Una exposició molt alta al plom pot causar la mort.")</f>
        <v>L'exposició a nivells elevats de plom pot causar anèmia, debilitat i danys renals i cerebrals. Una exposició molt alta al plom pot causar la mort.</v>
      </c>
      <c r="O230" s="7" t="str">
        <f>IFERROR(__xludf.DUMMYFUNCTION("GoogleTranslate(C230, ""en"", ""zh-cn"")"),"接触高浓度的铅可能会导致贫血、虚弱以及肾脏和大脑损伤。非常高的铅暴露会导致死亡。")</f>
        <v>接触高浓度的铅可能会导致贫血、虚弱以及肾脏和大脑损伤。非常高的铅暴露会导致死亡。</v>
      </c>
      <c r="P230" s="7" t="str">
        <f>IFERROR(__xludf.DUMMYFUNCTION("GoogleTranslate(C230, ""en"", ""zh-TW"")"),"接觸高濃度的鉛可能會導致貧血、虛弱以及腎臟和大腦損傷。非常高的鉛暴露會導致死亡。")</f>
        <v>接觸高濃度的鉛可能會導致貧血、虛弱以及腎臟和大腦損傷。非常高的鉛暴露會導致死亡。</v>
      </c>
      <c r="Q230" s="7" t="str">
        <f>IFERROR(__xludf.DUMMYFUNCTION("GoogleTranslate(C230, ""en"", ""hr"")"),"Izloženost visokim razinama olova može uzrokovati anemiju, slabost te oštećenje bubrega i mozga. Vrlo visoka izloženost olovu može uzrokovati smrt.")</f>
        <v>Izloženost visokim razinama olova može uzrokovati anemiju, slabost te oštećenje bubrega i mozga. Vrlo visoka izloženost olovu može uzrokovati smrt.</v>
      </c>
      <c r="R230" s="7" t="str">
        <f>IFERROR(__xludf.DUMMYFUNCTION("GoogleTranslate(C230, ""en"", ""cs"")"),"Vystavení vysokým hladinám olova může způsobit anémii, slabost a poškození ledvin a mozku. Velmi vysoká expozice olova může způsobit smrt.")</f>
        <v>Vystavení vysokým hladinám olova může způsobit anémii, slabost a poškození ledvin a mozku. Velmi vysoká expozice olova může způsobit smrt.</v>
      </c>
      <c r="S230" s="7" t="str">
        <f>IFERROR(__xludf.DUMMYFUNCTION("GoogleTranslate(C230, ""en"", ""da"")"),"Eksponering for høje niveauer af bly kan forårsage anæmi, svaghed og nyre- og hjerneskade. Meget høj blyeksponering kan forårsage død.")</f>
        <v>Eksponering for høje niveauer af bly kan forårsage anæmi, svaghed og nyre- og hjerneskade. Meget høj blyeksponering kan forårsage død.</v>
      </c>
      <c r="T230" s="7" t="str">
        <f>IFERROR(__xludf.DUMMYFUNCTION("GoogleTranslate(C230, ""en"", ""nl"")"),"Blootstelling aan hoge niveaus van lood kan bloedarmoede, zwakte en nier- en hersenbeschadiging veroorzaken. Zeer hoge blootstelling aan lood kan de dood tot gevolg hebben.")</f>
        <v>Blootstelling aan hoge niveaus van lood kan bloedarmoede, zwakte en nier- en hersenbeschadiging veroorzaken. Zeer hoge blootstelling aan lood kan de dood tot gevolg hebben.</v>
      </c>
      <c r="U230" s="7" t="str">
        <f>IFERROR(__xludf.DUMMYFUNCTION("GoogleTranslate(C230, ""en"", ""et"")"),"Kokkupuude suure pliisisaldusega võib põhjustada aneemiat, nõrkust ning neeru- ja ajukahjustusi. Väga suur kokkupuude pliiga võib põhjustada surma.")</f>
        <v>Kokkupuude suure pliisisaldusega võib põhjustada aneemiat, nõrkust ning neeru- ja ajukahjustusi. Väga suur kokkupuude pliiga võib põhjustada surma.</v>
      </c>
      <c r="V230" s="5" t="str">
        <f t="shared" si="3"/>
        <v>Exposure to high levels of lead may cause anemia, weakness, and kidney and brain damage. Very high lead exposure can cause death.</v>
      </c>
      <c r="W230" s="7" t="str">
        <f>IFERROR(__xludf.DUMMYFUNCTION("GoogleTranslate(C230, ""en"", ""fi"")"),"Altistuminen korkeille lyijypitoisuuksille voi aiheuttaa anemiaa, heikkoutta sekä munuais- ja aivovaurioita. Erittäin suuri lyijyaltistus voi aiheuttaa kuoleman.")</f>
        <v>Altistuminen korkeille lyijypitoisuuksille voi aiheuttaa anemiaa, heikkoutta sekä munuais- ja aivovaurioita. Erittäin suuri lyijyaltistus voi aiheuttaa kuoleman.</v>
      </c>
      <c r="X230" s="7" t="str">
        <f>IFERROR(__xludf.DUMMYFUNCTION("GoogleTranslate(C230, ""en"", ""fr"")"),"L'exposition à des niveaux élevés de plomb peut provoquer une anémie, une faiblesse et des lésions rénales et cérébrales. Une exposition très élevée au plomb peut entraîner la mort.")</f>
        <v>L'exposition à des niveaux élevés de plomb peut provoquer une anémie, une faiblesse et des lésions rénales et cérébrales. Une exposition très élevée au plomb peut entraîner la mort.</v>
      </c>
      <c r="Y230" s="7" t="str">
        <f>IFERROR(__xludf.DUMMYFUNCTION("GoogleTranslate(C230, ""en"", ""de"")"),"Die Exposition gegenüber hohen Bleigehalten kann zu Anämie, Schwäche sowie Nieren- und Gehirnschäden führen. Eine sehr hohe Bleibelastung kann zum Tod führen.")</f>
        <v>Die Exposition gegenüber hohen Bleigehalten kann zu Anämie, Schwäche sowie Nieren- und Gehirnschäden führen. Eine sehr hohe Bleibelastung kann zum Tod führen.</v>
      </c>
      <c r="Z230" s="7" t="str">
        <f>IFERROR(__xludf.DUMMYFUNCTION("GoogleTranslate(C230, ""en"", ""el"")"),"Η έκθεση σε υψηλά επίπεδα μολύβδου μπορεί να προκαλέσει αναιμία, αδυναμία και νεφρική και εγκεφαλική βλάβη. Η πολύ υψηλή έκθεση σε μόλυβδο μπορεί να προκαλέσει θάνατο.")</f>
        <v>Η έκθεση σε υψηλά επίπεδα μολύβδου μπορεί να προκαλέσει αναιμία, αδυναμία και νεφρική και εγκεφαλική βλάβη. Η πολύ υψηλή έκθεση σε μόλυβδο μπορεί να προκαλέσει θάνατο.</v>
      </c>
      <c r="AA230" s="7" t="str">
        <f>IFERROR(__xludf.DUMMYFUNCTION("GoogleTranslate(C230, ""en"", ""iw"")"),"חשיפה לרמות גבוהות של עופרת עלולה לגרום לאנמיה, חולשה ונזק לכליות ולמוח. חשיפה גבוהה מאוד לעופרת עלולה לגרום למוות.")</f>
        <v>חשיפה לרמות גבוהות של עופרת עלולה לגרום לאנמיה, חולשה ונזק לכליות ולמוח. חשיפה גבוהה מאוד לעופרת עלולה לגרום למוות.</v>
      </c>
      <c r="AB230" s="7" t="str">
        <f>IFERROR(__xludf.DUMMYFUNCTION("GoogleTranslate(C230, ""en"", ""hi"")"),"सीसे के उच्च स्तर के संपर्क में आने से एनीमिया, कमजोरी और गुर्दे और मस्तिष्क को क्षति हो सकती है। बहुत अधिक सीसे के संपर्क में आने से मृत्यु हो सकती है।")</f>
        <v>सीसे के उच्च स्तर के संपर्क में आने से एनीमिया, कमजोरी और गुर्दे और मस्तिष्क को क्षति हो सकती है। बहुत अधिक सीसे के संपर्क में आने से मृत्यु हो सकती है।</v>
      </c>
      <c r="AC230" s="7" t="str">
        <f>IFERROR(__xludf.DUMMYFUNCTION("GoogleTranslate(C230, ""en"", ""hu"")"),"A nagy mennyiségű ólomnak való kitettség vérszegénységet, gyengeséget, valamint vese- és agykárosodást okozhat. A nagyon magas ólomexpozíció halált okozhat.")</f>
        <v>A nagy mennyiségű ólomnak való kitettség vérszegénységet, gyengeséget, valamint vese- és agykárosodást okozhat. A nagyon magas ólomexpozíció halált okozhat.</v>
      </c>
      <c r="AD230" s="7" t="str">
        <f>IFERROR(__xludf.DUMMYFUNCTION("GoogleTranslate(C230, ""en"", ""is"")"),"Útsetning fyrir miklu blýi getur valdið blóðleysi, máttleysi og nýrna- og heilaskaða. Mjög mikil blýáhrif geta valdið dauða.")</f>
        <v>Útsetning fyrir miklu blýi getur valdið blóðleysi, máttleysi og nýrna- og heilaskaða. Mjög mikil blýáhrif geta valdið dauða.</v>
      </c>
      <c r="AE230" s="7" t="str">
        <f>IFERROR(__xludf.DUMMYFUNCTION("GoogleTranslate(C230, ""en"", ""id"")"),"Paparan timbal dalam jumlah tinggi dapat menyebabkan anemia, kelemahan, serta kerusakan ginjal dan otak. Paparan timbal yang sangat tinggi dapat menyebabkan kematian.")</f>
        <v>Paparan timbal dalam jumlah tinggi dapat menyebabkan anemia, kelemahan, serta kerusakan ginjal dan otak. Paparan timbal yang sangat tinggi dapat menyebabkan kematian.</v>
      </c>
      <c r="AF230" s="7" t="str">
        <f>IFERROR(__xludf.DUMMYFUNCTION("GoogleTranslate(C230, ""en"", ""in"")"),"Paparan timbal dalam jumlah tinggi dapat menyebabkan anemia, kelemahan, serta kerusakan ginjal dan otak. Paparan timbal yang sangat tinggi dapat menyebabkan kematian.")</f>
        <v>Paparan timbal dalam jumlah tinggi dapat menyebabkan anemia, kelemahan, serta kerusakan ginjal dan otak. Paparan timbal yang sangat tinggi dapat menyebabkan kematian.</v>
      </c>
      <c r="AG230" s="7" t="str">
        <f>IFERROR(__xludf.DUMMYFUNCTION("GoogleTranslate(C230, ""en"", ""it"")"),"L’esposizione ad alti livelli di piombo può causare anemia, debolezza e danni ai reni e al cervello. Un'esposizione molto elevata al piombo può causare la morte.")</f>
        <v>L’esposizione ad alti livelli di piombo può causare anemia, debolezza e danni ai reni e al cervello. Un'esposizione molto elevata al piombo può causare la morte.</v>
      </c>
      <c r="AH230" s="7" t="str">
        <f>IFERROR(__xludf.DUMMYFUNCTION("GoogleTranslate(C230, ""en"", ""ja"")"),"高レベルの鉛にさらされると、貧血、衰弱、腎臓や脳の損傷を引き起こす可能性があります。鉛に非常に多く曝露すると、死に至る可能性があります。")</f>
        <v>高レベルの鉛にさらされると、貧血、衰弱、腎臓や脳の損傷を引き起こす可能性があります。鉛に非常に多く曝露すると、死に至る可能性があります。</v>
      </c>
      <c r="AI230" s="7" t="str">
        <f>IFERROR(__xludf.DUMMYFUNCTION("GoogleTranslate(C230, ""en"", ""kn"")"),"ಹೆಚ್ಚಿನ ಮಟ್ಟದ ಸೀಸಕ್ಕೆ ಒಡ್ಡಿಕೊಳ್ಳುವುದರಿಂದ ರಕ್ತಹೀನತೆ, ದೌರ್ಬಲ್ಯ ಮತ್ತು ಮೂತ್ರಪಿಂಡ ಮತ್ತು ಮೆದುಳಿಗೆ ಹಾನಿಯಾಗಬಹುದು. ಅತಿ ಹೆಚ್ಚು ಸೀಸದ ಮಾನ್ಯತೆ ಸಾವಿಗೆ ಕಾರಣವಾಗಬಹುದು.")</f>
        <v>ಹೆಚ್ಚಿನ ಮಟ್ಟದ ಸೀಸಕ್ಕೆ ಒಡ್ಡಿಕೊಳ್ಳುವುದರಿಂದ ರಕ್ತಹೀನತೆ, ದೌರ್ಬಲ್ಯ ಮತ್ತು ಮೂತ್ರಪಿಂಡ ಮತ್ತು ಮೆದುಳಿಗೆ ಹಾನಿಯಾಗಬಹುದು. ಅತಿ ಹೆಚ್ಚು ಸೀಸದ ಮಾನ್ಯತೆ ಸಾವಿಗೆ ಕಾರಣವಾಗಬಹುದು.</v>
      </c>
      <c r="AJ230" s="7" t="str">
        <f>IFERROR(__xludf.DUMMYFUNCTION("GoogleTranslate(C230, ""en"", ""km"")"),"ការ​ប៉ះពាល់​នឹង​កម្រិត​ជាតិ​សំណ​ខ្ពស់​អាច​បណ្តាលឱ្យ​មាន​ភាពស្លេកស្លាំង ភាពទន់ខ្សោយ និង​ខូច​តម្រងនោម និង​ខួរក្បាល​។ ការ​ប៉ះពាល់​សារធាតុ​សំណ​ខ្លាំង​អាច​បណ្តាល​ឱ្យ​ស្លាប់។")</f>
        <v>ការ​ប៉ះពាល់​នឹង​កម្រិត​ជាតិ​សំណ​ខ្ពស់​អាច​បណ្តាលឱ្យ​មាន​ភាពស្លេកស្លាំង ភាពទន់ខ្សោយ និង​ខូច​តម្រងនោម និង​ខួរក្បាល​។ ការ​ប៉ះពាល់​សារធាតុ​សំណ​ខ្លាំង​អាច​បណ្តាល​ឱ្យ​ស្លាប់។</v>
      </c>
      <c r="AK230" s="7" t="str">
        <f>IFERROR(__xludf.DUMMYFUNCTION("GoogleTranslate(C230, ""en"", ""ko"")"),"높은 수준의 납에 노출되면 빈혈, 쇠약, 신장 및 뇌 손상이 발생할 수 있습니다. 매우 높은 납 노출로 인해 사망할 수 있습니다.")</f>
        <v>높은 수준의 납에 노출되면 빈혈, 쇠약, 신장 및 뇌 손상이 발생할 수 있습니다. 매우 높은 납 노출로 인해 사망할 수 있습니다.</v>
      </c>
      <c r="AL230" s="7" t="str">
        <f>IFERROR(__xludf.DUMMYFUNCTION("GoogleTranslate(C230, ""en"", ""lo"")"),"ການໄດ້ຮັບສານຕະກົ່ວໃນປະລິມານສູງອາດຈະເຮັດໃຫ້ເກີດພະຍາດເລືອດຈາງ, ອ່ອນເພຍ, ແລະຄວາມເສຍຫາຍຂອງຫມາກໄຂ່ຫຼັງແລະສະຫມອງ. ການສໍາຜັດສານຂີ້ກົ່ວສູງຫຼາຍສາມາດເຮັດໃຫ້ເສຍຊີວິດໄດ້.")</f>
        <v>ການໄດ້ຮັບສານຕະກົ່ວໃນປະລິມານສູງອາດຈະເຮັດໃຫ້ເກີດພະຍາດເລືອດຈາງ, ອ່ອນເພຍ, ແລະຄວາມເສຍຫາຍຂອງຫມາກໄຂ່ຫຼັງແລະສະຫມອງ. ການສໍາຜັດສານຂີ້ກົ່ວສູງຫຼາຍສາມາດເຮັດໃຫ້ເສຍຊີວິດໄດ້.</v>
      </c>
      <c r="AM230" s="7" t="str">
        <f>IFERROR(__xludf.DUMMYFUNCTION("GoogleTranslate(C230, ""en"", ""lv"")"),"Pakļaušana lielam svina līmenim var izraisīt anēmiju, vājumu un nieru un smadzeņu bojājumus. Ļoti liela svina iedarbība var izraisīt nāvi.")</f>
        <v>Pakļaušana lielam svina līmenim var izraisīt anēmiju, vājumu un nieru un smadzeņu bojājumus. Ļoti liela svina iedarbība var izraisīt nāvi.</v>
      </c>
      <c r="AN230" s="7" t="str">
        <f>IFERROR(__xludf.DUMMYFUNCTION("GoogleTranslate(C230, ""en"", ""lt"")"),"Didelis švino kiekis gali sukelti anemiją, silpnumą ir inkstų bei smegenų pažeidimus. Labai didelis švino poveikis gali sukelti mirtį.")</f>
        <v>Didelis švino kiekis gali sukelti anemiją, silpnumą ir inkstų bei smegenų pažeidimus. Labai didelis švino poveikis gali sukelti mirtį.</v>
      </c>
      <c r="AO230" s="7" t="str">
        <f>IFERROR(__xludf.DUMMYFUNCTION("GoogleTranslate(C230, ""en"", ""mk"")"),"Изложеноста на високи нивоа на олово може да предизвика анемија, слабост и оштетување на бубрезите и мозокот. Многу висока изложеност на олово може да предизвика смрт.")</f>
        <v>Изложеноста на високи нивоа на олово може да предизвика анемија, слабост и оштетување на бубрезите и мозокот. Многу висока изложеност на олово може да предизвика смрт.</v>
      </c>
      <c r="AP230" s="7" t="str">
        <f>IFERROR(__xludf.DUMMYFUNCTION("GoogleTranslate(C230, ""en"", ""ms"")"),"Pendedahan kepada paras plumbum yang tinggi boleh menyebabkan anemia, kelemahan, dan kerosakan buah pinggang dan otak. Pendedahan plumbum yang sangat tinggi boleh menyebabkan kematian.")</f>
        <v>Pendedahan kepada paras plumbum yang tinggi boleh menyebabkan anemia, kelemahan, dan kerosakan buah pinggang dan otak. Pendedahan plumbum yang sangat tinggi boleh menyebabkan kematian.</v>
      </c>
      <c r="AQ230" s="7" t="str">
        <f>IFERROR(__xludf.DUMMYFUNCTION("GoogleTranslate(C230, ""en"", ""ml"")"),"ഉയർന്ന അളവിലുള്ള ലെഡ് എക്സ്പോഷർ വിളർച്ച, ബലഹീനത, വൃക്കകൾക്കും മസ്തിഷ്കത്തിനും തകരാറുണ്ടാക്കാം. വളരെ ഉയർന്ന ലെഡ് എക്സ്പോഷർ മരണത്തിന് കാരണമാകും.")</f>
        <v>ഉയർന്ന അളവിലുള്ള ലെഡ് എക്സ്പോഷർ വിളർച്ച, ബലഹീനത, വൃക്കകൾക്കും മസ്തിഷ്കത്തിനും തകരാറുണ്ടാക്കാം. വളരെ ഉയർന്ന ലെഡ് എക്സ്പോഷർ മരണത്തിന് കാരണമാകും.</v>
      </c>
      <c r="AR230" s="7" t="str">
        <f>IFERROR(__xludf.DUMMYFUNCTION("GoogleTranslate(C230, ""en"", ""mr"")"),"शिशाच्या उच्च पातळीच्या संपर्कात आल्याने अशक्तपणा, अशक्तपणा आणि मूत्रपिंड आणि मेंदूचे नुकसान होऊ शकते. शिशाच्या उच्च प्रदर्शनामुळे मृत्यू होऊ शकतो.")</f>
        <v>शिशाच्या उच्च पातळीच्या संपर्कात आल्याने अशक्तपणा, अशक्तपणा आणि मूत्रपिंड आणि मेंदूचे नुकसान होऊ शकते. शिशाच्या उच्च प्रदर्शनामुळे मृत्यू होऊ शकतो.</v>
      </c>
      <c r="AS230" s="7" t="str">
        <f>IFERROR(__xludf.DUMMYFUNCTION("GoogleTranslate(C230, ""en"", ""mn"")"),"Хар тугалганы өндөр агууламж нь цус багадалт, сул дорой байдал, бөөр, тархины гэмтэл үүсгэдэг. Хар тугалгад маш их өртөх нь үхэлд хүргэдэг.")</f>
        <v>Хар тугалганы өндөр агууламж нь цус багадалт, сул дорой байдал, бөөр, тархины гэмтэл үүсгэдэг. Хар тугалгад маш их өртөх нь үхэлд хүргэдэг.</v>
      </c>
      <c r="AT230" s="7" t="str">
        <f>IFERROR(__xludf.DUMMYFUNCTION("GoogleTranslate(C230, ""en"", ""ne"")"),"सीसाको उच्च स्तरको एक्सपोजरले एनीमिया, कमजोरी, र मृगौला र मस्तिष्क क्षति हुन सक्छ। धेरै उच्च सीसा एक्सपोजरले मृत्यु निम्त्याउन सक्छ।")</f>
        <v>सीसाको उच्च स्तरको एक्सपोजरले एनीमिया, कमजोरी, र मृगौला र मस्तिष्क क्षति हुन सक्छ। धेरै उच्च सीसा एक्सपोजरले मृत्यु निम्त्याउन सक्छ।</v>
      </c>
      <c r="AU230" s="7" t="str">
        <f>IFERROR(__xludf.DUMMYFUNCTION("GoogleTranslate(C230, ""en"", ""nb"")"),"Eksponering for høye nivåer av bly kan forårsake anemi, svakhet og nyre- og hjerneskade. Svært høy blyeksponering kan forårsake død.")</f>
        <v>Eksponering for høye nivåer av bly kan forårsake anemi, svakhet og nyre- og hjerneskade. Svært høy blyeksponering kan forårsake død.</v>
      </c>
      <c r="AV230" s="7" t="str">
        <f>IFERROR(__xludf.DUMMYFUNCTION("GoogleTranslate(C230, ""en"", ""fa"")"),"قرار گرفتن در معرض سطوح بالای سرب ممکن است باعث کم خونی، ضعف و آسیب کلیه و مغز شود. قرار گرفتن در معرض سرب بسیار زیاد می تواند باعث مرگ شود.")</f>
        <v>قرار گرفتن در معرض سطوح بالای سرب ممکن است باعث کم خونی، ضعف و آسیب کلیه و مغز شود. قرار گرفتن در معرض سرب بسیار زیاد می تواند باعث مرگ شود.</v>
      </c>
      <c r="AW230" s="7" t="str">
        <f>IFERROR(__xludf.DUMMYFUNCTION("GoogleTranslate(C230, ""en"", ""pl"")"),"Narażenie na duże stężenia ołowiu może powodować anemię, osłabienie oraz uszkodzenie nerek i mózgu. Bardzo wysokie narażenie na ołów może spowodować śmierć.")</f>
        <v>Narażenie na duże stężenia ołowiu może powodować anemię, osłabienie oraz uszkodzenie nerek i mózgu. Bardzo wysokie narażenie na ołów może spowodować śmierć.</v>
      </c>
      <c r="AX230" s="7" t="str">
        <f>IFERROR(__xludf.DUMMYFUNCTION("GoogleTranslate(C230, ""en"", ""pt"")"),"A exposição a altos níveis de chumbo pode causar anemia, fraqueza e danos renais e cerebrais. Uma exposição muito elevada ao chumbo pode causar a morte.")</f>
        <v>A exposição a altos níveis de chumbo pode causar anemia, fraqueza e danos renais e cerebrais. Uma exposição muito elevada ao chumbo pode causar a morte.</v>
      </c>
      <c r="AY230" s="7" t="str">
        <f>IFERROR(__xludf.DUMMYFUNCTION("GoogleTranslate(C230, ""en"", ""ro"")"),"Expunerea la niveluri ridicate de plumb poate provoca anemie, slăbiciune și leziuni ale rinichilor și creierului. Expunerea foarte mare la plumb poate provoca moartea.")</f>
        <v>Expunerea la niveluri ridicate de plumb poate provoca anemie, slăbiciune și leziuni ale rinichilor și creierului. Expunerea foarte mare la plumb poate provoca moartea.</v>
      </c>
      <c r="AZ230" s="7" t="str">
        <f>IFERROR(__xludf.DUMMYFUNCTION("GoogleTranslate(C230, ""en"", ""ru"")"),"Воздействие высоких уровней свинца может вызвать анемию, слабость, повреждение почек и головного мозга. Очень высокое воздействие свинца может привести к смерти.")</f>
        <v>Воздействие высоких уровней свинца может вызвать анемию, слабость, повреждение почек и головного мозга. Очень высокое воздействие свинца может привести к смерти.</v>
      </c>
      <c r="BA230" s="7" t="str">
        <f>IFERROR(__xludf.DUMMYFUNCTION("GoogleTranslate(C230, ""en"", ""sr"")"),"Изложеност високим нивоима олова може изазвати анемију, слабост и оштећење бубрега и мозга. Веома висока изложеност олову може изазвати смрт.")</f>
        <v>Изложеност високим нивоима олова може изазвати анемију, слабост и оштећење бубрега и мозга. Веома висока изложеност олову може изазвати смрт.</v>
      </c>
      <c r="BB230" s="7" t="str">
        <f>IFERROR(__xludf.DUMMYFUNCTION("GoogleTranslate(C230, ""en"", ""si"")"),"ඊයම් ඉහළ මට්ටමකට නිරාවරණය වීමෙන් රක්තහීනතාවය, දුර්වලතාවය සහ වකුගඩු හා මොළයට හානි සිදු විය හැක. ඉතා ඉහළ ඊයම් නිරාවරණය මරණයට හේතු විය හැක.")</f>
        <v>ඊයම් ඉහළ මට්ටමකට නිරාවරණය වීමෙන් රක්තහීනතාවය, දුර්වලතාවය සහ වකුගඩු හා මොළයට හානි සිදු විය හැක. ඉතා ඉහළ ඊයම් නිරාවරණය මරණයට හේතු විය හැක.</v>
      </c>
      <c r="BC230" s="7" t="str">
        <f>IFERROR(__xludf.DUMMYFUNCTION("GoogleTranslate(C230, ""en"", ""sk"")"),"Vystavenie vysokým hladinám olova môže spôsobiť anémiu, slabosť a poškodenie obličiek a mozgu. Veľmi vysoká expozícia olova môže spôsobiť smrť.")</f>
        <v>Vystavenie vysokým hladinám olova môže spôsobiť anémiu, slabosť a poškodenie obličiek a mozgu. Veľmi vysoká expozícia olova môže spôsobiť smrť.</v>
      </c>
      <c r="BD230" s="7" t="str">
        <f>IFERROR(__xludf.DUMMYFUNCTION("GoogleTranslate(C230, ""en"", ""sl"")"),"Izpostavljenost visokim stopnjam svinca lahko povzroči anemijo, šibkost ter poškodbe ledvic in možganov. Zelo visoka izpostavljenost svincu lahko povzroči smrt.")</f>
        <v>Izpostavljenost visokim stopnjam svinca lahko povzroči anemijo, šibkost ter poškodbe ledvic in možganov. Zelo visoka izpostavljenost svincu lahko povzroči smrt.</v>
      </c>
      <c r="BE230" s="7" t="str">
        <f>IFERROR(__xludf.DUMMYFUNCTION("GoogleTranslate(C230, ""en"", ""es"")"),"La exposición a altos niveles de plomo puede causar anemia, debilidad y daño renal y cerebral. Una exposición muy alta al plomo puede causar la muerte.")</f>
        <v>La exposición a altos niveles de plomo puede causar anemia, debilidad y daño renal y cerebral. Una exposición muy alta al plomo puede causar la muerte.</v>
      </c>
      <c r="BF230" s="7" t="str">
        <f>IFERROR(__xludf.DUMMYFUNCTION("GoogleTranslate(C230, ""en"", ""sw"")"),"Mfiduo wa viwango vya juu vya risasi unaweza kusababisha upungufu wa damu, udhaifu, na uharibifu wa figo na ubongo. Mfiduo wa juu sana wa risasi unaweza kusababisha kifo.")</f>
        <v>Mfiduo wa viwango vya juu vya risasi unaweza kusababisha upungufu wa damu, udhaifu, na uharibifu wa figo na ubongo. Mfiduo wa juu sana wa risasi unaweza kusababisha kifo.</v>
      </c>
      <c r="BG230" s="7" t="str">
        <f>IFERROR(__xludf.DUMMYFUNCTION("GoogleTranslate(C230, ""en"", ""sv"")"),"Exponering för höga halter av bly kan orsaka anemi, svaghet och njur- och hjärnskador. Mycket hög blyexponering kan orsaka dödsfall.")</f>
        <v>Exponering för höga halter av bly kan orsaka anemi, svaghet och njur- och hjärnskador. Mycket hög blyexponering kan orsaka dödsfall.</v>
      </c>
      <c r="BH230" s="7" t="str">
        <f>IFERROR(__xludf.DUMMYFUNCTION("GoogleTranslate(C230, ""en"", ""te"")"),"అధిక స్థాయిలో సీసానికి గురికావడం వల్ల రక్తహీనత, బలహీనత మరియు మూత్రపిండాలు మరియు మెదడు దెబ్బతినవచ్చు. చాలా ఎక్కువ సీసం బహిర్గతం మరణానికి కారణమవుతుంది.")</f>
        <v>అధిక స్థాయిలో సీసానికి గురికావడం వల్ల రక్తహీనత, బలహీనత మరియు మూత్రపిండాలు మరియు మెదడు దెబ్బతినవచ్చు. చాలా ఎక్కువ సీసం బహిర్గతం మరణానికి కారణమవుతుంది.</v>
      </c>
      <c r="BI230" s="7" t="str">
        <f>IFERROR(__xludf.DUMMYFUNCTION("GoogleTranslate(C230, ""en"", ""th"")"),"การได้รับสารตะกั่วในระดับสูงอาจทำให้เกิดภาวะโลหิตจาง อ่อนแรง และไตและสมองถูกทำลายได้ การได้รับสารตะกั่วที่สูงมากอาจทำให้เสียชีวิตได้")</f>
        <v>การได้รับสารตะกั่วในระดับสูงอาจทำให้เกิดภาวะโลหิตจาง อ่อนแรง และไตและสมองถูกทำลายได้ การได้รับสารตะกั่วที่สูงมากอาจทำให้เสียชีวิตได้</v>
      </c>
      <c r="BJ230" s="7" t="str">
        <f>IFERROR(__xludf.DUMMYFUNCTION("GoogleTranslate(C230, ""en"", ""tr"")"),"Yüksek düzeyde kurşuna maruz kalmak anemiye, halsizliğe, böbrek ve beyin hasarına neden olabilir. Çok yüksek kurşun maruziyeti ölüme neden olabilir.")</f>
        <v>Yüksek düzeyde kurşuna maruz kalmak anemiye, halsizliğe, böbrek ve beyin hasarına neden olabilir. Çok yüksek kurşun maruziyeti ölüme neden olabilir.</v>
      </c>
      <c r="BK230" s="7" t="str">
        <f>IFERROR(__xludf.DUMMYFUNCTION("GoogleTranslate(C230, ""en"", ""uk"")"),"Вплив свинцю у високих рівнях може спричинити анемію, слабкість та пошкодження нирок і мозку. Дуже високий вміст свинцю може спричинити смерть.")</f>
        <v>Вплив свинцю у високих рівнях може спричинити анемію, слабкість та пошкодження нирок і мозку. Дуже високий вміст свинцю може спричинити смерть.</v>
      </c>
      <c r="BL230" s="7" t="str">
        <f>IFERROR(__xludf.DUMMYFUNCTION("GoogleTranslate(C230, ""en"", ""zu"")"),"Ukuchayeka emazingeni aphezulu omthofu kungase kubangele i-anemia, ubuthakathaka, nokulimala kwezinso nobuchopho. Ukuchayeka okuphezulu kakhulu komthofu kungadala ukufa.")</f>
        <v>Ukuchayeka emazingeni aphezulu omthofu kungase kubangele i-anemia, ubuthakathaka, nokulimala kwezinso nobuchopho. Ukuchayeka okuphezulu kakhulu komthofu kungadala ukufa.</v>
      </c>
    </row>
    <row r="231">
      <c r="A231" s="5" t="str">
        <f t="shared" si="1"/>
        <v>High_levels_of_ammonia_can_irritate_and_burn_the_skin,_mouth,_throat,_lungs,_and_eyes._Very_high_levels_of_ammonia_can_damage_the_lungs_or_cause_death.</v>
      </c>
      <c r="B231" s="4" t="s">
        <v>274</v>
      </c>
      <c r="C231" s="4" t="s">
        <v>274</v>
      </c>
      <c r="D231" s="7" t="str">
        <f>IFERROR(__xludf.DUMMYFUNCTION("GoogleTranslate(C231, ""en"", ""es"")"),"Los niveles elevados de amoníaco pueden irritar y quemar la piel, la boca, la garganta, los pulmones y los ojos. Niveles muy altos de amoníaco pueden dañar los pulmones o provocar la muerte.")</f>
        <v>Los niveles elevados de amoníaco pueden irritar y quemar la piel, la boca, la garganta, los pulmones y los ojos. Niveles muy altos de amoníaco pueden dañar los pulmones o provocar la muerte.</v>
      </c>
      <c r="E231" s="7" t="str">
        <f>IFERROR(__xludf.DUMMYFUNCTION("GoogleTranslate(C231, ""en"", ""ar"")"),"يمكن لمستويات عالية من الأمونيا أن تهيج وتحرق الجلد والفم والحلق والرئتين والعينين. يمكن لمستويات عالية جدًا من الأمونيا أن تلحق الضرر بالرئتين أو تسبب الوفاة.")</f>
        <v>يمكن لمستويات عالية من الأمونيا أن تهيج وتحرق الجلد والفم والحلق والرئتين والعينين. يمكن لمستويات عالية جدًا من الأمونيا أن تلحق الضرر بالرئتين أو تسبب الوفاة.</v>
      </c>
      <c r="F231" s="7" t="str">
        <f>IFERROR(__xludf.DUMMYFUNCTION("GoogleTranslate(C231, ""en"", ""hy"")"),"Ամոնիակի բարձր մակարդակը կարող է գրգռել և այրել մաշկը, բերանը, կոկորդը, թոքերը և աչքերը: Ամոնիակի շատ բարձր մակարդակը կարող է վնասել թոքերը կամ հանգեցնել մահվան:")</f>
        <v>Ամոնիակի բարձր մակարդակը կարող է գրգռել և այրել մաշկը, բերանը, կոկորդը, թոքերը և աչքերը: Ամոնիակի շատ բարձր մակարդակը կարող է վնասել թոքերը կամ հանգեցնել մահվան:</v>
      </c>
      <c r="G231" s="7" t="str">
        <f>IFERROR(__xludf.DUMMYFUNCTION("GoogleTranslate(C231, ""en"", ""vi"")"),"Nồng độ amoniac cao có thể gây kích ứng và bỏng da, miệng, cổ họng, phổi và mắt. Nồng độ amoniac rất cao có thể làm hỏng phổi hoặc gây tử vong.")</f>
        <v>Nồng độ amoniac cao có thể gây kích ứng và bỏng da, miệng, cổ họng, phổi và mắt. Nồng độ amoniac rất cao có thể làm hỏng phổi hoặc gây tử vong.</v>
      </c>
      <c r="H231" s="7" t="str">
        <f>IFERROR(__xludf.DUMMYFUNCTION("GoogleTranslate(C231, ""en"", ""az"")"),"Yüksək səviyyədə ammonyak dərini, ağızı, boğazı, ağciyərləri və gözləri qıcıqlandıra və yandıra bilər. Çox yüksək miqdarda ammonyak ağciyərlərə zərər verə bilər və ya ölümə səbəb ola bilər.")</f>
        <v>Yüksək səviyyədə ammonyak dərini, ağızı, boğazı, ağciyərləri və gözləri qıcıqlandıra və yandıra bilər. Çox yüksək miqdarda ammonyak ağciyərlərə zərər verə bilər və ya ölümə səbəb ola bilər.</v>
      </c>
      <c r="I231" s="7" t="str">
        <f>IFERROR(__xludf.DUMMYFUNCTION("GoogleTranslate(C231, ""en"", ""eu"")"),"Amoniako maila altuek azala, ahoa, eztarria, birikak eta begiak narrita ditzakete eta erre. Amoniako maila oso altuek birikak kaltetu edo heriotza eragin dezakete.")</f>
        <v>Amoniako maila altuek azala, ahoa, eztarria, birikak eta begiak narrita ditzakete eta erre. Amoniako maila oso altuek birikak kaltetu edo heriotza eragin dezakete.</v>
      </c>
      <c r="J231" s="7" t="str">
        <f>IFERROR(__xludf.DUMMYFUNCTION("GoogleTranslate(C231, ""en"", ""be"")"),"Высокі ўзровень аміяку можа выклікаць раздражненне і апёк скуры, рота, горла, лёгкіх і вачэй. Вельмі высокі ўзровень аміяку можа пашкодзіць лёгкія або прывесці да смерці.")</f>
        <v>Высокі ўзровень аміяку можа выклікаць раздражненне і апёк скуры, рота, горла, лёгкіх і вачэй. Вельмі высокі ўзровень аміяку можа пашкодзіць лёгкія або прывесці да смерці.</v>
      </c>
      <c r="K231" s="7" t="str">
        <f>IFERROR(__xludf.DUMMYFUNCTION("GoogleTranslate(C231, ""en"", ""bn"")"),"উচ্চ মাত্রার অ্যামোনিয়া ত্বক, মুখ, গলা, ফুসফুস এবং চোখকে জ্বালাতন ও পোড়াতে পারে। খুব উচ্চ মাত্রার অ্যামোনিয়া ফুসফুসের ক্ষতি করতে পারে বা মৃত্যুর কারণ হতে পারে।")</f>
        <v>উচ্চ মাত্রার অ্যামোনিয়া ত্বক, মুখ, গলা, ফুসফুস এবং চোখকে জ্বালাতন ও পোড়াতে পারে। খুব উচ্চ মাত্রার অ্যামোনিয়া ফুসফুসের ক্ষতি করতে পারে বা মৃত্যুর কারণ হতে পারে।</v>
      </c>
      <c r="L231" s="7" t="str">
        <f>IFERROR(__xludf.DUMMYFUNCTION("GoogleTranslate(C231, ""en"", ""bg"")"),"Високите нива на амоняк могат да раздразнят и изгорят кожата, устата, гърлото, белите дробове и очите. Много високи нива на амоняк могат да увредят белите дробове или да причинят смърт.")</f>
        <v>Високите нива на амоняк могат да раздразнят и изгорят кожата, устата, гърлото, белите дробове и очите. Много високи нива на амоняк могат да увредят белите дробове или да причинят смърт.</v>
      </c>
      <c r="M231" s="7" t="str">
        <f>IFERROR(__xludf.DUMMYFUNCTION("GoogleTranslate(C231, ""en"", ""my"")"),"အမိုးနီးယားပါဝင်မှု မြင့်မားခြင်းသည် အရေပြား၊ ပါးစပ်၊ လည်ချောင်း၊ အဆုတ်နှင့် မျက်လုံးတို့ကို ယားယံစေပြီး မီးလောင်စေနိုင်သည်။ အမိုးနီးယား အလွန်များသော ပမာဏသည် အဆုတ်ကို ပျက်စီးစေနိုင်သည် သို့မဟုတ် သေစေနိုင်သည်။")</f>
        <v>အမိုးနီးယားပါဝင်မှု မြင့်မားခြင်းသည် အရေပြား၊ ပါးစပ်၊ လည်ချောင်း၊ အဆုတ်နှင့် မျက်လုံးတို့ကို ယားယံစေပြီး မီးလောင်စေနိုင်သည်။ အမိုးနီးယား အလွန်များသော ပမာဏသည် အဆုတ်ကို ပျက်စီးစေနိုင်သည် သို့မဟုတ် သေစေနိုင်သည်။</v>
      </c>
      <c r="N231" s="7" t="str">
        <f>IFERROR(__xludf.DUMMYFUNCTION("GoogleTranslate(C231, ""en"", ""ca"")"),"Els alts nivells d'amoníac poden irritar i cremar la pell, la boca, la gola, els pulmons i els ulls. Nivells molt alts d'amoníac poden danyar els pulmons o causar la mort.")</f>
        <v>Els alts nivells d'amoníac poden irritar i cremar la pell, la boca, la gola, els pulmons i els ulls. Nivells molt alts d'amoníac poden danyar els pulmons o causar la mort.</v>
      </c>
      <c r="O231" s="7" t="str">
        <f>IFERROR(__xludf.DUMMYFUNCTION("GoogleTranslate(C231, ""en"", ""zh-cn"")"),"高浓度的氨会刺激和烧伤皮肤、口腔、喉咙、肺部和眼睛。极高浓度的氨会损害肺部或导致死亡。")</f>
        <v>高浓度的氨会刺激和烧伤皮肤、口腔、喉咙、肺部和眼睛。极高浓度的氨会损害肺部或导致死亡。</v>
      </c>
      <c r="P231" s="7" t="str">
        <f>IFERROR(__xludf.DUMMYFUNCTION("GoogleTranslate(C231, ""en"", ""zh-TW"")"),"高濃度的氨會刺激和燒傷皮膚、口腔、喉嚨、肺部和眼睛。極高濃度的氨會損害肺部或導致死亡。")</f>
        <v>高濃度的氨會刺激和燒傷皮膚、口腔、喉嚨、肺部和眼睛。極高濃度的氨會損害肺部或導致死亡。</v>
      </c>
      <c r="Q231" s="7" t="str">
        <f>IFERROR(__xludf.DUMMYFUNCTION("GoogleTranslate(C231, ""en"", ""hr"")"),"Visoke razine amonijaka mogu iritirati i opeći kožu, usta, grlo, pluća i oči. Vrlo visoke razine amonijaka mogu oštetiti pluća ili uzrokovati smrt.")</f>
        <v>Visoke razine amonijaka mogu iritirati i opeći kožu, usta, grlo, pluća i oči. Vrlo visoke razine amonijaka mogu oštetiti pluća ili uzrokovati smrt.</v>
      </c>
      <c r="R231" s="7" t="str">
        <f>IFERROR(__xludf.DUMMYFUNCTION("GoogleTranslate(C231, ""en"", ""cs"")"),"Vysoké hladiny amoniaku mohou dráždit a pálit kůži, ústa, hrdlo, plíce a oči. Velmi vysoké hladiny amoniaku mohou poškodit plíce nebo způsobit smrt.")</f>
        <v>Vysoké hladiny amoniaku mohou dráždit a pálit kůži, ústa, hrdlo, plíce a oči. Velmi vysoké hladiny amoniaku mohou poškodit plíce nebo způsobit smrt.</v>
      </c>
      <c r="S231" s="7" t="str">
        <f>IFERROR(__xludf.DUMMYFUNCTION("GoogleTranslate(C231, ""en"", ""da"")"),"Høje niveauer af ammoniak kan irritere og brænde hud, mund, hals, lunger og øjne. Meget høje niveauer af ammoniak kan beskadige lungerne eller forårsage død.")</f>
        <v>Høje niveauer af ammoniak kan irritere og brænde hud, mund, hals, lunger og øjne. Meget høje niveauer af ammoniak kan beskadige lungerne eller forårsage død.</v>
      </c>
      <c r="T231" s="7" t="str">
        <f>IFERROR(__xludf.DUMMYFUNCTION("GoogleTranslate(C231, ""en"", ""nl"")"),"Een hoog ammoniakgehalte kan de huid, mond, keel, longen en ogen irriteren en verbranden. Zeer hoge niveaus van ammoniak kunnen de longen beschadigen of de dood veroorzaken.")</f>
        <v>Een hoog ammoniakgehalte kan de huid, mond, keel, longen en ogen irriteren en verbranden. Zeer hoge niveaus van ammoniak kunnen de longen beschadigen of de dood veroorzaken.</v>
      </c>
      <c r="U231" s="7" t="str">
        <f>IFERROR(__xludf.DUMMYFUNCTION("GoogleTranslate(C231, ""en"", ""et"")"),"Kõrge ammoniaagi sisaldus võib ärritada ja põletada nahka, suud, kurku, kopse ja silmi. Väga kõrge ammoniaagi sisaldus võib kahjustada kopse või põhjustada surma.")</f>
        <v>Kõrge ammoniaagi sisaldus võib ärritada ja põletada nahka, suud, kurku, kopse ja silmi. Väga kõrge ammoniaagi sisaldus võib kahjustada kopse või põhjustada surma.</v>
      </c>
      <c r="V231" s="5" t="str">
        <f t="shared" si="3"/>
        <v>High levels of ammonia can irritate and burn the skin, mouth, throat, lungs, and eyes. Very high levels of ammonia can damage the lungs or cause death.</v>
      </c>
      <c r="W231" s="7" t="str">
        <f>IFERROR(__xludf.DUMMYFUNCTION("GoogleTranslate(C231, ""en"", ""fi"")"),"Korkeat ammoniakkipitoisuudet voivat ärsyttää ja polttaa ihoa, suuta, kurkkua, keuhkoja ja silmiä. Erittäin korkeat ammoniakkipitoisuudet voivat vahingoittaa keuhkoja tai aiheuttaa kuoleman.")</f>
        <v>Korkeat ammoniakkipitoisuudet voivat ärsyttää ja polttaa ihoa, suuta, kurkkua, keuhkoja ja silmiä. Erittäin korkeat ammoniakkipitoisuudet voivat vahingoittaa keuhkoja tai aiheuttaa kuoleman.</v>
      </c>
      <c r="X231" s="7" t="str">
        <f>IFERROR(__xludf.DUMMYFUNCTION("GoogleTranslate(C231, ""en"", ""fr"")"),"Des niveaux élevés d'ammoniac peuvent irriter et brûler la peau, la bouche, la gorge, les poumons et les yeux. Des niveaux très élevés d’ammoniac peuvent endommager les poumons ou entraîner la mort.")</f>
        <v>Des niveaux élevés d'ammoniac peuvent irriter et brûler la peau, la bouche, la gorge, les poumons et les yeux. Des niveaux très élevés d’ammoniac peuvent endommager les poumons ou entraîner la mort.</v>
      </c>
      <c r="Y231" s="7" t="str">
        <f>IFERROR(__xludf.DUMMYFUNCTION("GoogleTranslate(C231, ""en"", ""de"")"),"Hohe Ammoniakkonzentrationen können Haut, Mund, Rachen, Lunge und Augen reizen und verbrennen. Sehr hohe Ammoniakkonzentrationen können die Lunge schädigen oder zum Tod führen.")</f>
        <v>Hohe Ammoniakkonzentrationen können Haut, Mund, Rachen, Lunge und Augen reizen und verbrennen. Sehr hohe Ammoniakkonzentrationen können die Lunge schädigen oder zum Tod führen.</v>
      </c>
      <c r="Z231" s="7" t="str">
        <f>IFERROR(__xludf.DUMMYFUNCTION("GoogleTranslate(C231, ""en"", ""el"")"),"Τα υψηλά επίπεδα αμμωνίας μπορεί να ερεθίσουν και να κάψουν το δέρμα, το στόμα, το λαιμό, τους πνεύμονες και τα μάτια. Πολύ υψηλά επίπεδα αμμωνίας μπορεί να βλάψουν τους πνεύμονες ή να προκαλέσουν θάνατο.")</f>
        <v>Τα υψηλά επίπεδα αμμωνίας μπορεί να ερεθίσουν και να κάψουν το δέρμα, το στόμα, το λαιμό, τους πνεύμονες και τα μάτια. Πολύ υψηλά επίπεδα αμμωνίας μπορεί να βλάψουν τους πνεύμονες ή να προκαλέσουν θάνατο.</v>
      </c>
      <c r="AA231" s="7" t="str">
        <f>IFERROR(__xludf.DUMMYFUNCTION("GoogleTranslate(C231, ""en"", ""iw"")"),"רמות גבוהות של אמוניה עלולות לגרות ולצרוב את העור, הפה, הגרון, הריאות והעיניים. רמות גבוהות מאוד של אמוניה עלולות להזיק לריאות או לגרום למוות.")</f>
        <v>רמות גבוהות של אמוניה עלולות לגרות ולצרוב את העור, הפה, הגרון, הריאות והעיניים. רמות גבוהות מאוד של אמוניה עלולות להזיק לריאות או לגרום למוות.</v>
      </c>
      <c r="AB231" s="7" t="str">
        <f>IFERROR(__xludf.DUMMYFUNCTION("GoogleTranslate(C231, ""en"", ""hi"")"),"अमोनिया का उच्च स्तर त्वचा, मुंह, गले, फेफड़ों और आंखों में जलन और जलन पैदा कर सकता है। अमोनिया का बहुत अधिक स्तर फेफड़ों को नुकसान पहुंचा सकता है या मृत्यु का कारण बन सकता है।")</f>
        <v>अमोनिया का उच्च स्तर त्वचा, मुंह, गले, फेफड़ों और आंखों में जलन और जलन पैदा कर सकता है। अमोनिया का बहुत अधिक स्तर फेफड़ों को नुकसान पहुंचा सकता है या मृत्यु का कारण बन सकता है।</v>
      </c>
      <c r="AC231" s="7" t="str">
        <f>IFERROR(__xludf.DUMMYFUNCTION("GoogleTranslate(C231, ""en"", ""hu"")"),"A magas ammóniaszint irritálhatja és megégetheti a bőrt, a szájat, a torkot, a tüdőt és a szemet. A nagyon magas ammóniaszint károsíthatja a tüdőt vagy halált okozhat.")</f>
        <v>A magas ammóniaszint irritálhatja és megégetheti a bőrt, a szájat, a torkot, a tüdőt és a szemet. A nagyon magas ammóniaszint károsíthatja a tüdőt vagy halált okozhat.</v>
      </c>
      <c r="AD231" s="7" t="str">
        <f>IFERROR(__xludf.DUMMYFUNCTION("GoogleTranslate(C231, ""en"", ""is"")"),"Mikið magn af ammoníaki getur ertað og brennt húð, munn, háls, lungu og augu. Mjög mikið magn af ammoníaki getur skemmt lungun eða valdið dauða.")</f>
        <v>Mikið magn af ammoníaki getur ertað og brennt húð, munn, háls, lungu og augu. Mjög mikið magn af ammoníaki getur skemmt lungun eða valdið dauða.</v>
      </c>
      <c r="AE231" s="7" t="str">
        <f>IFERROR(__xludf.DUMMYFUNCTION("GoogleTranslate(C231, ""en"", ""id"")"),"Kadar amonia yang tinggi dapat mengiritasi dan membakar kulit, mulut, tenggorokan, paru-paru, dan mata. Kadar amonia yang sangat tinggi dapat merusak paru-paru atau menyebabkan kematian.")</f>
        <v>Kadar amonia yang tinggi dapat mengiritasi dan membakar kulit, mulut, tenggorokan, paru-paru, dan mata. Kadar amonia yang sangat tinggi dapat merusak paru-paru atau menyebabkan kematian.</v>
      </c>
      <c r="AF231" s="7" t="str">
        <f>IFERROR(__xludf.DUMMYFUNCTION("GoogleTranslate(C231, ""en"", ""in"")"),"Kadar amonia yang tinggi dapat mengiritasi dan membakar kulit, mulut, tenggorokan, paru-paru, dan mata. Kadar amonia yang sangat tinggi dapat merusak paru-paru atau menyebabkan kematian.")</f>
        <v>Kadar amonia yang tinggi dapat mengiritasi dan membakar kulit, mulut, tenggorokan, paru-paru, dan mata. Kadar amonia yang sangat tinggi dapat merusak paru-paru atau menyebabkan kematian.</v>
      </c>
      <c r="AG231" s="7" t="str">
        <f>IFERROR(__xludf.DUMMYFUNCTION("GoogleTranslate(C231, ""en"", ""it"")"),"Alti livelli di ammoniaca possono irritare e bruciare la pelle, la bocca, la gola, i polmoni e gli occhi. Livelli molto elevati di ammoniaca possono danneggiare i polmoni o causare la morte.")</f>
        <v>Alti livelli di ammoniaca possono irritare e bruciare la pelle, la bocca, la gola, i polmoni e gli occhi. Livelli molto elevati di ammoniaca possono danneggiare i polmoni o causare la morte.</v>
      </c>
      <c r="AH231" s="7" t="str">
        <f>IFERROR(__xludf.DUMMYFUNCTION("GoogleTranslate(C231, ""en"", ""ja"")"),"高レベルのアンモニアは、皮膚、口、喉、肺、目を刺激し、火傷を引き起こす可能性があります。非常に高レベルのアンモニアは肺を損傷したり、死に至る可能性があります。")</f>
        <v>高レベルのアンモニアは、皮膚、口、喉、肺、目を刺激し、火傷を引き起こす可能性があります。非常に高レベルのアンモニアは肺を損傷したり、死に至る可能性があります。</v>
      </c>
      <c r="AI231" s="7" t="str">
        <f>IFERROR(__xludf.DUMMYFUNCTION("GoogleTranslate(C231, ""en"", ""kn"")"),"ಹೆಚ್ಚಿನ ಮಟ್ಟದ ಅಮೋನಿಯವು ಚರ್ಮ, ಬಾಯಿ, ಗಂಟಲು, ಶ್ವಾಸಕೋಶಗಳು ಮತ್ತು ಕಣ್ಣುಗಳನ್ನು ಕೆರಳಿಸಬಹುದು ಮತ್ತು ಸುಡಬಹುದು. ಹೆಚ್ಚಿನ ಮಟ್ಟದ ಅಮೋನಿಯವು ಶ್ವಾಸಕೋಶವನ್ನು ಹಾನಿಗೊಳಿಸಬಹುದು ಅಥವಾ ಸಾವಿಗೆ ಕಾರಣವಾಗಬಹುದು.")</f>
        <v>ಹೆಚ್ಚಿನ ಮಟ್ಟದ ಅಮೋನಿಯವು ಚರ್ಮ, ಬಾಯಿ, ಗಂಟಲು, ಶ್ವಾಸಕೋಶಗಳು ಮತ್ತು ಕಣ್ಣುಗಳನ್ನು ಕೆರಳಿಸಬಹುದು ಮತ್ತು ಸುಡಬಹುದು. ಹೆಚ್ಚಿನ ಮಟ್ಟದ ಅಮೋನಿಯವು ಶ್ವಾಸಕೋಶವನ್ನು ಹಾನಿಗೊಳಿಸಬಹುದು ಅಥವಾ ಸಾವಿಗೆ ಕಾರಣವಾಗಬಹುದು.</v>
      </c>
      <c r="AJ231" s="7" t="str">
        <f>IFERROR(__xludf.DUMMYFUNCTION("GoogleTranslate(C231, ""en"", ""km"")"),"កម្រិតខ្ពស់នៃអាម៉ូញាក់អាចរលាក និងរលាកស្បែក មាត់ បំពង់ក សួត និងភ្នែក។ កម្រិតខ្ពស់នៃអាម៉ូញាក់អាចបំផ្លាញសួត ឬបណ្តាលឱ្យស្លាប់។")</f>
        <v>កម្រិតខ្ពស់នៃអាម៉ូញាក់អាចរលាក និងរលាកស្បែក មាត់ បំពង់ក សួត និងភ្នែក។ កម្រិតខ្ពស់នៃអាម៉ូញាក់អាចបំផ្លាញសួត ឬបណ្តាលឱ្យស្លាប់។</v>
      </c>
      <c r="AK231" s="7" t="str">
        <f>IFERROR(__xludf.DUMMYFUNCTION("GoogleTranslate(C231, ""en"", ""ko"")"),"높은 수준의 암모니아는 피부, 입, 목, 폐 및 눈을 자극하고 화상을 입힐 수 있습니다. 매우 높은 수준의 암모니아는 폐를 손상시키거나 사망을 초래할 수 있습니다.")</f>
        <v>높은 수준의 암모니아는 피부, 입, 목, 폐 및 눈을 자극하고 화상을 입힐 수 있습니다. 매우 높은 수준의 암모니아는 폐를 손상시키거나 사망을 초래할 수 있습니다.</v>
      </c>
      <c r="AL231" s="7" t="str">
        <f>IFERROR(__xludf.DUMMYFUNCTION("GoogleTranslate(C231, ""en"", ""lo"")"),"ລະດັບສູງຂອງແອມໂມເນຍສາມາດລະຄາຍເຄືອງແລະບາດແຜຜິວຫນັງ, ປາກ, ຄໍ, ປອດ, ແລະຕາ. ລະດັບອາໂມເນຍສູງຫຼາຍສາມາດທໍາລາຍປອດຫຼືເຮັດໃຫ້ເກີດການເສຍຊີວິດ.")</f>
        <v>ລະດັບສູງຂອງແອມໂມເນຍສາມາດລະຄາຍເຄືອງແລະບາດແຜຜິວຫນັງ, ປາກ, ຄໍ, ປອດ, ແລະຕາ. ລະດັບອາໂມເນຍສູງຫຼາຍສາມາດທໍາລາຍປອດຫຼືເຮັດໃຫ້ເກີດການເສຍຊີວິດ.</v>
      </c>
      <c r="AM231" s="7" t="str">
        <f>IFERROR(__xludf.DUMMYFUNCTION("GoogleTranslate(C231, ""en"", ""lv"")"),"Augsts amonjaka līmenis var kairināt un apdedzināt ādu, muti, kaklu, plaušas un acis. Ļoti augsts amonjaka līmenis var sabojāt plaušas vai izraisīt nāvi.")</f>
        <v>Augsts amonjaka līmenis var kairināt un apdedzināt ādu, muti, kaklu, plaušas un acis. Ļoti augsts amonjaka līmenis var sabojāt plaušas vai izraisīt nāvi.</v>
      </c>
      <c r="AN231" s="7" t="str">
        <f>IFERROR(__xludf.DUMMYFUNCTION("GoogleTranslate(C231, ""en"", ""lt"")"),"Didelis amoniako kiekis gali sudirginti ir nudeginti odą, burną, gerklę, plaučius ir akis. Labai didelis amoniako kiekis gali pažeisti plaučius arba sukelti mirtį.")</f>
        <v>Didelis amoniako kiekis gali sudirginti ir nudeginti odą, burną, gerklę, plaučius ir akis. Labai didelis amoniako kiekis gali pažeisti plaučius arba sukelti mirtį.</v>
      </c>
      <c r="AO231" s="7" t="str">
        <f>IFERROR(__xludf.DUMMYFUNCTION("GoogleTranslate(C231, ""en"", ""mk"")"),"Високото ниво на амонијак може да ја иритира и изгори кожата, устата, грлото, белите дробови и очите. Многу високи нивоа на амонијак може да ги оштетат белите дробови или да предизвикаат смрт.")</f>
        <v>Високото ниво на амонијак може да ја иритира и изгори кожата, устата, грлото, белите дробови и очите. Многу високи нивоа на амонијак може да ги оштетат белите дробови или да предизвикаат смрт.</v>
      </c>
      <c r="AP231" s="7" t="str">
        <f>IFERROR(__xludf.DUMMYFUNCTION("GoogleTranslate(C231, ""en"", ""ms"")"),"Tahap ammonia yang tinggi boleh merengsakan dan membakar kulit, mulut, tekak, paru-paru, dan mata. Tahap ammonia yang sangat tinggi boleh merosakkan paru-paru atau menyebabkan kematian.")</f>
        <v>Tahap ammonia yang tinggi boleh merengsakan dan membakar kulit, mulut, tekak, paru-paru, dan mata. Tahap ammonia yang sangat tinggi boleh merosakkan paru-paru atau menyebabkan kematian.</v>
      </c>
      <c r="AQ231" s="7" t="str">
        <f>IFERROR(__xludf.DUMMYFUNCTION("GoogleTranslate(C231, ""en"", ""ml"")"),"ഉയർന്ന അളവിലുള്ള അമോണിയ ചർമ്മം, വായ, തൊണ്ട, ശ്വാസകോശം, കണ്ണുകൾ എന്നിവയെ പ്രകോപിപ്പിക്കുകയും കത്തിക്കുകയും ചെയ്യും. വളരെ ഉയർന്ന അളവിലുള്ള അമോണിയ ശ്വാസകോശത്തിന് കേടുവരുത്തുകയോ മരണത്തിന് കാരണമാവുകയോ ചെയ്യും.")</f>
        <v>ഉയർന്ന അളവിലുള്ള അമോണിയ ചർമ്മം, വായ, തൊണ്ട, ശ്വാസകോശം, കണ്ണുകൾ എന്നിവയെ പ്രകോപിപ്പിക്കുകയും കത്തിക്കുകയും ചെയ്യും. വളരെ ഉയർന്ന അളവിലുള്ള അമോണിയ ശ്വാസകോശത്തിന് കേടുവരുത്തുകയോ മരണത്തിന് കാരണമാവുകയോ ചെയ്യും.</v>
      </c>
      <c r="AR231" s="7" t="str">
        <f>IFERROR(__xludf.DUMMYFUNCTION("GoogleTranslate(C231, ""en"", ""mr"")"),"अमोनियाची उच्च पातळी त्वचा, तोंड, घसा, फुफ्फुसे आणि डोळे यांना त्रास देऊ शकते आणि बर्न करू शकते. अमोनियाच्या उच्च पातळीमुळे फुफ्फुसांना नुकसान होऊ शकते किंवा मृत्यू होऊ शकतो.")</f>
        <v>अमोनियाची उच्च पातळी त्वचा, तोंड, घसा, फुफ्फुसे आणि डोळे यांना त्रास देऊ शकते आणि बर्न करू शकते. अमोनियाच्या उच्च पातळीमुळे फुफ्फुसांना नुकसान होऊ शकते किंवा मृत्यू होऊ शकतो.</v>
      </c>
      <c r="AS231" s="7" t="str">
        <f>IFERROR(__xludf.DUMMYFUNCTION("GoogleTranslate(C231, ""en"", ""mn"")"),"Аммиакийн өндөр агууламж нь арьс, ам, хоолой, уушиг, нүдийг цочроож, түлдэг. Маш их хэмжээний аммиак нь уушгийг гэмтээж эсвэл үхэлд хүргэдэг.")</f>
        <v>Аммиакийн өндөр агууламж нь арьс, ам, хоолой, уушиг, нүдийг цочроож, түлдэг. Маш их хэмжээний аммиак нь уушгийг гэмтээж эсвэл үхэлд хүргэдэг.</v>
      </c>
      <c r="AT231" s="7" t="str">
        <f>IFERROR(__xludf.DUMMYFUNCTION("GoogleTranslate(C231, ""en"", ""ne"")"),"अमोनियाको उच्च स्तरले छाला, मुख, घाँटी, फोक्सो र आँखा जलाउन र जलाउन सक्छ। अमोनियाको धेरै उच्च स्तरले फोक्सोलाई हानि पुर्‍याउन सक्छ वा मृत्यु निम्त्याउन सक्छ।")</f>
        <v>अमोनियाको उच्च स्तरले छाला, मुख, घाँटी, फोक्सो र आँखा जलाउन र जलाउन सक्छ। अमोनियाको धेरै उच्च स्तरले फोक्सोलाई हानि पुर्‍याउन सक्छ वा मृत्यु निम्त्याउन सक्छ।</v>
      </c>
      <c r="AU231" s="7" t="str">
        <f>IFERROR(__xludf.DUMMYFUNCTION("GoogleTranslate(C231, ""en"", ""nb"")"),"Høye nivåer av ammoniakk kan irritere og brenne hud, munn, svelg, lunger og øyne. Svært høye nivåer av ammoniakk kan skade lungene eller forårsake død.")</f>
        <v>Høye nivåer av ammoniakk kan irritere og brenne hud, munn, svelg, lunger og øyne. Svært høye nivåer av ammoniakk kan skade lungene eller forårsake død.</v>
      </c>
      <c r="AV231" s="7" t="str">
        <f>IFERROR(__xludf.DUMMYFUNCTION("GoogleTranslate(C231, ""en"", ""fa"")"),"سطوح بالای آمونیاک می تواند باعث تحریک و سوزش پوست، دهان، گلو، ریه ها و چشم ها شود. سطوح بسیار بالای آمونیاک می تواند به ریه ها آسیب برساند یا باعث مرگ شود.")</f>
        <v>سطوح بالای آمونیاک می تواند باعث تحریک و سوزش پوست، دهان، گلو، ریه ها و چشم ها شود. سطوح بسیار بالای آمونیاک می تواند به ریه ها آسیب برساند یا باعث مرگ شود.</v>
      </c>
      <c r="AW231" s="7" t="str">
        <f>IFERROR(__xludf.DUMMYFUNCTION("GoogleTranslate(C231, ""en"", ""pl"")"),"Wysoki poziom amoniaku może podrażniać i palić skórę, usta, gardło, płuca i oczy. Bardzo wysoki poziom amoniaku może uszkodzić płuca lub spowodować śmierć.")</f>
        <v>Wysoki poziom amoniaku może podrażniać i palić skórę, usta, gardło, płuca i oczy. Bardzo wysoki poziom amoniaku może uszkodzić płuca lub spowodować śmierć.</v>
      </c>
      <c r="AX231" s="7" t="str">
        <f>IFERROR(__xludf.DUMMYFUNCTION("GoogleTranslate(C231, ""en"", ""pt"")"),"Altos níveis de amônia podem irritar e queimar a pele, boca, garganta, pulmões e olhos. Níveis muito elevados de amônia podem danificar os pulmões ou causar a morte.")</f>
        <v>Altos níveis de amônia podem irritar e queimar a pele, boca, garganta, pulmões e olhos. Níveis muito elevados de amônia podem danificar os pulmões ou causar a morte.</v>
      </c>
      <c r="AY231" s="7" t="str">
        <f>IFERROR(__xludf.DUMMYFUNCTION("GoogleTranslate(C231, ""en"", ""ro"")"),"Nivelurile ridicate de amoniac pot irita și arde pielea, gura, gâtul, plămânii și ochii. Nivelurile foarte ridicate de amoniac pot deteriora plămânii sau pot provoca moartea.")</f>
        <v>Nivelurile ridicate de amoniac pot irita și arde pielea, gura, gâtul, plămânii și ochii. Nivelurile foarte ridicate de amoniac pot deteriora plămânii sau pot provoca moartea.</v>
      </c>
      <c r="AZ231" s="7" t="str">
        <f>IFERROR(__xludf.DUMMYFUNCTION("GoogleTranslate(C231, ""en"", ""ru"")"),"Высокий уровень аммиака может вызвать раздражение и ожог кожи, рта, горла, легких и глаз. Очень высокие уровни аммиака могут повредить легкие или привести к смерти.")</f>
        <v>Высокий уровень аммиака может вызвать раздражение и ожог кожи, рта, горла, легких и глаз. Очень высокие уровни аммиака могут повредить легкие или привести к смерти.</v>
      </c>
      <c r="BA231" s="7" t="str">
        <f>IFERROR(__xludf.DUMMYFUNCTION("GoogleTranslate(C231, ""en"", ""sr"")"),"Висок ниво амонијака може иритирати и запалити кожу, уста, грло, плућа и очи. Веома висок ниво амонијака може оштетити плућа или изазвати смрт.")</f>
        <v>Висок ниво амонијака може иритирати и запалити кожу, уста, грло, плућа и очи. Веома висок ниво амонијака може оштетити плућа или изазвати смрт.</v>
      </c>
      <c r="BB231" s="7" t="str">
        <f>IFERROR(__xludf.DUMMYFUNCTION("GoogleTranslate(C231, ""en"", ""si"")"),"ඉහළ මට්ටමේ ඇමෝනියා සම, මුඛය, උගුර, පෙනහළු සහ ඇස් කුපිත කර පුළුස්සා දැමිය හැක. ඉතා ඉහළ මට්ටමේ ඇමෝනියා පෙණහලුවලට හානි කිරීමට හෝ මරණයට හේතු විය හැක.")</f>
        <v>ඉහළ මට්ටමේ ඇමෝනියා සම, මුඛය, උගුර, පෙනහළු සහ ඇස් කුපිත කර පුළුස්සා දැමිය හැක. ඉතා ඉහළ මට්ටමේ ඇමෝනියා පෙණහලුවලට හානි කිරීමට හෝ මරණයට හේතු විය හැක.</v>
      </c>
      <c r="BC231" s="7" t="str">
        <f>IFERROR(__xludf.DUMMYFUNCTION("GoogleTranslate(C231, ""en"", ""sk"")"),"Vysoké hladiny amoniaku môžu dráždiť a popáliť pokožku, ústa, hrdlo, pľúca a oči. Veľmi vysoké hladiny amoniaku môžu poškodiť pľúca alebo spôsobiť smrť.")</f>
        <v>Vysoké hladiny amoniaku môžu dráždiť a popáliť pokožku, ústa, hrdlo, pľúca a oči. Veľmi vysoké hladiny amoniaku môžu poškodiť pľúca alebo spôsobiť smrť.</v>
      </c>
      <c r="BD231" s="7" t="str">
        <f>IFERROR(__xludf.DUMMYFUNCTION("GoogleTranslate(C231, ""en"", ""sl"")"),"Visoke ravni amoniaka lahko dražijo in opečejo kožo, usta, grlo, pljuča in oči. Zelo visoke ravni amoniaka lahko poškodujejo pljuča ali povzročijo smrt.")</f>
        <v>Visoke ravni amoniaka lahko dražijo in opečejo kožo, usta, grlo, pljuča in oči. Zelo visoke ravni amoniaka lahko poškodujejo pljuča ali povzročijo smrt.</v>
      </c>
      <c r="BE231" s="7" t="str">
        <f>IFERROR(__xludf.DUMMYFUNCTION("GoogleTranslate(C231, ""en"", ""es"")"),"Los niveles elevados de amoníaco pueden irritar y quemar la piel, la boca, la garganta, los pulmones y los ojos. Niveles muy altos de amoníaco pueden dañar los pulmones o provocar la muerte.")</f>
        <v>Los niveles elevados de amoníaco pueden irritar y quemar la piel, la boca, la garganta, los pulmones y los ojos. Niveles muy altos de amoníaco pueden dañar los pulmones o provocar la muerte.</v>
      </c>
      <c r="BF231" s="7" t="str">
        <f>IFERROR(__xludf.DUMMYFUNCTION("GoogleTranslate(C231, ""en"", ""sw"")"),"Viwango vya juu vya amonia vinaweza kuwasha na kuchoma ngozi, mdomo, koo, mapafu na macho. Kiwango cha juu sana cha amonia kinaweza kuharibu mapafu au kusababisha kifo.")</f>
        <v>Viwango vya juu vya amonia vinaweza kuwasha na kuchoma ngozi, mdomo, koo, mapafu na macho. Kiwango cha juu sana cha amonia kinaweza kuharibu mapafu au kusababisha kifo.</v>
      </c>
      <c r="BG231" s="7" t="str">
        <f>IFERROR(__xludf.DUMMYFUNCTION("GoogleTranslate(C231, ""en"", ""sv"")"),"Höga nivåer av ammoniak kan irritera och bränna hud, mun, svalg, lungor och ögon. Mycket höga nivåer av ammoniak kan skada lungorna eller orsaka dödsfall.")</f>
        <v>Höga nivåer av ammoniak kan irritera och bränna hud, mun, svalg, lungor och ögon. Mycket höga nivåer av ammoniak kan skada lungorna eller orsaka dödsfall.</v>
      </c>
      <c r="BH231" s="7" t="str">
        <f>IFERROR(__xludf.DUMMYFUNCTION("GoogleTranslate(C231, ""en"", ""te"")"),"అధిక స్థాయి అమ్మోనియా చర్మం, నోరు, గొంతు, ఊపిరితిత్తులు మరియు కళ్లను చికాకుపెడుతుంది. అమ్మోనియా చాలా ఎక్కువ స్థాయిలో ఊపిరితిత్తులను దెబ్బతీస్తుంది లేదా మరణానికి కారణమవుతుంది.")</f>
        <v>అధిక స్థాయి అమ్మోనియా చర్మం, నోరు, గొంతు, ఊపిరితిత్తులు మరియు కళ్లను చికాకుపెడుతుంది. అమ్మోనియా చాలా ఎక్కువ స్థాయిలో ఊపిరితిత్తులను దెబ్బతీస్తుంది లేదా మరణానికి కారణమవుతుంది.</v>
      </c>
      <c r="BI231" s="7" t="str">
        <f>IFERROR(__xludf.DUMMYFUNCTION("GoogleTranslate(C231, ""en"", ""th"")"),"แอมโมเนียในระดับสูงอาจทำให้ระคายเคืองและแสบผิวหนัง ปาก ลำคอ ปอด และดวงตาได้ แอมโมเนียในระดับที่สูงมากสามารถทำลายปอดหรือทำให้เสียชีวิตได้")</f>
        <v>แอมโมเนียในระดับสูงอาจทำให้ระคายเคืองและแสบผิวหนัง ปาก ลำคอ ปอด และดวงตาได้ แอมโมเนียในระดับที่สูงมากสามารถทำลายปอดหรือทำให้เสียชีวิตได้</v>
      </c>
      <c r="BJ231" s="7" t="str">
        <f>IFERROR(__xludf.DUMMYFUNCTION("GoogleTranslate(C231, ""en"", ""tr"")"),"Yüksek düzeyde amonyak cildi, ağzı, boğazı, akciğerleri ve gözleri tahriş edebilir ve yakabilir. Çok yüksek düzeyde amonyak akciğerlere zarar verebilir veya ölüme neden olabilir.")</f>
        <v>Yüksek düzeyde amonyak cildi, ağzı, boğazı, akciğerleri ve gözleri tahriş edebilir ve yakabilir. Çok yüksek düzeyde amonyak akciğerlere zarar verebilir veya ölüme neden olabilir.</v>
      </c>
      <c r="BK231" s="7" t="str">
        <f>IFERROR(__xludf.DUMMYFUNCTION("GoogleTranslate(C231, ""en"", ""uk"")"),"Високий рівень аміаку може викликати подразнення та опік шкіри, рота, горла, легенів та очей. Дуже високий рівень аміаку може пошкодити легені або спричинити смерть.")</f>
        <v>Високий рівень аміаку може викликати подразнення та опік шкіри, рота, горла, легенів та очей. Дуже високий рівень аміаку може пошкодити легені або спричинити смерть.</v>
      </c>
      <c r="BL231" s="7" t="str">
        <f>IFERROR(__xludf.DUMMYFUNCTION("GoogleTranslate(C231, ""en"", ""zu"")"),"Amazinga aphezulu e-ammonia angacasula futhi ashise isikhumba, umlomo, umphimbo, amaphaphu, namehlo. Amazinga aphezulu kakhulu e-ammonia angalimaza amaphaphu noma abangele ukufa.")</f>
        <v>Amazinga aphezulu e-ammonia angacasula futhi ashise isikhumba, umlomo, umphimbo, amaphaphu, namehlo. Amazinga aphezulu kakhulu e-ammonia angalimaza amaphaphu noma abangele ukufa.</v>
      </c>
    </row>
    <row r="232">
      <c r="A232" s="5" t="str">
        <f t="shared" si="1"/>
        <v>PM10_particles_are_small_enough_to_get_into_your_throat_and_lungs._High_levels_of_PM10_can_make_you_cough,_your_nose_run_and_eyes_sting.</v>
      </c>
      <c r="B232" s="4" t="s">
        <v>275</v>
      </c>
      <c r="C232" s="4" t="s">
        <v>275</v>
      </c>
      <c r="D232" s="7" t="str">
        <f>IFERROR(__xludf.DUMMYFUNCTION("GoogleTranslate(C232, ""en"", ""es"")"),"Las partículas PM10 son lo suficientemente pequeñas como para llegar a la garganta y los pulmones. Los niveles altos de PM10 pueden provocar tos, moqueo nasal y ardor en los ojos.")</f>
        <v>Las partículas PM10 son lo suficientemente pequeñas como para llegar a la garganta y los pulmones. Los niveles altos de PM10 pueden provocar tos, moqueo nasal y ardor en los ojos.</v>
      </c>
      <c r="E232" s="7" t="str">
        <f>IFERROR(__xludf.DUMMYFUNCTION("GoogleTranslate(C232, ""en"", ""ar"")"),"جزيئات PM10 صغيرة بما يكفي للوصول إلى الحلق والرئتين. المستويات العالية من PM10 يمكن أن تجعلك تسعل وسيلان أنفك وتلدغ عينيك.")</f>
        <v>جزيئات PM10 صغيرة بما يكفي للوصول إلى الحلق والرئتين. المستويات العالية من PM10 يمكن أن تجعلك تسعل وسيلان أنفك وتلدغ عينيك.</v>
      </c>
      <c r="F232" s="7" t="str">
        <f>IFERROR(__xludf.DUMMYFUNCTION("GoogleTranslate(C232, ""en"", ""hy"")"),"PM10 մասնիկները բավական փոքր են, որպեսզի մտնեն ձեր կոկորդ և թոքեր: PM10-ի բարձր մակարդակը կարող է առաջացնել հազ, քիթ և աչքերի խայթոց:")</f>
        <v>PM10 մասնիկները բավական փոքր են, որպեսզի մտնեն ձեր կոկորդ և թոքեր: PM10-ի բարձր մակարդակը կարող է առաջացնել հազ, քիթ և աչքերի խայթոց:</v>
      </c>
      <c r="G232" s="7" t="str">
        <f>IFERROR(__xludf.DUMMYFUNCTION("GoogleTranslate(C232, ""en"", ""vi"")"),"Các hạt PM10 đủ nhỏ để đi vào cổ họng và phổi của bạn. Mức độ PM10 cao có thể khiến bạn ho, chảy nước mũi và cay mắt.")</f>
        <v>Các hạt PM10 đủ nhỏ để đi vào cổ họng và phổi của bạn. Mức độ PM10 cao có thể khiến bạn ho, chảy nước mũi và cay mắt.</v>
      </c>
      <c r="H232" s="7" t="str">
        <f>IFERROR(__xludf.DUMMYFUNCTION("GoogleTranslate(C232, ""en"", ""az"")"),"PM10 hissəcikləri boğazınıza və ağciyərlərinizə daxil olmaq üçün kifayət qədər kiçikdir. Yüksək səviyyəli PM10 öskürək, burnunuzun axması və gözlərinizi sancmağa səbəb ola bilər.")</f>
        <v>PM10 hissəcikləri boğazınıza və ağciyərlərinizə daxil olmaq üçün kifayət qədər kiçikdir. Yüksək səviyyəli PM10 öskürək, burnunuzun axması və gözlərinizi sancmağa səbəb ola bilər.</v>
      </c>
      <c r="I232" s="7" t="str">
        <f>IFERROR(__xludf.DUMMYFUNCTION("GoogleTranslate(C232, ""en"", ""eu"")"),"PM10 partikulak nahikoa txikiak dira eztarrian eta biriketan sartzeko. PM10 maila altuek eztula, sudurra korritu eta begiak ziztarazi dezakete.")</f>
        <v>PM10 partikulak nahikoa txikiak dira eztarrian eta biriketan sartzeko. PM10 maila altuek eztula, sudurra korritu eta begiak ziztarazi dezakete.</v>
      </c>
      <c r="J232" s="7" t="str">
        <f>IFERROR(__xludf.DUMMYFUNCTION("GoogleTranslate(C232, ""en"", ""be"")"),"Часціцы PM10 досыць малыя, каб патрапіць у горла і лёгкія. Высокі ўзровень PM10 можа выклікаць кашаль, насмарк і пяршэнне ў вачах.")</f>
        <v>Часціцы PM10 досыць малыя, каб патрапіць у горла і лёгкія. Высокі ўзровень PM10 можа выклікаць кашаль, насмарк і пяршэнне ў вачах.</v>
      </c>
      <c r="K232" s="7" t="str">
        <f>IFERROR(__xludf.DUMMYFUNCTION("GoogleTranslate(C232, ""en"", ""bn"")"),"PM10 কণা আপনার গলা এবং ফুসফুসে প্রবেশ করার জন্য যথেষ্ট ছোট। উচ্চ মাত্রার PM10 আপনাকে কাশি করতে পারে, আপনার নাক দিয়ে পানি পড়তে পারে এবং চোখ দংশন করতে পারে।")</f>
        <v>PM10 কণা আপনার গলা এবং ফুসফুসে প্রবেশ করার জন্য যথেষ্ট ছোট। উচ্চ মাত্রার PM10 আপনাকে কাশি করতে পারে, আপনার নাক দিয়ে পানি পড়তে পারে এবং চোখ দংশন করতে পারে।</v>
      </c>
      <c r="L232" s="7" t="str">
        <f>IFERROR(__xludf.DUMMYFUNCTION("GoogleTranslate(C232, ""en"", ""bg"")"),"Частиците PM10 са достатъчно малки, за да попаднат в гърлото и белите дробове. Високите нива на PM10 могат да ви накарат да кашляте, да тече от носа и да ви щипе в очите.")</f>
        <v>Частиците PM10 са достатъчно малки, за да попаднат в гърлото и белите дробове. Високите нива на PM10 могат да ви накарат да кашляте, да тече от носа и да ви щипе в очите.</v>
      </c>
      <c r="M232" s="7" t="str">
        <f>IFERROR(__xludf.DUMMYFUNCTION("GoogleTranslate(C232, ""en"", ""my"")"),"PM10 အမှုန်အမွှားများသည် သင့်လည်ချောင်းနှင့် အဆုတ်အတွင်းသို့ လုံလောက်စွာသေးငယ်ပါသည်။ မြင့်မားသော PM10 သည် သင့်အား ချောင်းဆိုးခြင်း၊ နှာရည်ယိုခြင်း နှင့် မျက်လုံးများ ညောင်းခြင်းကို ဖြစ်စေနိုင်သည်။")</f>
        <v>PM10 အမှုန်အမွှားများသည် သင့်လည်ချောင်းနှင့် အဆုတ်အတွင်းသို့ လုံလောက်စွာသေးငယ်ပါသည်။ မြင့်မားသော PM10 သည် သင့်အား ချောင်းဆိုးခြင်း၊ နှာရည်ယိုခြင်း နှင့် မျက်လုံးများ ညောင်းခြင်းကို ဖြစ်စေနိုင်သည်။</v>
      </c>
      <c r="N232" s="7" t="str">
        <f>IFERROR(__xludf.DUMMYFUNCTION("GoogleTranslate(C232, ""en"", ""ca"")"),"Les partícules PM10 són prou petites per entrar a la gola i als pulmons. Els alts nivells de PM10 poden fer-te tossir, córrer el nas i fer-te picar els ulls.")</f>
        <v>Les partícules PM10 són prou petites per entrar a la gola i als pulmons. Els alts nivells de PM10 poden fer-te tossir, córrer el nas i fer-te picar els ulls.</v>
      </c>
      <c r="O232" s="7" t="str">
        <f>IFERROR(__xludf.DUMMYFUNCTION("GoogleTranslate(C232, ""en"", ""zh-cn"")"),"PM10 颗粒足够小，可以进入您的喉咙和肺部。高浓度的 PM10 会导致咳嗽、流鼻涕和眼睛刺痛。")</f>
        <v>PM10 颗粒足够小，可以进入您的喉咙和肺部。高浓度的 PM10 会导致咳嗽、流鼻涕和眼睛刺痛。</v>
      </c>
      <c r="P232" s="7" t="str">
        <f>IFERROR(__xludf.DUMMYFUNCTION("GoogleTranslate(C232, ""en"", ""zh-TW"")"),"PM10 顆粒足夠小，可以進入您的喉嚨和肺部。高濃度的 PM10 會導致咳嗽、流鼻水和眼睛刺痛。")</f>
        <v>PM10 顆粒足夠小，可以進入您的喉嚨和肺部。高濃度的 PM10 會導致咳嗽、流鼻水和眼睛刺痛。</v>
      </c>
      <c r="Q232" s="7" t="str">
        <f>IFERROR(__xludf.DUMMYFUNCTION("GoogleTranslate(C232, ""en"", ""hr"")"),"Čestice PM10 dovoljno su male da vam dospiju u grlo i pluća. Visoke razine PM10 mogu izazvati kašalj, curenje iz nosa i peckanje u očima.")</f>
        <v>Čestice PM10 dovoljno su male da vam dospiju u grlo i pluća. Visoke razine PM10 mogu izazvati kašalj, curenje iz nosa i peckanje u očima.</v>
      </c>
      <c r="R232" s="7" t="str">
        <f>IFERROR(__xludf.DUMMYFUNCTION("GoogleTranslate(C232, ""en"", ""cs"")"),"Částice PM10 jsou dostatečně malé, aby se dostaly do krku a plic. Vysoké hladiny PM10 mohou způsobit kašel, tečení z nosu a štípání v očích.")</f>
        <v>Částice PM10 jsou dostatečně malé, aby se dostaly do krku a plic. Vysoké hladiny PM10 mohou způsobit kašel, tečení z nosu a štípání v očích.</v>
      </c>
      <c r="S232" s="7" t="str">
        <f>IFERROR(__xludf.DUMMYFUNCTION("GoogleTranslate(C232, ""en"", ""da"")"),"PM10-partikler er små nok til at komme ind i din hals og lunger. Høje niveauer af PM10 kan få dig til at hoste, løbe i næsen og svie i øjnene.")</f>
        <v>PM10-partikler er små nok til at komme ind i din hals og lunger. Høje niveauer af PM10 kan få dig til at hoste, løbe i næsen og svie i øjnene.</v>
      </c>
      <c r="T232" s="7" t="str">
        <f>IFERROR(__xludf.DUMMYFUNCTION("GoogleTranslate(C232, ""en"", ""nl"")"),"PM10-deeltjes zijn klein genoeg om in uw keel en longen terecht te komen. Een hoog PM10-gehalte kan ervoor zorgen dat u hoest, uw neus loopt en uw ogen prikken.")</f>
        <v>PM10-deeltjes zijn klein genoeg om in uw keel en longen terecht te komen. Een hoog PM10-gehalte kan ervoor zorgen dat u hoest, uw neus loopt en uw ogen prikken.</v>
      </c>
      <c r="U232" s="7" t="str">
        <f>IFERROR(__xludf.DUMMYFUNCTION("GoogleTranslate(C232, ""en"", ""et"")"),"PM10 osakesed on piisavalt väikesed, et sattuda kurku ja kopsudesse. Kõrge PM10 tase võib põhjustada köha, nina jooksmist ja silmade kipitamist.")</f>
        <v>PM10 osakesed on piisavalt väikesed, et sattuda kurku ja kopsudesse. Kõrge PM10 tase võib põhjustada köha, nina jooksmist ja silmade kipitamist.</v>
      </c>
      <c r="V232" s="5" t="str">
        <f t="shared" si="3"/>
        <v>PM10 particles are small enough to get into your throat and lungs. High levels of PM10 can make you cough, your nose run and eyes sting.</v>
      </c>
      <c r="W232" s="7" t="str">
        <f>IFERROR(__xludf.DUMMYFUNCTION("GoogleTranslate(C232, ""en"", ""fi"")"),"PM10-hiukkaset ovat tarpeeksi pieniä päästäkseen kurkkuun ja keuhkoihin. Korkeat PM10-pitoisuudet voivat saada sinut yskimään, nenäsi vuotamaan ja silmiä pistämään.")</f>
        <v>PM10-hiukkaset ovat tarpeeksi pieniä päästäkseen kurkkuun ja keuhkoihin. Korkeat PM10-pitoisuudet voivat saada sinut yskimään, nenäsi vuotamaan ja silmiä pistämään.</v>
      </c>
      <c r="X232" s="7" t="str">
        <f>IFERROR(__xludf.DUMMYFUNCTION("GoogleTranslate(C232, ""en"", ""fr"")"),"Les particules PM10 sont suffisamment petites pour pénétrer dans la gorge et les poumons. Des niveaux élevés de PM10 peuvent vous faire tousser, votre nez couler et vos yeux vous piquer.")</f>
        <v>Les particules PM10 sont suffisamment petites pour pénétrer dans la gorge et les poumons. Des niveaux élevés de PM10 peuvent vous faire tousser, votre nez couler et vos yeux vous piquer.</v>
      </c>
      <c r="Y232" s="7" t="str">
        <f>IFERROR(__xludf.DUMMYFUNCTION("GoogleTranslate(C232, ""en"", ""de"")"),"PM10-Partikel sind klein genug, um in Ihren Rachen und Ihre Lunge zu gelangen. Ein hoher PM10-Wert kann zu Husten, laufender Nase und brennenden Augen führen.")</f>
        <v>PM10-Partikel sind klein genug, um in Ihren Rachen und Ihre Lunge zu gelangen. Ein hoher PM10-Wert kann zu Husten, laufender Nase und brennenden Augen führen.</v>
      </c>
      <c r="Z232" s="7" t="str">
        <f>IFERROR(__xludf.DUMMYFUNCTION("GoogleTranslate(C232, ""en"", ""el"")"),"Τα σωματίδια PM10 είναι αρκετά μικρά για να μπουν στο λαιμό και τους πνεύμονές σας. Τα υψηλά επίπεδα PM10 μπορεί να σας κάνουν να βήξετε, τη μύτη σας να τρέχει και τα μάτια σας να τσιμπήσουν.")</f>
        <v>Τα σωματίδια PM10 είναι αρκετά μικρά για να μπουν στο λαιμό και τους πνεύμονές σας. Τα υψηλά επίπεδα PM10 μπορεί να σας κάνουν να βήξετε, τη μύτη σας να τρέχει και τα μάτια σας να τσιμπήσουν.</v>
      </c>
      <c r="AA232" s="7" t="str">
        <f>IFERROR(__xludf.DUMMYFUNCTION("GoogleTranslate(C232, ""en"", ""iw"")"),"חלקיקי PM10 קטנים מספיק כדי להיכנס לגרון ולריאות שלך. רמות גבוהות של PM10 עלולות לגרום לך להשתעל, לאף שלך לרוץ ולעקוץ בעיניים.")</f>
        <v>חלקיקי PM10 קטנים מספיק כדי להיכנס לגרון ולריאות שלך. רמות גבוהות של PM10 עלולות לגרום לך להשתעל, לאף שלך לרוץ ולעקוץ בעיניים.</v>
      </c>
      <c r="AB232" s="7" t="str">
        <f>IFERROR(__xludf.DUMMYFUNCTION("GoogleTranslate(C232, ""en"", ""hi"")"),"पीएम10 कण इतने छोटे होते हैं कि आपके गले और फेफड़ों में जा सकते हैं। पीएम10 का उच्च स्तर आपको खाँसी, आपकी नाक बहने और आँखों में चुभन का कारण बन सकता है।")</f>
        <v>पीएम10 कण इतने छोटे होते हैं कि आपके गले और फेफड़ों में जा सकते हैं। पीएम10 का उच्च स्तर आपको खाँसी, आपकी नाक बहने और आँखों में चुभन का कारण बन सकता है।</v>
      </c>
      <c r="AC232" s="7" t="str">
        <f>IFERROR(__xludf.DUMMYFUNCTION("GoogleTranslate(C232, ""en"", ""hu"")"),"A PM10 részecskék elég kicsik ahhoz, hogy a torkába és a tüdőbe kerüljenek. A magas PM10 szint köhögést, orrfolyást és szemszúrást okozhat.")</f>
        <v>A PM10 részecskék elég kicsik ahhoz, hogy a torkába és a tüdőbe kerüljenek. A magas PM10 szint köhögést, orrfolyást és szemszúrást okozhat.</v>
      </c>
      <c r="AD232" s="7" t="str">
        <f>IFERROR(__xludf.DUMMYFUNCTION("GoogleTranslate(C232, ""en"", ""is"")"),"PM10 agnir eru nógu litlar til að komast í háls og lungu. Mikið magn af PM10 getur valdið hósta, nefrennsli og sting í augu.")</f>
        <v>PM10 agnir eru nógu litlar til að komast í háls og lungu. Mikið magn af PM10 getur valdið hósta, nefrennsli og sting í augu.</v>
      </c>
      <c r="AE232" s="7" t="str">
        <f>IFERROR(__xludf.DUMMYFUNCTION("GoogleTranslate(C232, ""en"", ""id"")"),"Partikel PM10 cukup kecil untuk masuk ke tenggorokan dan paru-paru Anda. Kadar PM10 yang tinggi dapat membuat Anda batuk, hidung meler, dan mata perih.")</f>
        <v>Partikel PM10 cukup kecil untuk masuk ke tenggorokan dan paru-paru Anda. Kadar PM10 yang tinggi dapat membuat Anda batuk, hidung meler, dan mata perih.</v>
      </c>
      <c r="AF232" s="7" t="str">
        <f>IFERROR(__xludf.DUMMYFUNCTION("GoogleTranslate(C232, ""en"", ""in"")"),"Partikel PM10 cukup kecil untuk masuk ke tenggorokan dan paru-paru Anda. Kadar PM10 yang tinggi dapat membuat Anda batuk, hidung meler, dan mata perih.")</f>
        <v>Partikel PM10 cukup kecil untuk masuk ke tenggorokan dan paru-paru Anda. Kadar PM10 yang tinggi dapat membuat Anda batuk, hidung meler, dan mata perih.</v>
      </c>
      <c r="AG232" s="7" t="str">
        <f>IFERROR(__xludf.DUMMYFUNCTION("GoogleTranslate(C232, ""en"", ""it"")"),"Le particelle PM10 sono abbastanza piccole da entrare nella gola e nei polmoni. Livelli elevati di PM10 possono farti tossire, farti colare il naso e pizzicare gli occhi.")</f>
        <v>Le particelle PM10 sono abbastanza piccole da entrare nella gola e nei polmoni. Livelli elevati di PM10 possono farti tossire, farti colare il naso e pizzicare gli occhi.</v>
      </c>
      <c r="AH232" s="7" t="str">
        <f>IFERROR(__xludf.DUMMYFUNCTION("GoogleTranslate(C232, ""en"", ""ja"")"),"PM10 の粒子は非常に小さいため、喉や肺に入り込みます。 PM10のレベルが高くなると、咳、鼻水、目がヒリヒリすることがあります。")</f>
        <v>PM10 の粒子は非常に小さいため、喉や肺に入り込みます。 PM10のレベルが高くなると、咳、鼻水、目がヒリヒリすることがあります。</v>
      </c>
      <c r="AI232" s="7" t="str">
        <f>IFERROR(__xludf.DUMMYFUNCTION("GoogleTranslate(C232, ""en"", ""kn"")"),"PM10 ಕಣಗಳು ನಿಮ್ಮ ಗಂಟಲು ಮತ್ತು ಶ್ವಾಸಕೋಶಗಳಿಗೆ ಪ್ರವೇಶಿಸುವಷ್ಟು ಚಿಕ್ಕದಾಗಿದೆ. PM10 ನ ಹೆಚ್ಚಿನ ಮಟ್ಟವು ನಿಮಗೆ ಕೆಮ್ಮು, ನಿಮ್ಮ ಮೂಗು ಓಟ ಮತ್ತು ಕಣ್ಣುಗಳನ್ನು ಕುಟುಕುವಂತೆ ಮಾಡುತ್ತದೆ.")</f>
        <v>PM10 ಕಣಗಳು ನಿಮ್ಮ ಗಂಟಲು ಮತ್ತು ಶ್ವಾಸಕೋಶಗಳಿಗೆ ಪ್ರವೇಶಿಸುವಷ್ಟು ಚಿಕ್ಕದಾಗಿದೆ. PM10 ನ ಹೆಚ್ಚಿನ ಮಟ್ಟವು ನಿಮಗೆ ಕೆಮ್ಮು, ನಿಮ್ಮ ಮೂಗು ಓಟ ಮತ್ತು ಕಣ್ಣುಗಳನ್ನು ಕುಟುಕುವಂತೆ ಮಾಡುತ್ತದೆ.</v>
      </c>
      <c r="AJ232" s="7" t="str">
        <f>IFERROR(__xludf.DUMMYFUNCTION("GoogleTranslate(C232, ""en"", ""km"")"),"ភាគល្អិត PM10 មានទំហំតូចល្មមអាចចូលទៅក្នុងបំពង់ក និងសួតរបស់អ្នក។ កម្រិតខ្ពស់នៃ PM10 អាចធ្វើឱ្យអ្នកក្អក ហៀរសំបោរ និងក្រហាយភ្នែក។")</f>
        <v>ភាគល្អិត PM10 មានទំហំតូចល្មមអាចចូលទៅក្នុងបំពង់ក និងសួតរបស់អ្នក។ កម្រិតខ្ពស់នៃ PM10 អាចធ្វើឱ្យអ្នកក្អក ហៀរសំបោរ និងក្រហាយភ្នែក។</v>
      </c>
      <c r="AK232" s="7" t="str">
        <f>IFERROR(__xludf.DUMMYFUNCTION("GoogleTranslate(C232, ""en"", ""ko"")"),"PM10 입자는 목과 폐에 들어갈 정도로 작습니다. PM10 수치가 높으면 기침, 콧물이 흐르고 눈이 따끔거릴 수 있습니다.")</f>
        <v>PM10 입자는 목과 폐에 들어갈 정도로 작습니다. PM10 수치가 높으면 기침, 콧물이 흐르고 눈이 따끔거릴 수 있습니다.</v>
      </c>
      <c r="AL232" s="7" t="str">
        <f>IFERROR(__xludf.DUMMYFUNCTION("GoogleTranslate(C232, ""en"", ""lo"")"),"ອະນຸພາກ PM10 ມີຂະຫນາດນ້ອຍພຽງພໍທີ່ຈະເຂົ້າໄປໃນຄໍແລະປອດຂອງທ່ານ. ລະດັບສູງຂອງ PM10 ສາມາດເຮັດໃຫ້ທ່ານໄອ, ດັງດັງ ແລະ ຕາເປັນແສບ.")</f>
        <v>ອະນຸພາກ PM10 ມີຂະຫນາດນ້ອຍພຽງພໍທີ່ຈະເຂົ້າໄປໃນຄໍແລະປອດຂອງທ່ານ. ລະດັບສູງຂອງ PM10 ສາມາດເຮັດໃຫ້ທ່ານໄອ, ດັງດັງ ແລະ ຕາເປັນແສບ.</v>
      </c>
      <c r="AM232" s="7" t="str">
        <f>IFERROR(__xludf.DUMMYFUNCTION("GoogleTranslate(C232, ""en"", ""lv"")"),"PM10 daļiņas ir pietiekami mazas, lai iekļūtu kaklā un plaušās. Augsts PM10 līmenis var izraisīt klepu, deguna tecēšanu un acu dzeltēšanu.")</f>
        <v>PM10 daļiņas ir pietiekami mazas, lai iekļūtu kaklā un plaušās. Augsts PM10 līmenis var izraisīt klepu, deguna tecēšanu un acu dzeltēšanu.</v>
      </c>
      <c r="AN232" s="7" t="str">
        <f>IFERROR(__xludf.DUMMYFUNCTION("GoogleTranslate(C232, ""en"", ""lt"")"),"PM10 dalelės yra pakankamai mažos, kad galėtų patekti į gerklę ir plaučius. Didelis PM10 kiekis gali sukelti kosulį, bėgti nosį ir perštėti akis.")</f>
        <v>PM10 dalelės yra pakankamai mažos, kad galėtų patekti į gerklę ir plaučius. Didelis PM10 kiekis gali sukelti kosulį, bėgti nosį ir perštėti akis.</v>
      </c>
      <c r="AO232" s="7" t="str">
        <f>IFERROR(__xludf.DUMMYFUNCTION("GoogleTranslate(C232, ""en"", ""mk"")"),"ПМ10 честичките се доволно мали за да влезат во вашето грло и бели дробови. Високото ниво на PM10 може да ве натера да кашлате, да ви тече носот и да ве наежат очите.")</f>
        <v>ПМ10 честичките се доволно мали за да влезат во вашето грло и бели дробови. Високото ниво на PM10 може да ве натера да кашлате, да ви тече носот и да ве наежат очите.</v>
      </c>
      <c r="AP232" s="7" t="str">
        <f>IFERROR(__xludf.DUMMYFUNCTION("GoogleTranslate(C232, ""en"", ""ms"")"),"Zarah PM10 cukup kecil untuk masuk ke dalam kerongkong dan paru-paru anda. Tahap PM10 yang tinggi boleh menyebabkan anda batuk, hidung berair dan mata pedih.")</f>
        <v>Zarah PM10 cukup kecil untuk masuk ke dalam kerongkong dan paru-paru anda. Tahap PM10 yang tinggi boleh menyebabkan anda batuk, hidung berair dan mata pedih.</v>
      </c>
      <c r="AQ232" s="7" t="str">
        <f>IFERROR(__xludf.DUMMYFUNCTION("GoogleTranslate(C232, ""en"", ""ml"")"),"പിഎം10 കണങ്ങൾ നിങ്ങളുടെ തൊണ്ടയിലേക്കും ശ്വാസകോശത്തിലേക്കും പ്രവേശിക്കാൻ പര്യാപ്തമാണ്. PM10 ൻ്റെ ഉയർന്ന അളവ് നിങ്ങളെ ചുമയ്ക്കും, മൂക്ക് ഓടുന്നതിനും, കണ്ണുകൾ കുത്തുന്നതിനും ഇടയാക്കും.")</f>
        <v>പിഎം10 കണങ്ങൾ നിങ്ങളുടെ തൊണ്ടയിലേക്കും ശ്വാസകോശത്തിലേക്കും പ്രവേശിക്കാൻ പര്യാപ്തമാണ്. PM10 ൻ്റെ ഉയർന്ന അളവ് നിങ്ങളെ ചുമയ്ക്കും, മൂക്ക് ഓടുന്നതിനും, കണ്ണുകൾ കുത്തുന്നതിനും ഇടയാക്കും.</v>
      </c>
      <c r="AR232" s="7" t="str">
        <f>IFERROR(__xludf.DUMMYFUNCTION("GoogleTranslate(C232, ""en"", ""mr"")"),"PM10 कण तुमच्या घशात आणि फुफ्फुसात जाण्यासाठी पुरेसे लहान असतात. PM10 च्या उच्च पातळीमुळे तुम्हाला खोकला येऊ शकतो, तुमचे नाक वाहते आणि डोळे गळतात.")</f>
        <v>PM10 कण तुमच्या घशात आणि फुफ्फुसात जाण्यासाठी पुरेसे लहान असतात. PM10 च्या उच्च पातळीमुळे तुम्हाला खोकला येऊ शकतो, तुमचे नाक वाहते आणि डोळे गळतात.</v>
      </c>
      <c r="AS232" s="7" t="str">
        <f>IFERROR(__xludf.DUMMYFUNCTION("GoogleTranslate(C232, ""en"", ""mn"")"),"PM10 тоосонцор нь хоолой, уушгинд ороход хангалттай. PM10-ийн өндөр түвшин нь ханиалгах, хамар гоожих, нүд хорсох зэрэгт хүргэдэг.")</f>
        <v>PM10 тоосонцор нь хоолой, уушгинд ороход хангалттай. PM10-ийн өндөр түвшин нь ханиалгах, хамар гоожих, нүд хорсох зэрэгт хүргэдэг.</v>
      </c>
      <c r="AT232" s="7" t="str">
        <f>IFERROR(__xludf.DUMMYFUNCTION("GoogleTranslate(C232, ""en"", ""ne"")"),"PM10 कणहरू तपाईंको घाँटी र फोक्सोमा पुग्न पर्याप्त मात्रामा छन्। PM10 को उच्च स्तरले तपाईंलाई खोकी लाग्न सक्छ, तपाईंको नाक र आँखा डंक्न सक्छ।")</f>
        <v>PM10 कणहरू तपाईंको घाँटी र फोक्सोमा पुग्न पर्याप्त मात्रामा छन्। PM10 को उच्च स्तरले तपाईंलाई खोकी लाग्न सक्छ, तपाईंको नाक र आँखा डंक्न सक्छ।</v>
      </c>
      <c r="AU232" s="7" t="str">
        <f>IFERROR(__xludf.DUMMYFUNCTION("GoogleTranslate(C232, ""en"", ""nb"")"),"PM10-partikler er små nok til å komme inn i halsen og lungene. Høye nivåer av PM10 kan få deg til å hoste, renne i nesen og svi i øynene.")</f>
        <v>PM10-partikler er små nok til å komme inn i halsen og lungene. Høye nivåer av PM10 kan få deg til å hoste, renne i nesen og svi i øynene.</v>
      </c>
      <c r="AV232" s="7" t="str">
        <f>IFERROR(__xludf.DUMMYFUNCTION("GoogleTranslate(C232, ""en"", ""fa"")"),"ذرات PM10 به اندازه ای کوچک هستند که وارد گلو و ریه های شما شوند. سطوح بالای PM10 می تواند باعث سرفه، ریزش بینی و سوزش چشم شود.")</f>
        <v>ذرات PM10 به اندازه ای کوچک هستند که وارد گلو و ریه های شما شوند. سطوح بالای PM10 می تواند باعث سرفه، ریزش بینی و سوزش چشم شود.</v>
      </c>
      <c r="AW232" s="7" t="str">
        <f>IFERROR(__xludf.DUMMYFUNCTION("GoogleTranslate(C232, ""en"", ""pl"")"),"Cząsteczki PM10 są na tyle małe, że przedostają się do gardła i płuc. Wysoki poziom PM10 może powodować kaszel, katar i szczypanie oczu.")</f>
        <v>Cząsteczki PM10 są na tyle małe, że przedostają się do gardła i płuc. Wysoki poziom PM10 może powodować kaszel, katar i szczypanie oczu.</v>
      </c>
      <c r="AX232" s="7" t="str">
        <f>IFERROR(__xludf.DUMMYFUNCTION("GoogleTranslate(C232, ""en"", ""pt"")"),"As partículas PM10 são pequenas o suficiente para entrar na garganta e nos pulmões. Altos níveis de PM10 podem fazer você tossir, seu nariz escorrer e arder nos olhos.")</f>
        <v>As partículas PM10 são pequenas o suficiente para entrar na garganta e nos pulmões. Altos níveis de PM10 podem fazer você tossir, seu nariz escorrer e arder nos olhos.</v>
      </c>
      <c r="AY232" s="7" t="str">
        <f>IFERROR(__xludf.DUMMYFUNCTION("GoogleTranslate(C232, ""en"", ""ro"")"),"Particulele PM10 sunt suficient de mici pentru a ajunge în gât și plămâni. Nivelurile ridicate de PM10 te pot face să tusești, să îți curgă nasul și să te usture ochii.")</f>
        <v>Particulele PM10 sunt suficient de mici pentru a ajunge în gât și plămâni. Nivelurile ridicate de PM10 te pot face să tusești, să îți curgă nasul și să te usture ochii.</v>
      </c>
      <c r="AZ232" s="7" t="str">
        <f>IFERROR(__xludf.DUMMYFUNCTION("GoogleTranslate(C232, ""en"", ""ru"")"),"Частицы PM10 достаточно малы, чтобы попасть в горло и легкие. Высокий уровень PM10 может вызвать у вас кашель, насморк и жжение в глазах.")</f>
        <v>Частицы PM10 достаточно малы, чтобы попасть в горло и легкие. Высокий уровень PM10 может вызвать у вас кашель, насморк и жжение в глазах.</v>
      </c>
      <c r="BA232" s="7" t="str">
        <f>IFERROR(__xludf.DUMMYFUNCTION("GoogleTranslate(C232, ""en"", ""sr"")"),"ПМ10 честице су довољно мале да уђу у ваше грло и плућа. Висок ниво ПМ10 може изазвати кашаљ, цурење из носа и пецкање очију.")</f>
        <v>ПМ10 честице су довољно мале да уђу у ваше грло и плућа. Висок ниво ПМ10 може изазвати кашаљ, цурење из носа и пецкање очију.</v>
      </c>
      <c r="BB232" s="7" t="str">
        <f>IFERROR(__xludf.DUMMYFUNCTION("GoogleTranslate(C232, ""en"", ""si"")"),"PM10 අංශු ඔබේ උගුරට සහ පෙණහලුවලට ඇතුල් වීමට තරම් කුඩා වේ. PM10 මට්ටම ඉහළ යාමෙන් ඔබට කැස්ස, නාසය ගලා යාම සහ ඇස් දෂ්ට කළ හැකිය.")</f>
        <v>PM10 අංශු ඔබේ උගුරට සහ පෙණහලුවලට ඇතුල් වීමට තරම් කුඩා වේ. PM10 මට්ටම ඉහළ යාමෙන් ඔබට කැස්ස, නාසය ගලා යාම සහ ඇස් දෂ්ට කළ හැකිය.</v>
      </c>
      <c r="BC232" s="7" t="str">
        <f>IFERROR(__xludf.DUMMYFUNCTION("GoogleTranslate(C232, ""en"", ""sk"")"),"Častice PM10 sú dostatočne malé na to, aby sa dostali do hrdla a pľúc. Vysoké hladiny PM10 môžu spôsobiť kašeľ, tečenie z nosa a štípanie v očiach.")</f>
        <v>Častice PM10 sú dostatočne malé na to, aby sa dostali do hrdla a pľúc. Vysoké hladiny PM10 môžu spôsobiť kašeľ, tečenie z nosa a štípanie v očiach.</v>
      </c>
      <c r="BD232" s="7" t="str">
        <f>IFERROR(__xludf.DUMMYFUNCTION("GoogleTranslate(C232, ""en"", ""sl"")"),"Delci PM10 so dovolj majhni, da pridejo v vaše grlo in pljuča. Visoke ravni PM10 lahko povzročijo kašelj, izcedek iz nosu in pekoče oči.")</f>
        <v>Delci PM10 so dovolj majhni, da pridejo v vaše grlo in pljuča. Visoke ravni PM10 lahko povzročijo kašelj, izcedek iz nosu in pekoče oči.</v>
      </c>
      <c r="BE232" s="7" t="str">
        <f>IFERROR(__xludf.DUMMYFUNCTION("GoogleTranslate(C232, ""en"", ""es"")"),"Las partículas PM10 son lo suficientemente pequeñas como para llegar a la garganta y los pulmones. Los niveles altos de PM10 pueden provocar tos, moqueo nasal y ardor en los ojos.")</f>
        <v>Las partículas PM10 son lo suficientemente pequeñas como para llegar a la garganta y los pulmones. Los niveles altos de PM10 pueden provocar tos, moqueo nasal y ardor en los ojos.</v>
      </c>
      <c r="BF232" s="7" t="str">
        <f>IFERROR(__xludf.DUMMYFUNCTION("GoogleTranslate(C232, ""en"", ""sw"")"),"Chembe za PM10 ni ndogo za kutosha kuingia kwenye koo na mapafu yako. Viwango vya juu vya PM10 vinaweza kufanya kukohoa, pua yako na macho kuuma.")</f>
        <v>Chembe za PM10 ni ndogo za kutosha kuingia kwenye koo na mapafu yako. Viwango vya juu vya PM10 vinaweza kufanya kukohoa, pua yako na macho kuuma.</v>
      </c>
      <c r="BG232" s="7" t="str">
        <f>IFERROR(__xludf.DUMMYFUNCTION("GoogleTranslate(C232, ""en"", ""sv"")"),"PM10-partiklar är tillräckligt små för att komma in i halsen och lungorna. Höga nivåer av PM10 kan få dig att hosta, rinna i näsan och svida i ögonen.")</f>
        <v>PM10-partiklar är tillräckligt små för att komma in i halsen och lungorna. Höga nivåer av PM10 kan få dig att hosta, rinna i näsan och svida i ögonen.</v>
      </c>
      <c r="BH232" s="7" t="str">
        <f>IFERROR(__xludf.DUMMYFUNCTION("GoogleTranslate(C232, ""en"", ""te"")"),"PM10 కణాలు మీ గొంతు మరియు ఊపిరితిత్తులలోకి వచ్చేంత చిన్నవి. PM10 యొక్క అధిక స్థాయిలు మీకు దగ్గు, మీ ముక్కు మరియు కళ్ళు కుట్టేలా చేస్తాయి.")</f>
        <v>PM10 కణాలు మీ గొంతు మరియు ఊపిరితిత్తులలోకి వచ్చేంత చిన్నవి. PM10 యొక్క అధిక స్థాయిలు మీకు దగ్గు, మీ ముక్కు మరియు కళ్ళు కుట్టేలా చేస్తాయి.</v>
      </c>
      <c r="BI232" s="7" t="str">
        <f>IFERROR(__xludf.DUMMYFUNCTION("GoogleTranslate(C232, ""en"", ""th"")"),"อนุภาค PM10 มีขนาดเล็กพอที่จะเข้าไปในลำคอและปอดได้ PM10 ในระดับสูงสามารถทำให้คุณไอ น้ำมูกไหล และแสบตาได้")</f>
        <v>อนุภาค PM10 มีขนาดเล็กพอที่จะเข้าไปในลำคอและปอดได้ PM10 ในระดับสูงสามารถทำให้คุณไอ น้ำมูกไหล และแสบตาได้</v>
      </c>
      <c r="BJ232" s="7" t="str">
        <f>IFERROR(__xludf.DUMMYFUNCTION("GoogleTranslate(C232, ""en"", ""tr"")"),"PM10 parçacıkları boğazınıza ve ciğerlerinize girebilecek kadar küçüktür. Yüksek PM10 seviyeleri öksürmenize, burnunuzun akmasına ve gözlerinizin batmasına neden olabilir.")</f>
        <v>PM10 parçacıkları boğazınıza ve ciğerlerinize girebilecek kadar küçüktür. Yüksek PM10 seviyeleri öksürmenize, burnunuzun akmasına ve gözlerinizin batmasına neden olabilir.</v>
      </c>
      <c r="BK232" s="7" t="str">
        <f>IFERROR(__xludf.DUMMYFUNCTION("GoogleTranslate(C232, ""en"", ""uk"")"),"Частинки PM10 досить малі, щоб потрапити у ваше горло та легені. Високий рівень PM10 може спричинити кашель, теч із носа та різь в очах.")</f>
        <v>Частинки PM10 досить малі, щоб потрапити у ваше горло та легені. Високий рівень PM10 може спричинити кашель, теч із носа та різь в очах.</v>
      </c>
      <c r="BL232" s="7" t="str">
        <f>IFERROR(__xludf.DUMMYFUNCTION("GoogleTranslate(C232, ""en"", ""zu"")"),"Izinhlayiya ze-PM10 zincane ngokwanele ukuthi zingangena emphinjeni nasemaphashini akho. Amazinga aphezulu e-PM10 angakwenza ukhwehlele, ikhala lakho ligijime futhi amehlo alume.")</f>
        <v>Izinhlayiya ze-PM10 zincane ngokwanele ukuthi zingangena emphinjeni nasemaphashini akho. Amazinga aphezulu e-PM10 angakwenza ukhwehlele, ikhala lakho ligijime futhi amehlo alume.</v>
      </c>
    </row>
    <row r="233">
      <c r="A233" s="5" t="str">
        <f t="shared" si="1"/>
        <v>PM2.5_particles_are_small_enough_to_enter_the_bloodstream_and_typically_result_from_wildfires,_smoke_ashes,_bacteria_or_small_dust_particles</v>
      </c>
      <c r="B233" s="4" t="s">
        <v>201</v>
      </c>
      <c r="C233" s="4" t="s">
        <v>201</v>
      </c>
      <c r="D233" s="7" t="str">
        <f>IFERROR(__xludf.DUMMYFUNCTION("GoogleTranslate(C233,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E233" s="7" t="str">
        <f>IFERROR(__xludf.DUMMYFUNCTION("GoogleTranslate(C233, ""en"", ""ar"")"),"جسيمات PM2.5 صغيرة بما يكفي لدخول مجرى الدم وتنتج عادةً عن حرائق الغابات أو الرماد الدخاني أو البكتيريا أو جزيئات الغبار الصغيرة")</f>
        <v>جسيمات PM2.5 صغيرة بما يكفي لدخول مجرى الدم وتنتج عادةً عن حرائق الغابات أو الرماد الدخاني أو البكتيريا أو جزيئات الغبار الصغيرة</v>
      </c>
      <c r="F233" s="7" t="str">
        <f>IFERROR(__xludf.DUMMYFUNCTION("GoogleTranslate(C233, ""en"", ""hy"")"),"PM2.5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f>
        <v>PM2.5 մասնիկները բավականաչափ փոքր են արյան մեջ մտնելու համար և սովորաբար առաջանում են անտառային հրդեհների, ծխի մոխրի, բակտերիաների կամ փոշու փոքր մասնիկների պատճառով:</v>
      </c>
      <c r="G233" s="7" t="str">
        <f>IFERROR(__xludf.DUMMYFUNCTION("GoogleTranslate(C233, ""en"", ""vi"")"),"Các hạt PM2.5 đủ nhỏ để đi vào máu và thường là kết quả của cháy rừng, tro khói, vi khuẩn hoặc các hạt bụi nhỏ")</f>
        <v>Các hạt PM2.5 đủ nhỏ để đi vào máu và thường là kết quả của cháy rừng, tro khói, vi khuẩn hoặc các hạt bụi nhỏ</v>
      </c>
      <c r="H233" s="7" t="str">
        <f>IFERROR(__xludf.DUMMYFUNCTION("GoogleTranslate(C233, ""en"", ""az"")"),"PM2.5 hissəcikləri qan dövranına daxil olmaq üçün kifayət qədər kiçikdir və adətən meşə yanğınları, tüstü külləri, bakteriyalar və ya kiçik toz hissəcikləri nəticəsində yaranır.")</f>
        <v>PM2.5 hissəcikləri qan dövranına daxil olmaq üçün kifayət qədər kiçikdir və adətən meşə yanğınları, tüstü külləri, bakteriyalar və ya kiçik toz hissəcikləri nəticəsində yaranır.</v>
      </c>
      <c r="I233" s="7" t="str">
        <f>IFERROR(__xludf.DUMMYFUNCTION("GoogleTranslate(C233, ""en"", ""eu"")"),"PM2,5 partikulak odolera sartzeko bezain txikiak dira eta normalean suteen, ke errautsen, bakterioen edo hauts partikula txikien ondorioz sortzen dira.")</f>
        <v>PM2,5 partikulak odolera sartzeko bezain txikiak dira eta normalean suteen, ke errautsen, bakterioen edo hauts partikula txikien ondorioz sortzen dira.</v>
      </c>
      <c r="J233" s="7" t="str">
        <f>IFERROR(__xludf.DUMMYFUNCTION("GoogleTranslate(C233, ""en"", ""be"")"),"Часціцы PM2,5 досыць малыя, каб патрапіць у кроў, і звычайна ўзнікаюць у выніку лясных пажараў, попелу дыму, бактэрый або дробных часціц пылу")</f>
        <v>Часціцы PM2,5 досыць малыя, каб патрапіць у кроў, і звычайна ўзнікаюць у выніку лясных пажараў, попелу дыму, бактэрый або дробных часціц пылу</v>
      </c>
      <c r="K233" s="7" t="str">
        <f>IFERROR(__xludf.DUMMYFUNCTION("GoogleTranslate(C233, ""en"", ""bn"")"),"PM2.5 কণা রক্তের প্রবাহে প্রবেশ করার জন্য যথেষ্ট ছোট এবং সাধারণত দাবানল, ধোঁয়ার ছাই, ব্যাকটেরিয়া বা ছোট ধুলো কণার ফলে")</f>
        <v>PM2.5 কণা রক্তের প্রবাহে প্রবেশ করার জন্য যথেষ্ট ছোট এবং সাধারণত দাবানল, ধোঁয়ার ছাই, ব্যাকটেরিয়া বা ছোট ধুলো কণার ফলে</v>
      </c>
      <c r="L233" s="7" t="str">
        <f>IFERROR(__xludf.DUMMYFUNCTION("GoogleTranslate(C233, ""en"", ""bg"")"),"Частиците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f>
        <v>Частиците PM2.5 са достатъчно малки, за да навлязат в кръвния поток и обикновено са резултат от горски пожари, димна пепел, бактерии или малки прахови частици</v>
      </c>
      <c r="M233" s="7" t="str">
        <f>IFERROR(__xludf.DUMMYFUNCTION("GoogleTranslate(C233, ""en"", ""my"")"),"PM2.5 အမှုန်အမွှားများသည် သွေးကြောထဲသို့ဝင်ရောက်ရန် လုံလောက်သောသေးငယ်ပြီး များသောအားဖြင့် တောမီးများ၊ မီးခိုးပြာများ၊")</f>
        <v>PM2.5 အမှုန်အမွှားများသည် သွေးကြောထဲသို့ဝင်ရောက်ရန် လုံလောက်သောသေးငယ်ပြီး များသောအားဖြင့် တောမီးများ၊ မီးခိုးပြာများ၊</v>
      </c>
      <c r="N233" s="7" t="str">
        <f>IFERROR(__xludf.DUMMYFUNCTION("GoogleTranslate(C233, ""en"", ""ca"")"),"Les partícules de PM2,5 són prou petites com per entrar al torrent sanguini i normalment resulten d'incendis forestals, cendres de fum, bacteris o petites partícules de pols.")</f>
        <v>Les partícules de PM2,5 són prou petites com per entrar al torrent sanguini i normalment resulten d'incendis forestals, cendres de fum, bacteris o petites partícules de pols.</v>
      </c>
      <c r="O233" s="7" t="str">
        <f>IFERROR(__xludf.DUMMYFUNCTION("GoogleTranslate(C233, ""en"", ""zh-cn"")"),"PM2.5 颗粒小到足以进入血液，通常由野火、烟灰、细菌或小灰尘颗粒产生")</f>
        <v>PM2.5 颗粒小到足以进入血液，通常由野火、烟灰、细菌或小灰尘颗粒产生</v>
      </c>
      <c r="P233" s="7" t="str">
        <f>IFERROR(__xludf.DUMMYFUNCTION("GoogleTranslate(C233, ""en"", ""zh-TW"")"),"PM2.5 顆粒小到足以進入血液，通常由野火、煙灰、細菌或小灰塵顆粒產生")</f>
        <v>PM2.5 顆粒小到足以進入血液，通常由野火、煙灰、細菌或小灰塵顆粒產生</v>
      </c>
      <c r="Q233" s="7" t="str">
        <f>IFERROR(__xludf.DUMMYFUNCTION("GoogleTranslate(C233, ""en"", ""hr"")"),"Čestice PM2.5 dovoljno su male da uđu u krvotok i obično nastaju od šumskih požara, dimnog pepela, bakterija ili malih čestica prašine")</f>
        <v>Čestice PM2.5 dovoljno su male da uđu u krvotok i obično nastaju od šumskih požara, dimnog pepela, bakterija ili malih čestica prašine</v>
      </c>
      <c r="R233" s="7" t="str">
        <f>IFERROR(__xludf.DUMMYFUNCTION("GoogleTranslate(C233, ""en"", ""cs"")"),"Částice PM2,5 jsou dostatečně malé na to, aby se dostaly do krevního oběhu a obvykle pocházejí z lesních požárů, kouřového popela, bakterií nebo malých prachových částic.")</f>
        <v>Částice PM2,5 jsou dostatečně malé na to, aby se dostaly do krevního oběhu a obvykle pocházejí z lesních požárů, kouřového popela, bakterií nebo malých prachových částic.</v>
      </c>
      <c r="S233" s="7" t="str">
        <f>IFERROR(__xludf.DUMMYFUNCTION("GoogleTranslate(C233, ""en"", ""da"")"),"PM2.5-partikler er små nok til at komme ind i blodbanen og skyldes typisk naturbrande, røgaske, bakterier eller små støvpartikler")</f>
        <v>PM2.5-partikler er små nok til at komme ind i blodbanen og skyldes typisk naturbrande, røgaske, bakterier eller små støvpartikler</v>
      </c>
      <c r="T233" s="7" t="str">
        <f>IFERROR(__xludf.DUMMYFUNCTION("GoogleTranslate(C233, ""en"", ""nl"")"),"PM2.5-deeltjes zijn klein genoeg om in de bloedbaan terecht te komen en zijn meestal het gevolg van bosbranden, rookas, bacteriën of kleine stofdeeltjes")</f>
        <v>PM2.5-deeltjes zijn klein genoeg om in de bloedbaan terecht te komen en zijn meestal het gevolg van bosbranden, rookas, bacteriën of kleine stofdeeltjes</v>
      </c>
      <c r="U233" s="7" t="str">
        <f>IFERROR(__xludf.DUMMYFUNCTION("GoogleTranslate(C233, ""en"", ""et"")"),"PM2,5 osakesed on vereringesse sisenemiseks piisavalt väikesed ja tekivad tavaliselt metsatulekahjude, suitsutuha, bakterite või väikeste tolmuosakeste tagajärjel")</f>
        <v>PM2,5 osakesed on vereringesse sisenemiseks piisavalt väikesed ja tekivad tavaliselt metsatulekahjude, suitsutuha, bakterite või väikeste tolmuosakeste tagajärjel</v>
      </c>
      <c r="V233" s="5" t="str">
        <f t="shared" si="3"/>
        <v>PM2.5 particles are small enough to enter the bloodstream and typically result from wildfires, smoke ashes, bacteria or small dust particles</v>
      </c>
      <c r="W233" s="7" t="str">
        <f>IFERROR(__xludf.DUMMYFUNCTION("GoogleTranslate(C233, ""en"", ""fi"")"),"PM2.5-hiukkaset ovat riittävän pieniä päästäkseen verenkiertoon ja ovat tyypillisesti seurausta metsäpaloista, savutuhkasta, bakteereista tai pienistä pölyhiukkasista")</f>
        <v>PM2.5-hiukkaset ovat riittävän pieniä päästäkseen verenkiertoon ja ovat tyypillisesti seurausta metsäpaloista, savutuhkasta, bakteereista tai pienistä pölyhiukkasista</v>
      </c>
      <c r="X233" s="7" t="str">
        <f>IFERROR(__xludf.DUMMYFUNCTION("GoogleTranslate(C233, ""en"", ""fr"")"),"Les particules PM2,5 sont suffisamment petites pour pénétrer dans la circulation sanguine et résultent généralement d'incendies de forêt, de cendres de fumée, de bactéries ou de petites particules de poussière.")</f>
        <v>Les particules PM2,5 sont suffisamment petites pour pénétrer dans la circulation sanguine et résultent généralement d'incendies de forêt, de cendres de fumée, de bactéries ou de petites particules de poussière.</v>
      </c>
      <c r="Y233" s="7" t="str">
        <f>IFERROR(__xludf.DUMMYFUNCTION("GoogleTranslate(C233, ""en"", ""de"")"),"PM2,5-Partikel sind klein genug, um in den Blutkreislauf zu gelangen und entstehen typischerweise durch Waldbrände, Rauchasche, Bakterien oder kleine Staubpartikel")</f>
        <v>PM2,5-Partikel sind klein genug, um in den Blutkreislauf zu gelangen und entstehen typischerweise durch Waldbrände, Rauchasche, Bakterien oder kleine Staubpartikel</v>
      </c>
      <c r="Z233" s="7" t="str">
        <f>IFERROR(__xludf.DUMMYFUNCTION("GoogleTranslate(C233, ""en"", ""el"")"),"Τα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f>
        <v>Τα σωματίδια PM2.5 είναι αρκετά μικρά για να εισέλθουν στην κυκλοφορία του αίματος και συνήθως προέρχονται από πυρκαγιές, στάχτες καπνού, βακτήρια ή μικρά σωματίδια σκόνης</v>
      </c>
      <c r="AA233" s="7" t="str">
        <f>IFERROR(__xludf.DUMMYFUNCTION("GoogleTranslate(C233, ""en"", ""iw"")"),"חלקיקי PM2.5 קטנים מספיק כדי להיכנס לזרם הדם ובדרך כלל נובעים משריפות יער, אפר עשן, חיידקים או חלקיקי אבק קטנים")</f>
        <v>חלקיקי PM2.5 קטנים מספיק כדי להיכנס לזרם הדם ובדרך כלל נובעים משריפות יער, אפר עשן, חיידקים או חלקיקי אבק קטנים</v>
      </c>
      <c r="AB233" s="7" t="str">
        <f>IFERROR(__xludf.DUMMYFUNCTION("GoogleTranslate(C233, ""en"", ""hi"")"),"PM2.5 कण रक्तप्रवाह में प्रवेश करने के लिए काफी छोटे होते हैं और आमतौर पर जंगल की आग, धुएं की राख, बैक्टीरिया या छोटे धूल कणों के परिणामस्वरूप होते हैं")</f>
        <v>PM2.5 कण रक्तप्रवाह में प्रवेश करने के लिए काफी छोटे होते हैं और आमतौर पर जंगल की आग, धुएं की राख, बैक्टीरिया या छोटे धूल कणों के परिणामस्वरूप होते हैं</v>
      </c>
      <c r="AC233" s="7" t="str">
        <f>IFERROR(__xludf.DUMMYFUNCTION("GoogleTranslate(C233, ""en"", ""hu"")"),"A PM2.5 részecskék elég kicsik ahhoz, hogy bejussanak a véráramba, és jellemzően erdőtüzekből, füsthamuból, baktériumokból vagy apró porszemcsékből származnak")</f>
        <v>A PM2.5 részecskék elég kicsik ahhoz, hogy bejussanak a véráramba, és jellemzően erdőtüzekből, füsthamuból, baktériumokból vagy apró porszemcsékből származnak</v>
      </c>
      <c r="AD233" s="7" t="str">
        <f>IFERROR(__xludf.DUMMYFUNCTION("GoogleTranslate(C233, ""en"", ""is"")"),"PM2.5 agnir eru nógu litlar til að komast inn í blóðrásina og stafa venjulega af skógareldum, reykösku, bakteríum eða litlum rykagnum")</f>
        <v>PM2.5 agnir eru nógu litlar til að komast inn í blóðrásina og stafa venjulega af skógareldum, reykösku, bakteríum eða litlum rykagnum</v>
      </c>
      <c r="AE233" s="7" t="str">
        <f>IFERROR(__xludf.DUMMYFUNCTION("GoogleTranslate(C233, ""en"", ""id"")"),"Partikel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F233" s="7" t="str">
        <f>IFERROR(__xludf.DUMMYFUNCTION("GoogleTranslate(C233, ""en"", ""in"")"),"Partikel PM2.5 cukup kecil untuk memasuki aliran darah dan biasanya disebabkan oleh kebakaran hutan, abu asap, bakteri, atau partikel debu kecil.")</f>
        <v>Partikel PM2.5 cukup kecil untuk memasuki aliran darah dan biasanya disebabkan oleh kebakaran hutan, abu asap, bakteri, atau partikel debu kecil.</v>
      </c>
      <c r="AG233" s="7" t="str">
        <f>IFERROR(__xludf.DUMMYFUNCTION("GoogleTranslate(C233, ""en"", ""it"")"),"Le particelle PM2,5 sono abbastanza piccole da entrare nel flusso sanguigno e in genere derivano da incendi, ceneri di fumo, batteri o piccole particelle di polvere")</f>
        <v>Le particelle PM2,5 sono abbastanza piccole da entrare nel flusso sanguigno e in genere derivano da incendi, ceneri di fumo, batteri o piccole particelle di polvere</v>
      </c>
      <c r="AH233" s="7" t="str">
        <f>IFERROR(__xludf.DUMMYFUNCTION("GoogleTranslate(C233, ""en"", ""ja"")"),"PM2.5 粒子は血流に入るほど小さく、通常は山火事、煙の灰、細菌、または小さな粉塵粒子によって発生します。")</f>
        <v>PM2.5 粒子は血流に入るほど小さく、通常は山火事、煙の灰、細菌、または小さな粉塵粒子によって発生します。</v>
      </c>
      <c r="AI233" s="7" t="str">
        <f>IFERROR(__xludf.DUMMYFUNCTION("GoogleTranslate(C233, ""en"", ""kn"")"),"PM2.5 ಕಣಗಳು ರಕ್ತಪ್ರವಾಹಕ್ಕೆ ಪ್ರವೇಶಿಸುವಷ್ಟು ಚಿಕ್ಕದಾಗಿದೆ ಮತ್ತು ಸಾಮಾನ್ಯವಾಗಿ ಕಾಳ್ಗಿಚ್ಚು, ಹೊಗೆ ಬೂದಿ, ಬ್ಯಾಕ್ಟೀರಿಯಾ ಅಥವಾ ಸಣ್ಣ ಧೂಳಿನ ಕಣಗಳಿಂದ ಉಂಟಾಗುತ್ತದೆ.")</f>
        <v>PM2.5 ಕಣಗಳು ರಕ್ತಪ್ರವಾಹಕ್ಕೆ ಪ್ರವೇಶಿಸುವಷ್ಟು ಚಿಕ್ಕದಾಗಿದೆ ಮತ್ತು ಸಾಮಾನ್ಯವಾಗಿ ಕಾಳ್ಗಿಚ್ಚು, ಹೊಗೆ ಬೂದಿ, ಬ್ಯಾಕ್ಟೀರಿಯಾ ಅಥವಾ ಸಣ್ಣ ಧೂಳಿನ ಕಣಗಳಿಂದ ಉಂಟಾಗುತ್ತದೆ.</v>
      </c>
      <c r="AJ233" s="7" t="str">
        <f>IFERROR(__xludf.DUMMYFUNCTION("GoogleTranslate(C233, ""en"", ""km"")"),"ភាគល្អិត PM2.5 មានទំហំតូចល្មមចូលទៅក្នុងចរន្តឈាម ហើយជាធម្មតាបណ្តាលមកពីភ្លើងឆេះព្រៃ ផេះផ្សែង បាក់តេរី ឬភាគល្អិតធូលីតូចៗ។")</f>
        <v>ភាគល្អិត PM2.5 មានទំហំតូចល្មមចូលទៅក្នុងចរន្តឈាម ហើយជាធម្មតាបណ្តាលមកពីភ្លើងឆេះព្រៃ ផេះផ្សែង បាក់តេរី ឬភាគល្អិតធូលីតូចៗ។</v>
      </c>
      <c r="AK233" s="7" t="str">
        <f>IFERROR(__xludf.DUMMYFUNCTION("GoogleTranslate(C233, ""en"", ""ko"")"),"PM2.5 입자는 혈류에 들어갈 만큼 작으며 일반적으로 산불, 연기 재, 박테리아 또는 작은 먼지 입자로 인해 발생합니다.")</f>
        <v>PM2.5 입자는 혈류에 들어갈 만큼 작으며 일반적으로 산불, 연기 재, 박테리아 또는 작은 먼지 입자로 인해 발생합니다.</v>
      </c>
      <c r="AL233" s="7" t="str">
        <f>IFERROR(__xludf.DUMMYFUNCTION("GoogleTranslate(C233, ""en"", ""lo"")"),"ອະນຸພາກ PM2.5 ແມ່ນມີຂະໜາດນ້ອຍພໍທີ່ຈະເຂົ້າສູ່ກະແສເລືອດ ແລະ ໂດຍທົ່ວໄປແລ້ວເກີດຈາກໄຟໄໝ້ປ່າ, ຂີ້ເຖົ່າຄວັນໄຟ, ເຊື້ອແບັກທີເຣັຍ ຫຼື ຂີ້ຝຸ່ນນ້ອຍໆ.")</f>
        <v>ອະນຸພາກ PM2.5 ແມ່ນມີຂະໜາດນ້ອຍພໍທີ່ຈະເຂົ້າສູ່ກະແສເລືອດ ແລະ ໂດຍທົ່ວໄປແລ້ວເກີດຈາກໄຟໄໝ້ປ່າ, ຂີ້ເຖົ່າຄວັນໄຟ, ເຊື້ອແບັກທີເຣັຍ ຫຼື ຂີ້ຝຸ່ນນ້ອຍໆ.</v>
      </c>
      <c r="AM233" s="7" t="str">
        <f>IFERROR(__xludf.DUMMYFUNCTION("GoogleTranslate(C233, ""en"", ""lv"")"),"PM2.5 daļiņas ir pietiekami mazas, lai iekļūtu asinsritē, un tās parasti rodas ugunsgrēku, dūmu pelnu, baktēriju vai sīku putekļu daļiņu rezultātā.")</f>
        <v>PM2.5 daļiņas ir pietiekami mazas, lai iekļūtu asinsritē, un tās parasti rodas ugunsgrēku, dūmu pelnu, baktēriju vai sīku putekļu daļiņu rezultātā.</v>
      </c>
      <c r="AN233" s="7" t="str">
        <f>IFERROR(__xludf.DUMMYFUNCTION("GoogleTranslate(C233, ""en"", ""lt"")"),"KD2,5 dalelės yra pakankamai mažos, kad patektų į kraują ir paprastai susidaro dėl gaisrų, dūmų pelenų, bakterijų ar smulkių dulkių dalelių")</f>
        <v>KD2,5 dalelės yra pakankamai mažos, kad patektų į kraują ir paprastai susidaro dėl gaisrų, dūmų pelenų, bakterijų ar smulkių dulkių dalelių</v>
      </c>
      <c r="AO233" s="7" t="str">
        <f>IFERROR(__xludf.DUMMYFUNCTION("GoogleTranslate(C233, ""en"", ""mk"")"),"ПМ2.5 честичките се доволно мали за да влезат во крвотокот и обично се резултат од шумски пожари, чад пепел, бактерии или мали честички прашина")</f>
        <v>ПМ2.5 честичките се доволно мали за да влезат во крвотокот и обично се резултат од шумски пожари, чад пепел, бактерии или мали честички прашина</v>
      </c>
      <c r="AP233" s="7" t="str">
        <f>IFERROR(__xludf.DUMMYFUNCTION("GoogleTranslate(C233, ""en"", ""ms"")"),"Zarah PM2.5 cukup kecil untuk memasuki aliran darah dan biasanya terhasil daripada kebakaran hutan, abu asap, bakteria atau zarah debu kecil")</f>
        <v>Zarah PM2.5 cukup kecil untuk memasuki aliran darah dan biasanya terhasil daripada kebakaran hutan, abu asap, bakteria atau zarah debu kecil</v>
      </c>
      <c r="AQ233" s="7" t="str">
        <f>IFERROR(__xludf.DUMMYFUNCTION("GoogleTranslate(C233, ""en"", ""ml"")"),"PM2.5 കണങ്ങൾ രക്തത്തിൽ പ്രവേശിക്കാൻ പര്യാപ്തമാണ്, സാധാരണയായി കാട്ടുതീ, പുക ചാരം, ബാക്ടീരിയ അല്ലെങ്കിൽ ചെറിയ പൊടിപടലങ്ങൾ")</f>
        <v>PM2.5 കണങ്ങൾ രക്തത്തിൽ പ്രവേശിക്കാൻ പര്യാപ്തമാണ്, സാധാരണയായി കാട്ടുതീ, പുക ചാരം, ബാക്ടീരിയ അല്ലെങ്കിൽ ചെറിയ പൊടിപടലങ്ങൾ</v>
      </c>
      <c r="AR233" s="7" t="str">
        <f>IFERROR(__xludf.DUMMYFUNCTION("GoogleTranslate(C233, ""en"", ""mr"")"),"PM2.5 कण रक्तप्रवाहात प्रवेश करण्यासाठी पुरेसे लहान असतात आणि सामान्यत: जंगलातील आग, धुराची राख, बॅक्टेरिया किंवा लहान धुळीच्या कणांमुळे उद्भवतात.")</f>
        <v>PM2.5 कण रक्तप्रवाहात प्रवेश करण्यासाठी पुरेसे लहान असतात आणि सामान्यत: जंगलातील आग, धुराची राख, बॅक्टेरिया किंवा लहान धुळीच्या कणांमुळे उद्भवतात.</v>
      </c>
      <c r="AS233" s="7" t="str">
        <f>IFERROR(__xludf.DUMMYFUNCTION("GoogleTranslate(C233, ""en"", ""mn"")"),"PM2.5 тоосонцор нь цусны урсгалд ороход хангалттай жижиг бөгөөд ихэвчлэн ой хээрийн түймэр, утааны үнс, бактери, тоосны жижиг хэсгүүдээс үүсдэг.")</f>
        <v>PM2.5 тоосонцор нь цусны урсгалд ороход хангалттай жижиг бөгөөд ихэвчлэн ой хээрийн түймэр, утааны үнс, бактери, тоосны жижиг хэсгүүдээс үүсдэг.</v>
      </c>
      <c r="AT233" s="7" t="str">
        <f>IFERROR(__xludf.DUMMYFUNCTION("GoogleTranslate(C233, ""en"", ""ne"")"),"PM2.5 कणहरू रक्तप्रवाहमा प्रवेश गर्न पर्याप्त मात्रामा साना हुन्छन् र सामान्यतया जंगलको आगो, धुवाँको खरानी, ​​ब्याक्टेरिया वा सानो धुलो कणहरूको परिणाम हो।")</f>
        <v>PM2.5 कणहरू रक्तप्रवाहमा प्रवेश गर्न पर्याप्त मात्रामा साना हुन्छन् र सामान्यतया जंगलको आगो, धुवाँको खरानी, ​​ब्याक्टेरिया वा सानो धुलो कणहरूको परिणाम हो।</v>
      </c>
      <c r="AU233" s="7" t="str">
        <f>IFERROR(__xludf.DUMMYFUNCTION("GoogleTranslate(C233, ""en"", ""nb"")"),"PM2.5-partikler er små nok til å komme inn i blodet og skyldes vanligvis skogbranner, røykaske, bakterier eller små støvpartikler")</f>
        <v>PM2.5-partikler er små nok til å komme inn i blodet og skyldes vanligvis skogbranner, røykaske, bakterier eller små støvpartikler</v>
      </c>
      <c r="AV233" s="7" t="str">
        <f>IFERROR(__xludf.DUMMYFUNCTION("GoogleTranslate(C233, ""en"", ""fa"")"),"ذرات PM2.5 به اندازه‌ای کوچک هستند که وارد جریان خون شوند و معمولاً ناشی از آتش‌سوزی‌های جنگلی، خاکستر دود، باکتری‌ها یا ذرات ریز گرد و غبار هستند.")</f>
        <v>ذرات PM2.5 به اندازه‌ای کوچک هستند که وارد جریان خون شوند و معمولاً ناشی از آتش‌سوزی‌های جنگلی، خاکستر دود، باکتری‌ها یا ذرات ریز گرد و غبار هستند.</v>
      </c>
      <c r="AW233" s="7" t="str">
        <f>IFERROR(__xludf.DUMMYFUNCTION("GoogleTranslate(C233, ""en"", ""pl"")"),"Cząstki PM2,5 są wystarczająco małe, aby przedostać się do krwiobiegu i zazwyczaj powstają w wyniku pożarów, popiołów dymnych, bakterii lub małych cząstek pyłu")</f>
        <v>Cząstki PM2,5 są wystarczająco małe, aby przedostać się do krwiobiegu i zazwyczaj powstają w wyniku pożarów, popiołów dymnych, bakterii lub małych cząstek pyłu</v>
      </c>
      <c r="AX233" s="7" t="str">
        <f>IFERROR(__xludf.DUMMYFUNCTION("GoogleTranslate(C233, ""en"", ""pt"")"),"As partículas PM2.5 são pequenas o suficiente para entrar na corrente sanguínea e normalmente resultam de incêndios florestais, cinzas de fumaça, bactérias ou pequenas partículas de poeira")</f>
        <v>As partículas PM2.5 são pequenas o suficiente para entrar na corrente sanguínea e normalmente resultam de incêndios florestais, cinzas de fumaça, bactérias ou pequenas partículas de poeira</v>
      </c>
      <c r="AY233" s="7" t="str">
        <f>IFERROR(__xludf.DUMMYFUNCTION("GoogleTranslate(C233, ""en"", ""ro"")"),"Particulele PM2.5 sunt suficient de mici pentru a intra în sânge și, de obicei, rezultă din incendii de vegetație, cenușă de fum, bacterii sau particule mici de praf")</f>
        <v>Particulele PM2.5 sunt suficient de mici pentru a intra în sânge și, de obicei, rezultă din incendii de vegetație, cenușă de fum, bacterii sau particule mici de praf</v>
      </c>
      <c r="AZ233" s="7" t="str">
        <f>IFERROR(__xludf.DUMMYFUNCTION("GoogleTranslate(C233, ""en"", ""ru"")"),"Частицы PM2,5 достаточно малы, чтобы попасть в кровоток, и обычно возникают в результате лесных пожаров, дыма, бактерий или мелких частиц пыли.")</f>
        <v>Частицы PM2,5 достаточно малы, чтобы попасть в кровоток, и обычно возникают в результате лесных пожаров, дыма, бактерий или мелких частиц пыли.</v>
      </c>
      <c r="BA233" s="7" t="str">
        <f>IFERROR(__xludf.DUMMYFUNCTION("GoogleTranslate(C233, ""en"", ""sr"")"),"ПМ2,5 честице су довољно мале да уђу у крвоток и обично су резултат шумских пожара, димног пепела, бактерија или малих честица прашине")</f>
        <v>ПМ2,5 честице су довољно мале да уђу у крвоток и обично су резултат шумских пожара, димног пепела, бактерија или малих честица прашине</v>
      </c>
      <c r="BB233" s="7" t="str">
        <f>IFERROR(__xludf.DUMMYFUNCTION("GoogleTranslate(C233, ""en"", ""si"")"),"PM2.5 අංශු රුධිරයට ඇතුළු වීමට තරම් කුඩා වන අතර සාමාන්‍යයෙන් ලැව්ගිනි, දුම් අළු, බැක්ටීරියා හෝ කුඩා දූවිලි අංශු නිසා ඇතිවේ.")</f>
        <v>PM2.5 අංශු රුධිරයට ඇතුළු වීමට තරම් කුඩා වන අතර සාමාන්‍යයෙන් ලැව්ගිනි, දුම් අළු, බැක්ටීරියා හෝ කුඩා දූවිලි අංශු නිසා ඇතිවේ.</v>
      </c>
      <c r="BC233" s="7" t="str">
        <f>IFERROR(__xludf.DUMMYFUNCTION("GoogleTranslate(C233, ""en"", ""sk"")"),"Častice PM2,5 sú dostatočne malé na to, aby sa dostali do krvného obehu a zvyčajne sú výsledkom požiarov, dymového popola, baktérií alebo malých prachových častíc")</f>
        <v>Častice PM2,5 sú dostatočne malé na to, aby sa dostali do krvného obehu a zvyčajne sú výsledkom požiarov, dymového popola, baktérií alebo malých prachových častíc</v>
      </c>
      <c r="BD233" s="7" t="str">
        <f>IFERROR(__xludf.DUMMYFUNCTION("GoogleTranslate(C233, ""en"", ""sl"")"),"Delci PM2,5 so dovolj majhni, da vstopijo v krvni obtok in so običajno posledica požarov, dimnega pepela, bakterij ali majhnih prašnih delcev.")</f>
        <v>Delci PM2,5 so dovolj majhni, da vstopijo v krvni obtok in so običajno posledica požarov, dimnega pepela, bakterij ali majhnih prašnih delcev.</v>
      </c>
      <c r="BE233" s="7" t="str">
        <f>IFERROR(__xludf.DUMMYFUNCTION("GoogleTranslate(C233, ""en"", ""es"")"),"Las partículas PM2.5 son lo suficientemente pequeñas como para ingresar al torrente sanguíneo y generalmente provienen de incendios forestales, cenizas de humo, bacterias o pequeñas partículas de polvo.")</f>
        <v>Las partículas PM2.5 son lo suficientemente pequeñas como para ingresar al torrente sanguíneo y generalmente provienen de incendios forestales, cenizas de humo, bacterias o pequeñas partículas de polvo.</v>
      </c>
      <c r="BF233" s="7" t="str">
        <f>IFERROR(__xludf.DUMMYFUNCTION("GoogleTranslate(C233, ""en"", ""sw"")"),"Chembechembe za PM2.5 ni ndogo za kutosha kuingia kwenye mkondo wa damu na kwa kawaida hutokana na moto wa nyika, majivu ya moshi, bakteria au chembe ndogo za vumbi.")</f>
        <v>Chembechembe za PM2.5 ni ndogo za kutosha kuingia kwenye mkondo wa damu na kwa kawaida hutokana na moto wa nyika, majivu ya moshi, bakteria au chembe ndogo za vumbi.</v>
      </c>
      <c r="BG233" s="7" t="str">
        <f>IFERROR(__xludf.DUMMYFUNCTION("GoogleTranslate(C233, ""en"", ""sv"")"),"PM2.5-partiklar är tillräckligt små för att komma in i blodomloppet och härrör vanligtvis från skogsbränder, rökaska, bakterier eller små dammpartiklar")</f>
        <v>PM2.5-partiklar är tillräckligt små för att komma in i blodomloppet och härrör vanligtvis från skogsbränder, rökaska, bakterier eller små dammpartiklar</v>
      </c>
      <c r="BH233" s="7" t="str">
        <f>IFERROR(__xludf.DUMMYFUNCTION("GoogleTranslate(C233, ""en"", ""te"")"),"PM2.5 కణాలు రక్తప్రవాహంలోకి ప్రవేశించేంత చిన్నవి మరియు సాధారణంగా అడవి మంటలు, పొగ బూడిద, బ్యాక్టీరియా లేదా చిన్న ధూళి కణాల ఫలితంగా ఉంటాయి.")</f>
        <v>PM2.5 కణాలు రక్తప్రవాహంలోకి ప్రవేశించేంత చిన్నవి మరియు సాధారణంగా అడవి మంటలు, పొగ బూడిద, బ్యాక్టీరియా లేదా చిన్న ధూళి కణాల ఫలితంగా ఉంటాయి.</v>
      </c>
      <c r="BI233" s="7" t="str">
        <f>IFERROR(__xludf.DUMMYFUNCTION("GoogleTranslate(C233, ""en"", ""th"")"),"อนุภาค PM2.5 มีขนาดเล็กพอที่จะเข้าสู่กระแสเลือดและมักเกิดจากไฟป่า ขี้เถ้าควัน แบคทีเรีย หรือฝุ่นละอองขนาดเล็ก")</f>
        <v>อนุภาค PM2.5 มีขนาดเล็กพอที่จะเข้าสู่กระแสเลือดและมักเกิดจากไฟป่า ขี้เถ้าควัน แบคทีเรีย หรือฝุ่นละอองขนาดเล็ก</v>
      </c>
      <c r="BJ233" s="7" t="str">
        <f>IFERROR(__xludf.DUMMYFUNCTION("GoogleTranslate(C233, ""en"", ""tr"")"),"PM2.5 parçacıkları kan dolaşımına girebilecek kadar küçüktür ve genellikle orman yangınlarından, duman küllerinden, bakterilerden veya küçük toz parçacıklarından kaynaklanır.")</f>
        <v>PM2.5 parçacıkları kan dolaşımına girebilecek kadar küçüktür ve genellikle orman yangınlarından, duman küllerinden, bakterilerden veya küçük toz parçacıklarından kaynaklanır.</v>
      </c>
      <c r="BK233" s="7" t="str">
        <f>IFERROR(__xludf.DUMMYFUNCTION("GoogleTranslate(C233, ""en"", ""uk"")"),"Частинки PM2,5 досить малі, щоб потрапити в кров, і зазвичай утворюються в результаті лісових пожеж, попелу диму, бактерій або дрібних частинок пилу.")</f>
        <v>Частинки PM2,5 досить малі, щоб потрапити в кров, і зазвичай утворюються в результаті лісових пожеж, попелу диму, бактерій або дрібних частинок пилу.</v>
      </c>
      <c r="BL233" s="7" t="str">
        <f>IFERROR(__xludf.DUMMYFUNCTION("GoogleTranslate(C233, ""en"", ""zu"")"),"Izinhlayiya ze-PM2.5 zincane ngokwanele ukuthi zingangena egazini futhi ngokuvamile zibangelwa imililo yequbula, umlotha wentuthu, amagciwane noma izinhlayiya zothuli.")</f>
        <v>Izinhlayiya ze-PM2.5 zincane ngokwanele ukuthi zingangena egazini futhi ngokuvamile zibangelwa imililo yequbula, umlotha wentuthu, amagciwane noma izinhlayiya zothuli.</v>
      </c>
    </row>
    <row r="234">
      <c r="A234" s="5" t="str">
        <f t="shared" si="1"/>
        <v>Oops!_The_page_your_requested_was_not_found!</v>
      </c>
      <c r="B234" s="4" t="s">
        <v>276</v>
      </c>
      <c r="C234" s="4" t="s">
        <v>276</v>
      </c>
      <c r="D234" s="7" t="str">
        <f>IFERROR(__xludf.DUMMYFUNCTION("GoogleTranslate(C234, ""en"", ""es"")"),"¡Ups! ¡La página solicitada no fue encontrada!")</f>
        <v>¡Ups! ¡La página solicitada no fue encontrada!</v>
      </c>
      <c r="E234" s="7" t="str">
        <f>IFERROR(__xludf.DUMMYFUNCTION("GoogleTranslate(C234, ""en"", ""ar"")"),"أُووبس! لم يتم العثور على الصفحة التي طلبتها!")</f>
        <v>أُووبس! لم يتم العثور على الصفحة التي طلبتها!</v>
      </c>
      <c r="F234" s="7" t="str">
        <f>IFERROR(__xludf.DUMMYFUNCTION("GoogleTranslate(C234, ""en"", ""hy"")"),"Վա՜յ Ձեր խնդրած էջը չի գտնվել:")</f>
        <v>Վա՜յ Ձեր խնդրած էջը չի գտնվել:</v>
      </c>
      <c r="G234" s="7" t="str">
        <f>IFERROR(__xludf.DUMMYFUNCTION("GoogleTranslate(C234, ""en"", ""vi"")"),"Ối! Trang bạn yêu cầu không được tìm thấy!")</f>
        <v>Ối! Trang bạn yêu cầu không được tìm thấy!</v>
      </c>
      <c r="H234" s="7" t="str">
        <f>IFERROR(__xludf.DUMMYFUNCTION("GoogleTranslate(C234, ""en"", ""az"")"),"Vay! İstədiyiniz səhifə tapılmadı!")</f>
        <v>Vay! İstədiyiniz səhifə tapılmadı!</v>
      </c>
      <c r="I234" s="7" t="str">
        <f>IFERROR(__xludf.DUMMYFUNCTION("GoogleTranslate(C234, ""en"", ""eu"")"),"Aupa! Zuk eskatutako orria ez da aurkitu!")</f>
        <v>Aupa! Zuk eskatutako orria ez da aurkitu!</v>
      </c>
      <c r="J234" s="7" t="str">
        <f>IFERROR(__xludf.DUMMYFUNCTION("GoogleTranslate(C234, ""en"", ""be"")"),"Ой! Запытаная вамі старонка не знойдзена!")</f>
        <v>Ой! Запытаная вамі старонка не знойдзена!</v>
      </c>
      <c r="K234" s="7" t="str">
        <f>IFERROR(__xludf.DUMMYFUNCTION("GoogleTranslate(C234, ""en"", ""bn"")"),"উফ! আপনার অনুরোধ করা পৃষ্ঠাটি পাওয়া যায়নি!")</f>
        <v>উফ! আপনার অনুরোধ করা পৃষ্ঠাটি পাওয়া যায়নি!</v>
      </c>
      <c r="L234" s="7" t="str">
        <f>IFERROR(__xludf.DUMMYFUNCTION("GoogleTranslate(C234, ""en"", ""bg"")"),"Опа! Страницата, която искахте, не беше намерена!")</f>
        <v>Опа! Страницата, която искахте, не беше намерена!</v>
      </c>
      <c r="M234" s="7" t="str">
        <f>IFERROR(__xludf.DUMMYFUNCTION("GoogleTranslate(C234, ""en"", ""my"")"),"သည်းခံပါ သင်တောင်းဆိုထားသည့် စာမျက်နှာကို ရှာမတွေ့ပါ။")</f>
        <v>သည်းခံပါ သင်တောင်းဆိုထားသည့် စာမျက်နှာကို ရှာမတွေ့ပါ။</v>
      </c>
      <c r="N234" s="7" t="str">
        <f>IFERROR(__xludf.DUMMYFUNCTION("GoogleTranslate(C234, ""en"", ""ca"")"),"Vaja! No s'ha trobat la pàgina que heu sol·licitat!")</f>
        <v>Vaja! No s'ha trobat la pàgina que heu sol·licitat!</v>
      </c>
      <c r="O234" s="7" t="str">
        <f>IFERROR(__xludf.DUMMYFUNCTION("GoogleTranslate(C234, ""en"", ""zh-cn"")"),"哎呀！未找到您请求的页面！")</f>
        <v>哎呀！未找到您请求的页面！</v>
      </c>
      <c r="P234" s="7" t="str">
        <f>IFERROR(__xludf.DUMMYFUNCTION("GoogleTranslate(C234, ""en"", ""zh-TW"")"),"哎呀！未找到您請求的頁面！")</f>
        <v>哎呀！未找到您請求的頁面！</v>
      </c>
      <c r="Q234" s="7" t="str">
        <f>IFERROR(__xludf.DUMMYFUNCTION("GoogleTranslate(C234, ""en"", ""hr"")"),"Ups! Stranica koju ste tražili nije pronađena!")</f>
        <v>Ups! Stranica koju ste tražili nije pronađena!</v>
      </c>
      <c r="R234" s="7" t="str">
        <f>IFERROR(__xludf.DUMMYFUNCTION("GoogleTranslate(C234, ""en"", ""cs"")"),"Jejda! Vámi požadovaná stránka nebyla nalezena!")</f>
        <v>Jejda! Vámi požadovaná stránka nebyla nalezena!</v>
      </c>
      <c r="S234" s="7" t="str">
        <f>IFERROR(__xludf.DUMMYFUNCTION("GoogleTranslate(C234, ""en"", ""da"")"),"Ups! Den side, du anmodede om, blev ikke fundet!")</f>
        <v>Ups! Den side, du anmodede om, blev ikke fundet!</v>
      </c>
      <c r="T234" s="7" t="str">
        <f>IFERROR(__xludf.DUMMYFUNCTION("GoogleTranslate(C234, ""en"", ""nl"")"),"Oeps! De door u opgevraagde pagina is niet gevonden!")</f>
        <v>Oeps! De door u opgevraagde pagina is niet gevonden!</v>
      </c>
      <c r="U234" s="7" t="str">
        <f>IFERROR(__xludf.DUMMYFUNCTION("GoogleTranslate(C234, ""en"", ""et"")"),"Oih! Teie soovitud lehte ei leitud!")</f>
        <v>Oih! Teie soovitud lehte ei leitud!</v>
      </c>
      <c r="V234" s="5" t="str">
        <f t="shared" si="3"/>
        <v>Oops! The page your requested was not found!</v>
      </c>
      <c r="W234" s="7" t="str">
        <f>IFERROR(__xludf.DUMMYFUNCTION("GoogleTranslate(C234, ""en"", ""fi"")"),"Oho! Pyytämääsi sivua ei löytynyt!")</f>
        <v>Oho! Pyytämääsi sivua ei löytynyt!</v>
      </c>
      <c r="X234" s="7" t="str">
        <f>IFERROR(__xludf.DUMMYFUNCTION("GoogleTranslate(C234, ""en"", ""fr"")"),"Oups ! La page que vous avez demandée n'a pas été trouvée !")</f>
        <v>Oups ! La page que vous avez demandée n'a pas été trouvée !</v>
      </c>
      <c r="Y234" s="7" t="str">
        <f>IFERROR(__xludf.DUMMYFUNCTION("GoogleTranslate(C234, ""en"", ""de"")"),"Hoppla! Die von Ihnen angeforderte Seite wurde nicht gefunden!")</f>
        <v>Hoppla! Die von Ihnen angeforderte Seite wurde nicht gefunden!</v>
      </c>
      <c r="Z234" s="7" t="str">
        <f>IFERROR(__xludf.DUMMYFUNCTION("GoogleTranslate(C234, ""en"", ""el"")"),"Ωχ! Η σελίδα που ζητήσατε δεν βρέθηκε!")</f>
        <v>Ωχ! Η σελίδα που ζητήσατε δεν βρέθηκε!</v>
      </c>
      <c r="AA234" s="7" t="str">
        <f>IFERROR(__xludf.DUMMYFUNCTION("GoogleTranslate(C234, ""en"", ""iw"")"),"אופס! הדף שביקשת לא נמצא!")</f>
        <v>אופס! הדף שביקשת לא נמצא!</v>
      </c>
      <c r="AB234" s="7" t="str">
        <f>IFERROR(__xludf.DUMMYFUNCTION("GoogleTranslate(C234, ""en"", ""hi"")"),"उफ़! आपके द्वारा अनुरोधित पृष्ठ नहीं मिला!")</f>
        <v>उफ़! आपके द्वारा अनुरोधित पृष्ठ नहीं मिला!</v>
      </c>
      <c r="AC234" s="7" t="str">
        <f>IFERROR(__xludf.DUMMYFUNCTION("GoogleTranslate(C234, ""en"", ""hu"")"),"Hoppá! A keresett oldal nem található!")</f>
        <v>Hoppá! A keresett oldal nem található!</v>
      </c>
      <c r="AD234" s="7" t="str">
        <f>IFERROR(__xludf.DUMMYFUNCTION("GoogleTranslate(C234, ""en"", ""is"")"),"Úps! Síðan sem þú baðst um fannst ekki!")</f>
        <v>Úps! Síðan sem þú baðst um fannst ekki!</v>
      </c>
      <c r="AE234" s="7" t="str">
        <f>IFERROR(__xludf.DUMMYFUNCTION("GoogleTranslate(C234, ""en"", ""id"")"),"Ups! Halaman yang Anda minta tidak ditemukan!")</f>
        <v>Ups! Halaman yang Anda minta tidak ditemukan!</v>
      </c>
      <c r="AF234" s="7" t="str">
        <f>IFERROR(__xludf.DUMMYFUNCTION("GoogleTranslate(C234, ""en"", ""in"")"),"Ups! Halaman yang Anda minta tidak ditemukan!")</f>
        <v>Ups! Halaman yang Anda minta tidak ditemukan!</v>
      </c>
      <c r="AG234" s="7" t="str">
        <f>IFERROR(__xludf.DUMMYFUNCTION("GoogleTranslate(C234, ""en"", ""it"")"),"Ops! La pagina richiesta non è stata trovata!")</f>
        <v>Ops! La pagina richiesta non è stata trovata!</v>
      </c>
      <c r="AH234" s="7" t="str">
        <f>IFERROR(__xludf.DUMMYFUNCTION("GoogleTranslate(C234, ""en"", ""ja"")"),"おっと！要求したページは見つかりませんでした。")</f>
        <v>おっと！要求したページは見つかりませんでした。</v>
      </c>
      <c r="AI234" s="7" t="str">
        <f>IFERROR(__xludf.DUMMYFUNCTION("GoogleTranslate(C234, ""en"", ""kn"")"),"ಓಹ್! ನೀವು ವಿನಂತಿಸಿದ ಪುಟವು ಕಂಡುಬಂದಿಲ್ಲ!")</f>
        <v>ಓಹ್! ನೀವು ವಿನಂತಿಸಿದ ಪುಟವು ಕಂಡುಬಂದಿಲ್ಲ!</v>
      </c>
      <c r="AJ234" s="7" t="str">
        <f>IFERROR(__xludf.DUMMYFUNCTION("GoogleTranslate(C234, ""en"", ""km"")"),"ឱ! រកមិនឃើញទំព័រដែលអ្នកស្នើសុំ!")</f>
        <v>ឱ! រកមិនឃើញទំព័រដែលអ្នកស្នើសុំ!</v>
      </c>
      <c r="AK234" s="7" t="str">
        <f>IFERROR(__xludf.DUMMYFUNCTION("GoogleTranslate(C234, ""en"", ""ko"")"),"이런! 요청하신 페이지를 찾을 수 없습니다!")</f>
        <v>이런! 요청하신 페이지를 찾을 수 없습니다!</v>
      </c>
      <c r="AL234" s="7" t="str">
        <f>IFERROR(__xludf.DUMMYFUNCTION("GoogleTranslate(C234, ""en"", ""lo"")"),"ອຸຍ! ບໍ່ພົບໜ້າທີ່ທ່ານຮ້ອງຂໍ!")</f>
        <v>ອຸຍ! ບໍ່ພົບໜ້າທີ່ທ່ານຮ້ອງຂໍ!</v>
      </c>
      <c r="AM234" s="7" t="str">
        <f>IFERROR(__xludf.DUMMYFUNCTION("GoogleTranslate(C234, ""en"", ""lv"")"),"Hmm! Jūsu pieprasītā lapa netika atrasta!")</f>
        <v>Hmm! Jūsu pieprasītā lapa netika atrasta!</v>
      </c>
      <c r="AN234" s="7" t="str">
        <f>IFERROR(__xludf.DUMMYFUNCTION("GoogleTranslate(C234, ""en"", ""lt"")"),"Oi! Puslapis, kurio prašėte, nerastas!")</f>
        <v>Oi! Puslapis, kurio prašėte, nerastas!</v>
      </c>
      <c r="AO234" s="7" t="str">
        <f>IFERROR(__xludf.DUMMYFUNCTION("GoogleTranslate(C234, ""en"", ""mk"")"),"Упс! Страницата што ја баравте не е пронајдена!")</f>
        <v>Упс! Страницата што ја баравте не е пронајдена!</v>
      </c>
      <c r="AP234" s="7" t="str">
        <f>IFERROR(__xludf.DUMMYFUNCTION("GoogleTranslate(C234, ""en"", ""ms"")"),"Aduh! Halaman yang anda minta tidak ditemui!")</f>
        <v>Aduh! Halaman yang anda minta tidak ditemui!</v>
      </c>
      <c r="AQ234" s="7" t="str">
        <f>IFERROR(__xludf.DUMMYFUNCTION("GoogleTranslate(C234, ""en"", ""ml"")"),"ശ്ശോ! നിങ്ങൾ അഭ്യർത്ഥിച്ച പേജ് കണ്ടെത്തിയില്ല!")</f>
        <v>ശ്ശോ! നിങ്ങൾ അഭ്യർത്ഥിച്ച പേജ് കണ്ടെത്തിയില്ല!</v>
      </c>
      <c r="AR234" s="7" t="str">
        <f>IFERROR(__xludf.DUMMYFUNCTION("GoogleTranslate(C234, ""en"", ""mr"")"),"अरेरे! तुम्ही विनंती केलेले पान सापडले नाही!")</f>
        <v>अरेरे! तुम्ही विनंती केलेले पान सापडले नाही!</v>
      </c>
      <c r="AS234" s="7" t="str">
        <f>IFERROR(__xludf.DUMMYFUNCTION("GoogleTranslate(C234, ""en"", ""mn"")"),"Өө! Таны хүссэн хуудас олдсонгүй!")</f>
        <v>Өө! Таны хүссэн хуудас олдсонгүй!</v>
      </c>
      <c r="AT234" s="7" t="str">
        <f>IFERROR(__xludf.DUMMYFUNCTION("GoogleTranslate(C234, ""en"", ""ne"")"),"उफ्! तपाईंले अनुरोध गर्नुभएको पृष्ठ फेला परेन!")</f>
        <v>उफ्! तपाईंले अनुरोध गर्नुभएको पृष्ठ फेला परेन!</v>
      </c>
      <c r="AU234" s="7" t="str">
        <f>IFERROR(__xludf.DUMMYFUNCTION("GoogleTranslate(C234, ""en"", ""nb"")"),"Oops! Siden du forespurte ble ikke funnet!")</f>
        <v>Oops! Siden du forespurte ble ikke funnet!</v>
      </c>
      <c r="AV234" s="7" t="str">
        <f>IFERROR(__xludf.DUMMYFUNCTION("GoogleTranslate(C234, ""en"", ""fa"")"),"اوه! صفحه درخواستی شما پیدا نشد!")</f>
        <v>اوه! صفحه درخواستی شما پیدا نشد!</v>
      </c>
      <c r="AW234" s="7" t="str">
        <f>IFERROR(__xludf.DUMMYFUNCTION("GoogleTranslate(C234, ""en"", ""pl"")"),"Ups! Strona, o którą prosiłeś, nie została znaleziona!")</f>
        <v>Ups! Strona, o którą prosiłeś, nie została znaleziona!</v>
      </c>
      <c r="AX234" s="7" t="str">
        <f>IFERROR(__xludf.DUMMYFUNCTION("GoogleTranslate(C234, ""en"", ""pt"")"),"Ops! A página solicitada não foi encontrada!")</f>
        <v>Ops! A página solicitada não foi encontrada!</v>
      </c>
      <c r="AY234" s="7" t="str">
        <f>IFERROR(__xludf.DUMMYFUNCTION("GoogleTranslate(C234, ""en"", ""ro"")"),"Hopa! Pagina solicitată de dvs. nu a fost găsită!")</f>
        <v>Hopa! Pagina solicitată de dvs. nu a fost găsită!</v>
      </c>
      <c r="AZ234" s="7" t="str">
        <f>IFERROR(__xludf.DUMMYFUNCTION("GoogleTranslate(C234, ""en"", ""ru"")"),"Упс! Запрошенная вами страница не найдена!")</f>
        <v>Упс! Запрошенная вами страница не найдена!</v>
      </c>
      <c r="BA234" s="7" t="str">
        <f>IFERROR(__xludf.DUMMYFUNCTION("GoogleTranslate(C234, ""en"", ""sr"")"),"Упс! Страница коју сте тражили није пронађена!")</f>
        <v>Упс! Страница коју сте тражили није пронађена!</v>
      </c>
      <c r="BB234" s="7" t="str">
        <f>IFERROR(__xludf.DUMMYFUNCTION("GoogleTranslate(C234, ""en"", ""si"")"),"අපොයි! ඔබ ඉල්ලූ පිටුව හමු නොවීය!")</f>
        <v>අපොයි! ඔබ ඉල්ලූ පිටුව හමු නොවීය!</v>
      </c>
      <c r="BC234" s="7" t="str">
        <f>IFERROR(__xludf.DUMMYFUNCTION("GoogleTranslate(C234, ""en"", ""sk"")"),"Ojoj! Vami požadovaná stránka sa nenašla!")</f>
        <v>Ojoj! Vami požadovaná stránka sa nenašla!</v>
      </c>
      <c r="BD234" s="7" t="str">
        <f>IFERROR(__xludf.DUMMYFUNCTION("GoogleTranslate(C234, ""en"", ""sl"")"),"Ups! Stran, ki ste jo zahtevali, ni bila najdena!")</f>
        <v>Ups! Stran, ki ste jo zahtevali, ni bila najdena!</v>
      </c>
      <c r="BE234" s="7" t="str">
        <f>IFERROR(__xludf.DUMMYFUNCTION("GoogleTranslate(C234, ""en"", ""es"")"),"¡Ups! ¡La página solicitada no fue encontrada!")</f>
        <v>¡Ups! ¡La página solicitada no fue encontrada!</v>
      </c>
      <c r="BF234" s="7" t="str">
        <f>IFERROR(__xludf.DUMMYFUNCTION("GoogleTranslate(C234, ""en"", ""sw"")"),"Lo! Ukurasa ulioomba haukupatikana!")</f>
        <v>Lo! Ukurasa ulioomba haukupatikana!</v>
      </c>
      <c r="BG234" s="7" t="str">
        <f>IFERROR(__xludf.DUMMYFUNCTION("GoogleTranslate(C234, ""en"", ""sv"")"),"hoppsan! Sidan du efterfrågade hittades inte!")</f>
        <v>hoppsan! Sidan du efterfrågade hittades inte!</v>
      </c>
      <c r="BH234" s="7" t="str">
        <f>IFERROR(__xludf.DUMMYFUNCTION("GoogleTranslate(C234, ""en"", ""te"")"),"అయ్యో! మీరు అభ్యర్థించిన పేజీ కనుగొనబడలేదు!")</f>
        <v>అయ్యో! మీరు అభ్యర్థించిన పేజీ కనుగొనబడలేదు!</v>
      </c>
      <c r="BI234" s="7" t="str">
        <f>IFERROR(__xludf.DUMMYFUNCTION("GoogleTranslate(C234, ""en"", ""th"")"),"อ๊ะ! ไม่พบเพจที่คุณร้องขอ!")</f>
        <v>อ๊ะ! ไม่พบเพจที่คุณร้องขอ!</v>
      </c>
      <c r="BJ234" s="7" t="str">
        <f>IFERROR(__xludf.DUMMYFUNCTION("GoogleTranslate(C234, ""en"", ""tr"")"),"Hata! İstediğiniz sayfa bulunamadı!")</f>
        <v>Hata! İstediğiniz sayfa bulunamadı!</v>
      </c>
      <c r="BK234" s="7" t="str">
        <f>IFERROR(__xludf.DUMMYFUNCTION("GoogleTranslate(C234, ""en"", ""uk"")"),"Ой! Сторінка, яку ви запитували, не знайдена!")</f>
        <v>Ой! Сторінка, яку ви запитували, не знайдена!</v>
      </c>
      <c r="BL234" s="7" t="str">
        <f>IFERROR(__xludf.DUMMYFUNCTION("GoogleTranslate(C234, ""en"", ""zu"")"),"Eshu! Ikhasi olicelile alitholakalanga!")</f>
        <v>Eshu! Ikhasi olicelile alitholakalanga!</v>
      </c>
    </row>
    <row r="235">
      <c r="A235" s="5" t="str">
        <f t="shared" si="1"/>
        <v>Now</v>
      </c>
      <c r="B235" s="4" t="s">
        <v>277</v>
      </c>
      <c r="C235" s="4" t="s">
        <v>277</v>
      </c>
      <c r="D235" s="7" t="str">
        <f>IFERROR(__xludf.DUMMYFUNCTION("GoogleTranslate(C235, ""en"", ""es"")"),"Ahora")</f>
        <v>Ahora</v>
      </c>
      <c r="E235" s="7" t="str">
        <f>IFERROR(__xludf.DUMMYFUNCTION("GoogleTranslate(C235, ""en"", ""ar"")"),"الآن")</f>
        <v>الآن</v>
      </c>
      <c r="F235" s="7" t="str">
        <f>IFERROR(__xludf.DUMMYFUNCTION("GoogleTranslate(C235, ""en"", ""hy"")"),"Հիմա")</f>
        <v>Հիմա</v>
      </c>
      <c r="G235" s="7" t="str">
        <f>IFERROR(__xludf.DUMMYFUNCTION("GoogleTranslate(C235, ""en"", ""vi"")"),"Hiện nay")</f>
        <v>Hiện nay</v>
      </c>
      <c r="H235" s="7" t="str">
        <f>IFERROR(__xludf.DUMMYFUNCTION("GoogleTranslate(C235, ""en"", ""az"")"),"İndi")</f>
        <v>İndi</v>
      </c>
      <c r="I235" s="7" t="str">
        <f>IFERROR(__xludf.DUMMYFUNCTION("GoogleTranslate(C235, ""en"", ""eu"")"),"Orain")</f>
        <v>Orain</v>
      </c>
      <c r="J235" s="7" t="str">
        <f>IFERROR(__xludf.DUMMYFUNCTION("GoogleTranslate(C235, ""en"", ""be"")"),"зараз")</f>
        <v>зараз</v>
      </c>
      <c r="K235" s="7" t="str">
        <f>IFERROR(__xludf.DUMMYFUNCTION("GoogleTranslate(C235, ""en"", ""bn"")"),"এখন")</f>
        <v>এখন</v>
      </c>
      <c r="L235" s="7" t="str">
        <f>IFERROR(__xludf.DUMMYFUNCTION("GoogleTranslate(C235, ""en"", ""bg"")"),"Сега")</f>
        <v>Сега</v>
      </c>
      <c r="M235" s="7" t="str">
        <f>IFERROR(__xludf.DUMMYFUNCTION("GoogleTranslate(C235, ""en"", ""my"")"),"ကဲ")</f>
        <v>ကဲ</v>
      </c>
      <c r="N235" s="7" t="str">
        <f>IFERROR(__xludf.DUMMYFUNCTION("GoogleTranslate(C235, ""en"", ""ca"")"),"Ara")</f>
        <v>Ara</v>
      </c>
      <c r="O235" s="7" t="str">
        <f>IFERROR(__xludf.DUMMYFUNCTION("GoogleTranslate(C235, ""en"", ""zh-cn"")"),"现在")</f>
        <v>现在</v>
      </c>
      <c r="P235" s="7" t="str">
        <f>IFERROR(__xludf.DUMMYFUNCTION("GoogleTranslate(C235, ""en"", ""zh-TW"")"),"現在")</f>
        <v>現在</v>
      </c>
      <c r="Q235" s="7" t="str">
        <f>IFERROR(__xludf.DUMMYFUNCTION("GoogleTranslate(C235, ""en"", ""hr"")"),"Sada")</f>
        <v>Sada</v>
      </c>
      <c r="R235" s="7" t="str">
        <f>IFERROR(__xludf.DUMMYFUNCTION("GoogleTranslate(C235, ""en"", ""cs"")"),"Teď")</f>
        <v>Teď</v>
      </c>
      <c r="S235" s="7" t="str">
        <f>IFERROR(__xludf.DUMMYFUNCTION("GoogleTranslate(C235, ""en"", ""da"")"),"Nu")</f>
        <v>Nu</v>
      </c>
      <c r="T235" s="7" t="str">
        <f>IFERROR(__xludf.DUMMYFUNCTION("GoogleTranslate(C235, ""en"", ""nl"")"),"Nu")</f>
        <v>Nu</v>
      </c>
      <c r="U235" s="7" t="str">
        <f>IFERROR(__xludf.DUMMYFUNCTION("GoogleTranslate(C235, ""en"", ""et"")"),"Nüüd")</f>
        <v>Nüüd</v>
      </c>
      <c r="V235" s="5" t="str">
        <f t="shared" si="3"/>
        <v>Now</v>
      </c>
      <c r="W235" s="7" t="str">
        <f>IFERROR(__xludf.DUMMYFUNCTION("GoogleTranslate(C235, ""en"", ""fi"")"),"Nyt")</f>
        <v>Nyt</v>
      </c>
      <c r="X235" s="7" t="str">
        <f>IFERROR(__xludf.DUMMYFUNCTION("GoogleTranslate(C235, ""en"", ""fr"")"),"Maintenant")</f>
        <v>Maintenant</v>
      </c>
      <c r="Y235" s="7" t="str">
        <f>IFERROR(__xludf.DUMMYFUNCTION("GoogleTranslate(C235, ""en"", ""de"")"),"Jetzt")</f>
        <v>Jetzt</v>
      </c>
      <c r="Z235" s="7" t="str">
        <f>IFERROR(__xludf.DUMMYFUNCTION("GoogleTranslate(C235, ""en"", ""el"")"),"Τώρα")</f>
        <v>Τώρα</v>
      </c>
      <c r="AA235" s="7" t="str">
        <f>IFERROR(__xludf.DUMMYFUNCTION("GoogleTranslate(C235, ""en"", ""iw"")"),"עַכשָׁיו")</f>
        <v>עַכשָׁיו</v>
      </c>
      <c r="AB235" s="7" t="str">
        <f>IFERROR(__xludf.DUMMYFUNCTION("GoogleTranslate(C235, ""en"", ""hi"")"),"अब")</f>
        <v>अब</v>
      </c>
      <c r="AC235" s="7" t="str">
        <f>IFERROR(__xludf.DUMMYFUNCTION("GoogleTranslate(C235, ""en"", ""hu"")"),"Jelenleg")</f>
        <v>Jelenleg</v>
      </c>
      <c r="AD235" s="7" t="str">
        <f>IFERROR(__xludf.DUMMYFUNCTION("GoogleTranslate(C235, ""en"", ""is"")"),"Nú")</f>
        <v>Nú</v>
      </c>
      <c r="AE235" s="7" t="str">
        <f>IFERROR(__xludf.DUMMYFUNCTION("GoogleTranslate(C235, ""en"", ""id"")"),"Sekarang")</f>
        <v>Sekarang</v>
      </c>
      <c r="AF235" s="7" t="str">
        <f>IFERROR(__xludf.DUMMYFUNCTION("GoogleTranslate(C235, ""en"", ""in"")"),"Sekarang")</f>
        <v>Sekarang</v>
      </c>
      <c r="AG235" s="7" t="str">
        <f>IFERROR(__xludf.DUMMYFUNCTION("GoogleTranslate(C235, ""en"", ""it"")"),"Ora")</f>
        <v>Ora</v>
      </c>
      <c r="AH235" s="7" t="str">
        <f>IFERROR(__xludf.DUMMYFUNCTION("GoogleTranslate(C235, ""en"", ""ja"")"),"今")</f>
        <v>今</v>
      </c>
      <c r="AI235" s="7" t="str">
        <f>IFERROR(__xludf.DUMMYFUNCTION("GoogleTranslate(C235, ""en"", ""kn"")"),"ಈಗ")</f>
        <v>ಈಗ</v>
      </c>
      <c r="AJ235" s="7" t="str">
        <f>IFERROR(__xludf.DUMMYFUNCTION("GoogleTranslate(C235, ""en"", ""km"")"),"ឥឡូវនេះ")</f>
        <v>ឥឡូវនេះ</v>
      </c>
      <c r="AK235" s="7" t="str">
        <f>IFERROR(__xludf.DUMMYFUNCTION("GoogleTranslate(C235, ""en"", ""ko"")"),"지금")</f>
        <v>지금</v>
      </c>
      <c r="AL235" s="7" t="str">
        <f>IFERROR(__xludf.DUMMYFUNCTION("GoogleTranslate(C235, ""en"", ""lo"")"),"ດຽວນີ້")</f>
        <v>ດຽວນີ້</v>
      </c>
      <c r="AM235" s="7" t="str">
        <f>IFERROR(__xludf.DUMMYFUNCTION("GoogleTranslate(C235, ""en"", ""lv"")"),"Tagad")</f>
        <v>Tagad</v>
      </c>
      <c r="AN235" s="7" t="str">
        <f>IFERROR(__xludf.DUMMYFUNCTION("GoogleTranslate(C235, ""en"", ""lt"")"),"Dabar")</f>
        <v>Dabar</v>
      </c>
      <c r="AO235" s="7" t="str">
        <f>IFERROR(__xludf.DUMMYFUNCTION("GoogleTranslate(C235, ""en"", ""mk"")"),"Сега")</f>
        <v>Сега</v>
      </c>
      <c r="AP235" s="7" t="str">
        <f>IFERROR(__xludf.DUMMYFUNCTION("GoogleTranslate(C235, ""en"", ""ms"")"),"Sekarang")</f>
        <v>Sekarang</v>
      </c>
      <c r="AQ235" s="7" t="str">
        <f>IFERROR(__xludf.DUMMYFUNCTION("GoogleTranslate(C235, ""en"", ""ml"")"),"ഇപ്പോൾ")</f>
        <v>ഇപ്പോൾ</v>
      </c>
      <c r="AR235" s="7" t="str">
        <f>IFERROR(__xludf.DUMMYFUNCTION("GoogleTranslate(C235, ""en"", ""mr"")"),"आता")</f>
        <v>आता</v>
      </c>
      <c r="AS235" s="7" t="str">
        <f>IFERROR(__xludf.DUMMYFUNCTION("GoogleTranslate(C235, ""en"", ""mn"")"),"Одоо")</f>
        <v>Одоо</v>
      </c>
      <c r="AT235" s="7" t="str">
        <f>IFERROR(__xludf.DUMMYFUNCTION("GoogleTranslate(C235, ""en"", ""ne"")"),"अब")</f>
        <v>अब</v>
      </c>
      <c r="AU235" s="7" t="str">
        <f>IFERROR(__xludf.DUMMYFUNCTION("GoogleTranslate(C235, ""en"", ""nb"")"),"Nå")</f>
        <v>Nå</v>
      </c>
      <c r="AV235" s="7" t="str">
        <f>IFERROR(__xludf.DUMMYFUNCTION("GoogleTranslate(C235, ""en"", ""fa"")"),"در حال حاضر")</f>
        <v>در حال حاضر</v>
      </c>
      <c r="AW235" s="7" t="str">
        <f>IFERROR(__xludf.DUMMYFUNCTION("GoogleTranslate(C235, ""en"", ""pl"")"),"Teraz")</f>
        <v>Teraz</v>
      </c>
      <c r="AX235" s="7" t="str">
        <f>IFERROR(__xludf.DUMMYFUNCTION("GoogleTranslate(C235, ""en"", ""pt"")"),"Agora")</f>
        <v>Agora</v>
      </c>
      <c r="AY235" s="7" t="str">
        <f>IFERROR(__xludf.DUMMYFUNCTION("GoogleTranslate(C235, ""en"", ""ro"")"),"Acum")</f>
        <v>Acum</v>
      </c>
      <c r="AZ235" s="7" t="str">
        <f>IFERROR(__xludf.DUMMYFUNCTION("GoogleTranslate(C235, ""en"", ""ru"")"),"Сейчас")</f>
        <v>Сейчас</v>
      </c>
      <c r="BA235" s="7" t="str">
        <f>IFERROR(__xludf.DUMMYFUNCTION("GoogleTranslate(C235, ""en"", ""sr"")"),"Сада")</f>
        <v>Сада</v>
      </c>
      <c r="BB235" s="7" t="str">
        <f>IFERROR(__xludf.DUMMYFUNCTION("GoogleTranslate(C235, ""en"", ""si"")"),"දැන්")</f>
        <v>දැන්</v>
      </c>
      <c r="BC235" s="7" t="str">
        <f>IFERROR(__xludf.DUMMYFUNCTION("GoogleTranslate(C235, ""en"", ""sk"")"),"Teraz")</f>
        <v>Teraz</v>
      </c>
      <c r="BD235" s="7" t="str">
        <f>IFERROR(__xludf.DUMMYFUNCTION("GoogleTranslate(C235, ""en"", ""sl"")"),"zdaj")</f>
        <v>zdaj</v>
      </c>
      <c r="BE235" s="7" t="str">
        <f>IFERROR(__xludf.DUMMYFUNCTION("GoogleTranslate(C235, ""en"", ""es"")"),"Ahora")</f>
        <v>Ahora</v>
      </c>
      <c r="BF235" s="7" t="str">
        <f>IFERROR(__xludf.DUMMYFUNCTION("GoogleTranslate(C235, ""en"", ""sw"")"),"Sasa")</f>
        <v>Sasa</v>
      </c>
      <c r="BG235" s="7" t="str">
        <f>IFERROR(__xludf.DUMMYFUNCTION("GoogleTranslate(C235, ""en"", ""sv"")"),"Nu")</f>
        <v>Nu</v>
      </c>
      <c r="BH235" s="7" t="str">
        <f>IFERROR(__xludf.DUMMYFUNCTION("GoogleTranslate(C235, ""en"", ""te"")"),"ఇప్పుడు")</f>
        <v>ఇప్పుడు</v>
      </c>
      <c r="BI235" s="7" t="str">
        <f>IFERROR(__xludf.DUMMYFUNCTION("GoogleTranslate(C235, ""en"", ""th"")"),"ตอนนี้")</f>
        <v>ตอนนี้</v>
      </c>
      <c r="BJ235" s="7" t="str">
        <f>IFERROR(__xludf.DUMMYFUNCTION("GoogleTranslate(C235, ""en"", ""tr"")"),"Şimdi")</f>
        <v>Şimdi</v>
      </c>
      <c r="BK235" s="7" t="str">
        <f>IFERROR(__xludf.DUMMYFUNCTION("GoogleTranslate(C235, ""en"", ""uk"")"),"Зараз")</f>
        <v>Зараз</v>
      </c>
      <c r="BL235" s="7" t="str">
        <f>IFERROR(__xludf.DUMMYFUNCTION("GoogleTranslate(C235, ""en"", ""zu"")"),"Manje")</f>
        <v>Manje</v>
      </c>
    </row>
    <row r="236">
      <c r="A236" s="5" t="str">
        <f t="shared" si="1"/>
        <v>Precip_Intensity</v>
      </c>
      <c r="B236" s="4" t="s">
        <v>278</v>
      </c>
      <c r="C236" s="4" t="s">
        <v>278</v>
      </c>
      <c r="D236" s="7" t="str">
        <f>IFERROR(__xludf.DUMMYFUNCTION("GoogleTranslate(C236, ""en"", ""es"")"),"Intensidad de la precipitación")</f>
        <v>Intensidad de la precipitación</v>
      </c>
      <c r="E236" s="7" t="str">
        <f>IFERROR(__xludf.DUMMYFUNCTION("GoogleTranslate(C236, ""en"", ""ar"")"),"شدة الهطول")</f>
        <v>شدة الهطول</v>
      </c>
      <c r="F236" s="7" t="str">
        <f>IFERROR(__xludf.DUMMYFUNCTION("GoogleTranslate(C236, ""en"", ""hy"")"),"Տեղումների ինտենսիվությունը")</f>
        <v>Տեղումների ինտենսիվությունը</v>
      </c>
      <c r="G236" s="7" t="str">
        <f>IFERROR(__xludf.DUMMYFUNCTION("GoogleTranslate(C236, ""en"", ""vi"")"),"Cường độ mưa")</f>
        <v>Cường độ mưa</v>
      </c>
      <c r="H236" s="7" t="str">
        <f>IFERROR(__xludf.DUMMYFUNCTION("GoogleTranslate(C236, ""en"", ""az"")"),"Yağıntının intensivliyi")</f>
        <v>Yağıntının intensivliyi</v>
      </c>
      <c r="I236" s="7" t="str">
        <f>IFERROR(__xludf.DUMMYFUNCTION("GoogleTranslate(C236, ""en"", ""eu"")"),"Precip Intentsitatea")</f>
        <v>Precip Intentsitatea</v>
      </c>
      <c r="J236" s="7" t="str">
        <f>IFERROR(__xludf.DUMMYFUNCTION("GoogleTranslate(C236, ""en"", ""be"")"),"Інтэнсіўнасць ападкаў")</f>
        <v>Інтэнсіўнасць ападкаў</v>
      </c>
      <c r="K236" s="7" t="str">
        <f>IFERROR(__xludf.DUMMYFUNCTION("GoogleTranslate(C236, ""en"", ""bn"")"),"বৃষ্টিপাতের তীব্রতা")</f>
        <v>বৃষ্টিপাতের তীব্রতা</v>
      </c>
      <c r="L236" s="7" t="str">
        <f>IFERROR(__xludf.DUMMYFUNCTION("GoogleTranslate(C236, ""en"", ""bg"")"),"Интензивност на валежите")</f>
        <v>Интензивност на валежите</v>
      </c>
      <c r="M236" s="7" t="str">
        <f>IFERROR(__xludf.DUMMYFUNCTION("GoogleTranslate(C236, ""en"", ""my"")"),"မိုးရွာသွန်းမှုပြင်းထန်မှု")</f>
        <v>မိုးရွာသွန်းမှုပြင်းထန်မှု</v>
      </c>
      <c r="N236" s="7" t="str">
        <f>IFERROR(__xludf.DUMMYFUNCTION("GoogleTranslate(C236, ""en"", ""ca"")"),"Intensitat de precipitació")</f>
        <v>Intensitat de precipitació</v>
      </c>
      <c r="O236" s="7" t="str">
        <f>IFERROR(__xludf.DUMMYFUNCTION("GoogleTranslate(C236, ""en"", ""zh-cn"")"),"降水强度")</f>
        <v>降水强度</v>
      </c>
      <c r="P236" s="7" t="str">
        <f>IFERROR(__xludf.DUMMYFUNCTION("GoogleTranslate(C236, ""en"", ""zh-TW"")"),"降水強度")</f>
        <v>降水強度</v>
      </c>
      <c r="Q236" s="7" t="str">
        <f>IFERROR(__xludf.DUMMYFUNCTION("GoogleTranslate(C236, ""en"", ""hr"")"),"Intenzitet oborina")</f>
        <v>Intenzitet oborina</v>
      </c>
      <c r="R236" s="7" t="str">
        <f>IFERROR(__xludf.DUMMYFUNCTION("GoogleTranslate(C236, ""en"", ""cs"")"),"Intenzita srážek")</f>
        <v>Intenzita srážek</v>
      </c>
      <c r="S236" s="7" t="str">
        <f>IFERROR(__xludf.DUMMYFUNCTION("GoogleTranslate(C236, ""en"", ""da"")"),"Nedbrydningsintensitet")</f>
        <v>Nedbrydningsintensitet</v>
      </c>
      <c r="T236" s="7" t="str">
        <f>IFERROR(__xludf.DUMMYFUNCTION("GoogleTranslate(C236, ""en"", ""nl"")"),"Neerslagintensiteit")</f>
        <v>Neerslagintensiteit</v>
      </c>
      <c r="U236" s="7" t="str">
        <f>IFERROR(__xludf.DUMMYFUNCTION("GoogleTranslate(C236, ""en"", ""et"")"),"Sademete intensiivsus")</f>
        <v>Sademete intensiivsus</v>
      </c>
      <c r="V236" s="5" t="str">
        <f t="shared" si="3"/>
        <v>Precip Intensity</v>
      </c>
      <c r="W236" s="7" t="str">
        <f>IFERROR(__xludf.DUMMYFUNCTION("GoogleTranslate(C236, ""en"", ""fi"")"),"Sateen voimakkuus")</f>
        <v>Sateen voimakkuus</v>
      </c>
      <c r="X236" s="7" t="str">
        <f>IFERROR(__xludf.DUMMYFUNCTION("GoogleTranslate(C236, ""en"", ""fr"")"),"Intensité des précipitations")</f>
        <v>Intensité des précipitations</v>
      </c>
      <c r="Y236" s="7" t="str">
        <f>IFERROR(__xludf.DUMMYFUNCTION("GoogleTranslate(C236, ""en"", ""de"")"),"Niederschlagsintensität")</f>
        <v>Niederschlagsintensität</v>
      </c>
      <c r="Z236" s="7" t="str">
        <f>IFERROR(__xludf.DUMMYFUNCTION("GoogleTranslate(C236, ""en"", ""el"")"),"Ένταση βροχόπτωσης")</f>
        <v>Ένταση βροχόπτωσης</v>
      </c>
      <c r="AA236" s="7" t="str">
        <f>IFERROR(__xludf.DUMMYFUNCTION("GoogleTranslate(C236, ""en"", ""iw"")"),"עוצמת משקעים")</f>
        <v>עוצמת משקעים</v>
      </c>
      <c r="AB236" s="7" t="str">
        <f>IFERROR(__xludf.DUMMYFUNCTION("GoogleTranslate(C236, ""en"", ""hi"")"),"वर्षा की तीव्रता")</f>
        <v>वर्षा की तीव्रता</v>
      </c>
      <c r="AC236" s="7" t="str">
        <f>IFERROR(__xludf.DUMMYFUNCTION("GoogleTranslate(C236, ""en"", ""hu"")"),"Csapadék intenzitása")</f>
        <v>Csapadék intenzitása</v>
      </c>
      <c r="AD236" s="7" t="str">
        <f>IFERROR(__xludf.DUMMYFUNCTION("GoogleTranslate(C236, ""en"", ""is"")"),"Úrkomustyrkur")</f>
        <v>Úrkomustyrkur</v>
      </c>
      <c r="AE236" s="7" t="str">
        <f>IFERROR(__xludf.DUMMYFUNCTION("GoogleTranslate(C236, ""en"", ""id"")"),"Intensitas Presipitasi")</f>
        <v>Intensitas Presipitasi</v>
      </c>
      <c r="AF236" s="7" t="str">
        <f>IFERROR(__xludf.DUMMYFUNCTION("GoogleTranslate(C236, ""en"", ""in"")"),"Intensitas Presipitasi")</f>
        <v>Intensitas Presipitasi</v>
      </c>
      <c r="AG236" s="7" t="str">
        <f>IFERROR(__xludf.DUMMYFUNCTION("GoogleTranslate(C236, ""en"", ""it"")"),"Intensità della precipitazione")</f>
        <v>Intensità della precipitazione</v>
      </c>
      <c r="AH236" s="7" t="str">
        <f>IFERROR(__xludf.DUMMYFUNCTION("GoogleTranslate(C236, ""en"", ""ja"")"),"降水強度")</f>
        <v>降水強度</v>
      </c>
      <c r="AI236" s="7" t="str">
        <f>IFERROR(__xludf.DUMMYFUNCTION("GoogleTranslate(C236, ""en"", ""kn"")"),"ಮಳೆಯ ತೀವ್ರತೆ")</f>
        <v>ಮಳೆಯ ತೀವ್ರತೆ</v>
      </c>
      <c r="AJ236" s="7" t="str">
        <f>IFERROR(__xludf.DUMMYFUNCTION("GoogleTranslate(C236, ""en"", ""km"")"),"អាំងតង់ស៊ីតេទឹកភ្លៀង")</f>
        <v>អាំងតង់ស៊ីតេទឹកភ្លៀង</v>
      </c>
      <c r="AK236" s="7" t="str">
        <f>IFERROR(__xludf.DUMMYFUNCTION("GoogleTranslate(C236, ""en"", ""ko"")"),"강수량 강도")</f>
        <v>강수량 강도</v>
      </c>
      <c r="AL236" s="7" t="str">
        <f>IFERROR(__xludf.DUMMYFUNCTION("GoogleTranslate(C236, ""en"", ""lo"")"),"ຄວາມເຂັ້ມຂຸ້ນຂອງ Precip")</f>
        <v>ຄວາມເຂັ້ມຂຸ້ນຂອງ Precip</v>
      </c>
      <c r="AM236" s="7" t="str">
        <f>IFERROR(__xludf.DUMMYFUNCTION("GoogleTranslate(C236, ""en"", ""lv"")"),"Nokrišņu intensitāte")</f>
        <v>Nokrišņu intensitāte</v>
      </c>
      <c r="AN236" s="7" t="str">
        <f>IFERROR(__xludf.DUMMYFUNCTION("GoogleTranslate(C236, ""en"", ""lt"")"),"Kritulių intensyvumas")</f>
        <v>Kritulių intensyvumas</v>
      </c>
      <c r="AO236" s="7" t="str">
        <f>IFERROR(__xludf.DUMMYFUNCTION("GoogleTranslate(C236, ""en"", ""mk"")"),"Интензитетот на врнежите")</f>
        <v>Интензитетот на врнежите</v>
      </c>
      <c r="AP236" s="7" t="str">
        <f>IFERROR(__xludf.DUMMYFUNCTION("GoogleTranslate(C236, ""en"", ""ms"")"),"Intensiti Hujan")</f>
        <v>Intensiti Hujan</v>
      </c>
      <c r="AQ236" s="7" t="str">
        <f>IFERROR(__xludf.DUMMYFUNCTION("GoogleTranslate(C236, ""en"", ""ml"")"),"മഴയുടെ തീവ്രത")</f>
        <v>മഴയുടെ തീവ്രത</v>
      </c>
      <c r="AR236" s="7" t="str">
        <f>IFERROR(__xludf.DUMMYFUNCTION("GoogleTranslate(C236, ""en"", ""mr"")"),"पर्जन्य तीव्रता")</f>
        <v>पर्जन्य तीव्रता</v>
      </c>
      <c r="AS236" s="7" t="str">
        <f>IFERROR(__xludf.DUMMYFUNCTION("GoogleTranslate(C236, ""en"", ""mn"")"),"Хур тунадасны эрчим")</f>
        <v>Хур тунадасны эрчим</v>
      </c>
      <c r="AT236" s="7" t="str">
        <f>IFERROR(__xludf.DUMMYFUNCTION("GoogleTranslate(C236, ""en"", ""ne"")"),"वर्षा तीव्रता")</f>
        <v>वर्षा तीव्रता</v>
      </c>
      <c r="AU236" s="7" t="str">
        <f>IFERROR(__xludf.DUMMYFUNCTION("GoogleTranslate(C236, ""en"", ""nb"")"),"Nedbørsintensitet")</f>
        <v>Nedbørsintensitet</v>
      </c>
      <c r="AV236" s="7" t="str">
        <f>IFERROR(__xludf.DUMMYFUNCTION("GoogleTranslate(C236, ""en"", ""fa"")"),"شدت بارش")</f>
        <v>شدت بارش</v>
      </c>
      <c r="AW236" s="7" t="str">
        <f>IFERROR(__xludf.DUMMYFUNCTION("GoogleTranslate(C236, ""en"", ""pl"")"),"Intensywność opadów")</f>
        <v>Intensywność opadów</v>
      </c>
      <c r="AX236" s="7" t="str">
        <f>IFERROR(__xludf.DUMMYFUNCTION("GoogleTranslate(C236, ""en"", ""pt"")"),"Intensidade de precipitação")</f>
        <v>Intensidade de precipitação</v>
      </c>
      <c r="AY236" s="7" t="str">
        <f>IFERROR(__xludf.DUMMYFUNCTION("GoogleTranslate(C236, ""en"", ""ro"")"),"Intensitatea precipitațiilor")</f>
        <v>Intensitatea precipitațiilor</v>
      </c>
      <c r="AZ236" s="7" t="str">
        <f>IFERROR(__xludf.DUMMYFUNCTION("GoogleTranslate(C236, ""en"", ""ru"")"),"Интенсивность осадков")</f>
        <v>Интенсивность осадков</v>
      </c>
      <c r="BA236" s="7" t="str">
        <f>IFERROR(__xludf.DUMMYFUNCTION("GoogleTranslate(C236, ""en"", ""sr"")"),"Интензитет падавина")</f>
        <v>Интензитет падавина</v>
      </c>
      <c r="BB236" s="7" t="str">
        <f>IFERROR(__xludf.DUMMYFUNCTION("GoogleTranslate(C236, ""en"", ""si"")"),"වර්ෂාපතන තීව්රතාව")</f>
        <v>වර්ෂාපතන තීව්රතාව</v>
      </c>
      <c r="BC236" s="7" t="str">
        <f>IFERROR(__xludf.DUMMYFUNCTION("GoogleTranslate(C236, ""en"", ""sk"")"),"Intenzita zrážok")</f>
        <v>Intenzita zrážok</v>
      </c>
      <c r="BD236" s="7" t="str">
        <f>IFERROR(__xludf.DUMMYFUNCTION("GoogleTranslate(C236, ""en"", ""sl"")"),"Intenzivnost padavin")</f>
        <v>Intenzivnost padavin</v>
      </c>
      <c r="BE236" s="7" t="str">
        <f>IFERROR(__xludf.DUMMYFUNCTION("GoogleTranslate(C236, ""en"", ""es"")"),"Intensidad de la precipitación")</f>
        <v>Intensidad de la precipitación</v>
      </c>
      <c r="BF236" s="7" t="str">
        <f>IFERROR(__xludf.DUMMYFUNCTION("GoogleTranslate(C236, ""en"", ""sw"")"),"Kiwango cha Mvua")</f>
        <v>Kiwango cha Mvua</v>
      </c>
      <c r="BG236" s="7" t="str">
        <f>IFERROR(__xludf.DUMMYFUNCTION("GoogleTranslate(C236, ""en"", ""sv"")"),"Nederbördsintensitet")</f>
        <v>Nederbördsintensitet</v>
      </c>
      <c r="BH236" s="7" t="str">
        <f>IFERROR(__xludf.DUMMYFUNCTION("GoogleTranslate(C236, ""en"", ""te"")"),"అవపాతం తీవ్రత")</f>
        <v>అవపాతం తీవ్రత</v>
      </c>
      <c r="BI236" s="7" t="str">
        <f>IFERROR(__xludf.DUMMYFUNCTION("GoogleTranslate(C236, ""en"", ""th"")"),"ความเข้มของฝน")</f>
        <v>ความเข้มของฝน</v>
      </c>
      <c r="BJ236" s="7" t="str">
        <f>IFERROR(__xludf.DUMMYFUNCTION("GoogleTranslate(C236, ""en"", ""tr"")"),"Yağış Yoğunluğu")</f>
        <v>Yağış Yoğunluğu</v>
      </c>
      <c r="BK236" s="7" t="str">
        <f>IFERROR(__xludf.DUMMYFUNCTION("GoogleTranslate(C236, ""en"", ""uk"")"),"Інтенсивність опадів")</f>
        <v>Інтенсивність опадів</v>
      </c>
      <c r="BL236" s="7" t="str">
        <f>IFERROR(__xludf.DUMMYFUNCTION("GoogleTranslate(C236, ""en"", ""zu"")"),"I-Precip Intensity")</f>
        <v>I-Precip Intensity</v>
      </c>
    </row>
    <row r="237">
      <c r="A237" s="5" t="str">
        <f t="shared" si="1"/>
        <v>Precip_Probability</v>
      </c>
      <c r="B237" s="4" t="s">
        <v>279</v>
      </c>
      <c r="C237" s="4" t="s">
        <v>279</v>
      </c>
      <c r="D237" s="7" t="str">
        <f>IFERROR(__xludf.DUMMYFUNCTION("GoogleTranslate(C237, ""en"", ""es"")"),"Probabilidad de precipitación")</f>
        <v>Probabilidad de precipitación</v>
      </c>
      <c r="E237" s="7" t="str">
        <f>IFERROR(__xludf.DUMMYFUNCTION("GoogleTranslate(C237, ""en"", ""ar"")"),"احتمالية الهطول")</f>
        <v>احتمالية الهطول</v>
      </c>
      <c r="F237" s="7" t="str">
        <f>IFERROR(__xludf.DUMMYFUNCTION("GoogleTranslate(C237, ""en"", ""hy"")"),"Անձրևի հավանականություն")</f>
        <v>Անձրևի հավանականություն</v>
      </c>
      <c r="G237" s="7" t="str">
        <f>IFERROR(__xludf.DUMMYFUNCTION("GoogleTranslate(C237, ""en"", ""vi"")"),"Xác suất mưa")</f>
        <v>Xác suất mưa</v>
      </c>
      <c r="H237" s="7" t="str">
        <f>IFERROR(__xludf.DUMMYFUNCTION("GoogleTranslate(C237, ""en"", ""az"")"),"Yağış ehtimalı")</f>
        <v>Yağış ehtimalı</v>
      </c>
      <c r="I237" s="7" t="str">
        <f>IFERROR(__xludf.DUMMYFUNCTION("GoogleTranslate(C237, ""en"", ""eu"")"),"Prezipitazioaren probabilitatea")</f>
        <v>Prezipitazioaren probabilitatea</v>
      </c>
      <c r="J237" s="7" t="str">
        <f>IFERROR(__xludf.DUMMYFUNCTION("GoogleTranslate(C237, ""en"", ""be"")"),"Верагоднасць ападкаў")</f>
        <v>Верагоднасць ападкаў</v>
      </c>
      <c r="K237" s="7" t="str">
        <f>IFERROR(__xludf.DUMMYFUNCTION("GoogleTranslate(C237, ""en"", ""bn"")"),"বৃষ্টিপাতের সম্ভাবনা")</f>
        <v>বৃষ্টিপাতের সম্ভাবনা</v>
      </c>
      <c r="L237" s="7" t="str">
        <f>IFERROR(__xludf.DUMMYFUNCTION("GoogleTranslate(C237, ""en"", ""bg"")"),"Вероятност за валеж")</f>
        <v>Вероятност за валеж</v>
      </c>
      <c r="M237" s="7" t="str">
        <f>IFERROR(__xludf.DUMMYFUNCTION("GoogleTranslate(C237, ""en"", ""my"")"),"မိုးရွာနိုင်ခြေ")</f>
        <v>မိုးရွာနိုင်ခြေ</v>
      </c>
      <c r="N237" s="7" t="str">
        <f>IFERROR(__xludf.DUMMYFUNCTION("GoogleTranslate(C237, ""en"", ""ca"")"),"Probabilitat de precipitació")</f>
        <v>Probabilitat de precipitació</v>
      </c>
      <c r="O237" s="7" t="str">
        <f>IFERROR(__xludf.DUMMYFUNCTION("GoogleTranslate(C237, ""en"", ""zh-cn"")"),"降水概率")</f>
        <v>降水概率</v>
      </c>
      <c r="P237" s="7" t="str">
        <f>IFERROR(__xludf.DUMMYFUNCTION("GoogleTranslate(C237, ""en"", ""zh-TW"")"),"降水機率")</f>
        <v>降水機率</v>
      </c>
      <c r="Q237" s="7" t="str">
        <f>IFERROR(__xludf.DUMMYFUNCTION("GoogleTranslate(C237, ""en"", ""hr"")"),"Vjerojatnost padavina")</f>
        <v>Vjerojatnost padavina</v>
      </c>
      <c r="R237" s="7" t="str">
        <f>IFERROR(__xludf.DUMMYFUNCTION("GoogleTranslate(C237, ""en"", ""cs"")"),"Pravděpodobnost srážek")</f>
        <v>Pravděpodobnost srážek</v>
      </c>
      <c r="S237" s="7" t="str">
        <f>IFERROR(__xludf.DUMMYFUNCTION("GoogleTranslate(C237, ""en"", ""da"")"),"Sandsynlighed for nedbør")</f>
        <v>Sandsynlighed for nedbør</v>
      </c>
      <c r="T237" s="7" t="str">
        <f>IFERROR(__xludf.DUMMYFUNCTION("GoogleTranslate(C237, ""en"", ""nl"")"),"Neerslagwaarschijnlijkheid")</f>
        <v>Neerslagwaarschijnlijkheid</v>
      </c>
      <c r="U237" s="7" t="str">
        <f>IFERROR(__xludf.DUMMYFUNCTION("GoogleTranslate(C237, ""en"", ""et"")"),"Sademete tõenäosus")</f>
        <v>Sademete tõenäosus</v>
      </c>
      <c r="V237" s="5" t="str">
        <f t="shared" si="3"/>
        <v>Precip Probability</v>
      </c>
      <c r="W237" s="7" t="str">
        <f>IFERROR(__xludf.DUMMYFUNCTION("GoogleTranslate(C237, ""en"", ""fi"")"),"Sateen todennäköisyys")</f>
        <v>Sateen todennäköisyys</v>
      </c>
      <c r="X237" s="7" t="str">
        <f>IFERROR(__xludf.DUMMYFUNCTION("GoogleTranslate(C237, ""en"", ""fr"")"),"Probabilité de précipitation")</f>
        <v>Probabilité de précipitation</v>
      </c>
      <c r="Y237" s="7" t="str">
        <f>IFERROR(__xludf.DUMMYFUNCTION("GoogleTranslate(C237, ""en"", ""de"")"),"Niederschlagswahrscheinlichkeit")</f>
        <v>Niederschlagswahrscheinlichkeit</v>
      </c>
      <c r="Z237" s="7" t="str">
        <f>IFERROR(__xludf.DUMMYFUNCTION("GoogleTranslate(C237, ""en"", ""el"")"),"Πιθανότητα βροχόπτωσης")</f>
        <v>Πιθανότητα βροχόπτωσης</v>
      </c>
      <c r="AA237" s="7" t="str">
        <f>IFERROR(__xludf.DUMMYFUNCTION("GoogleTranslate(C237, ""en"", ""iw"")"),"הסתברות משקעים")</f>
        <v>הסתברות משקעים</v>
      </c>
      <c r="AB237" s="7" t="str">
        <f>IFERROR(__xludf.DUMMYFUNCTION("GoogleTranslate(C237, ""en"", ""hi"")"),"वर्षा की संभावना")</f>
        <v>वर्षा की संभावना</v>
      </c>
      <c r="AC237" s="7" t="str">
        <f>IFERROR(__xludf.DUMMYFUNCTION("GoogleTranslate(C237, ""en"", ""hu"")"),"Csapadék valószínűsége")</f>
        <v>Csapadék valószínűsége</v>
      </c>
      <c r="AD237" s="7" t="str">
        <f>IFERROR(__xludf.DUMMYFUNCTION("GoogleTranslate(C237, ""en"", ""is"")"),"Líkur á úrkomu")</f>
        <v>Líkur á úrkomu</v>
      </c>
      <c r="AE237" s="7" t="str">
        <f>IFERROR(__xludf.DUMMYFUNCTION("GoogleTranslate(C237, ""en"", ""id"")"),"Probabilitas Tetesan")</f>
        <v>Probabilitas Tetesan</v>
      </c>
      <c r="AF237" s="7" t="str">
        <f>IFERROR(__xludf.DUMMYFUNCTION("GoogleTranslate(C237, ""en"", ""in"")"),"Probabilitas Tetesan")</f>
        <v>Probabilitas Tetesan</v>
      </c>
      <c r="AG237" s="7" t="str">
        <f>IFERROR(__xludf.DUMMYFUNCTION("GoogleTranslate(C237, ""en"", ""it"")"),"Probabilità di precipitazione")</f>
        <v>Probabilità di precipitazione</v>
      </c>
      <c r="AH237" s="7" t="str">
        <f>IFERROR(__xludf.DUMMYFUNCTION("GoogleTranslate(C237, ""en"", ""ja"")"),"降水確率")</f>
        <v>降水確率</v>
      </c>
      <c r="AI237" s="7" t="str">
        <f>IFERROR(__xludf.DUMMYFUNCTION("GoogleTranslate(C237, ""en"", ""kn"")"),"ಅವಕ್ಷೇಪನ ಸಂಭವನೀಯತೆ")</f>
        <v>ಅವಕ್ಷೇಪನ ಸಂಭವನೀಯತೆ</v>
      </c>
      <c r="AJ237" s="7" t="str">
        <f>IFERROR(__xludf.DUMMYFUNCTION("GoogleTranslate(C237, ""en"", ""km"")"),"ប្រូបាប៊ីលីតេនៃទឹកភ្លៀង")</f>
        <v>ប្រូបាប៊ីលីតេនៃទឹកភ្លៀង</v>
      </c>
      <c r="AK237" s="7" t="str">
        <f>IFERROR(__xludf.DUMMYFUNCTION("GoogleTranslate(C237, ""en"", ""ko"")"),"강수확률")</f>
        <v>강수확률</v>
      </c>
      <c r="AL237" s="7" t="str">
        <f>IFERROR(__xludf.DUMMYFUNCTION("GoogleTranslate(C237, ""en"", ""lo"")"),"ຄວາມເປັນໄປໄດ້ຂອງ Precip")</f>
        <v>ຄວາມເປັນໄປໄດ້ຂອງ Precip</v>
      </c>
      <c r="AM237" s="7" t="str">
        <f>IFERROR(__xludf.DUMMYFUNCTION("GoogleTranslate(C237, ""en"", ""lv"")"),"Nokrišņu varbūtība")</f>
        <v>Nokrišņu varbūtība</v>
      </c>
      <c r="AN237" s="7" t="str">
        <f>IFERROR(__xludf.DUMMYFUNCTION("GoogleTranslate(C237, ""en"", ""lt"")"),"Kritulių tikimybė")</f>
        <v>Kritulių tikimybė</v>
      </c>
      <c r="AO237" s="7" t="str">
        <f>IFERROR(__xludf.DUMMYFUNCTION("GoogleTranslate(C237, ""en"", ""mk"")"),"Веројатност за врнежи")</f>
        <v>Веројатност за врнежи</v>
      </c>
      <c r="AP237" s="7" t="str">
        <f>IFERROR(__xludf.DUMMYFUNCTION("GoogleTranslate(C237, ""en"", ""ms"")"),"Kebarangkalian Presip")</f>
        <v>Kebarangkalian Presip</v>
      </c>
      <c r="AQ237" s="7" t="str">
        <f>IFERROR(__xludf.DUMMYFUNCTION("GoogleTranslate(C237, ""en"", ""ml"")"),"മഴ പെയ്യാനുള്ള സാധ്യത")</f>
        <v>മഴ പെയ്യാനുള്ള സാധ്യത</v>
      </c>
      <c r="AR237" s="7" t="str">
        <f>IFERROR(__xludf.DUMMYFUNCTION("GoogleTranslate(C237, ""en"", ""mr"")"),"वर्षाव संभाव्यता")</f>
        <v>वर्षाव संभाव्यता</v>
      </c>
      <c r="AS237" s="7" t="str">
        <f>IFERROR(__xludf.DUMMYFUNCTION("GoogleTranslate(C237, ""en"", ""mn"")"),"Хур тунадас орох магадлал")</f>
        <v>Хур тунадас орох магадлал</v>
      </c>
      <c r="AT237" s="7" t="str">
        <f>IFERROR(__xludf.DUMMYFUNCTION("GoogleTranslate(C237, ""en"", ""ne"")"),"Precip सम्भाव्यता")</f>
        <v>Precip सम्भाव्यता</v>
      </c>
      <c r="AU237" s="7" t="str">
        <f>IFERROR(__xludf.DUMMYFUNCTION("GoogleTranslate(C237, ""en"", ""nb"")"),"Sannsynlighet for nedbør")</f>
        <v>Sannsynlighet for nedbør</v>
      </c>
      <c r="AV237" s="7" t="str">
        <f>IFERROR(__xludf.DUMMYFUNCTION("GoogleTranslate(C237, ""en"", ""fa"")"),"احتمال بارش")</f>
        <v>احتمال بارش</v>
      </c>
      <c r="AW237" s="7" t="str">
        <f>IFERROR(__xludf.DUMMYFUNCTION("GoogleTranslate(C237, ""en"", ""pl"")"),"Prawdopodobieństwo opadów")</f>
        <v>Prawdopodobieństwo opadów</v>
      </c>
      <c r="AX237" s="7" t="str">
        <f>IFERROR(__xludf.DUMMYFUNCTION("GoogleTranslate(C237, ""en"", ""pt"")"),"Probabilidade de precipitação")</f>
        <v>Probabilidade de precipitação</v>
      </c>
      <c r="AY237" s="7" t="str">
        <f>IFERROR(__xludf.DUMMYFUNCTION("GoogleTranslate(C237, ""en"", ""ro"")"),"Probabilitatea precipitațiilor")</f>
        <v>Probabilitatea precipitațiilor</v>
      </c>
      <c r="AZ237" s="7" t="str">
        <f>IFERROR(__xludf.DUMMYFUNCTION("GoogleTranslate(C237, ""en"", ""ru"")"),"Вероятность осадков")</f>
        <v>Вероятность осадков</v>
      </c>
      <c r="BA237" s="7" t="str">
        <f>IFERROR(__xludf.DUMMYFUNCTION("GoogleTranslate(C237, ""en"", ""sr"")"),"Вероватноћа падавина")</f>
        <v>Вероватноћа падавина</v>
      </c>
      <c r="BB237" s="7" t="str">
        <f>IFERROR(__xludf.DUMMYFUNCTION("GoogleTranslate(C237, ""en"", ""si"")"),"වර්ෂාපතන සම්භාවිතාව")</f>
        <v>වර්ෂාපතන සම්භාවිතාව</v>
      </c>
      <c r="BC237" s="7" t="str">
        <f>IFERROR(__xludf.DUMMYFUNCTION("GoogleTranslate(C237, ""en"", ""sk"")"),"Pravdepodobnosť zrážok")</f>
        <v>Pravdepodobnosť zrážok</v>
      </c>
      <c r="BD237" s="7" t="str">
        <f>IFERROR(__xludf.DUMMYFUNCTION("GoogleTranslate(C237, ""en"", ""sl"")"),"Verjetnost padavin")</f>
        <v>Verjetnost padavin</v>
      </c>
      <c r="BE237" s="7" t="str">
        <f>IFERROR(__xludf.DUMMYFUNCTION("GoogleTranslate(C237, ""en"", ""es"")"),"Probabilidad de precipitación")</f>
        <v>Probabilidad de precipitación</v>
      </c>
      <c r="BF237" s="7" t="str">
        <f>IFERROR(__xludf.DUMMYFUNCTION("GoogleTranslate(C237, ""en"", ""sw"")"),"Uwezekano wa Kunyesha")</f>
        <v>Uwezekano wa Kunyesha</v>
      </c>
      <c r="BG237" s="7" t="str">
        <f>IFERROR(__xludf.DUMMYFUNCTION("GoogleTranslate(C237, ""en"", ""sv"")"),"Sannolikhet för nederbörd")</f>
        <v>Sannolikhet för nederbörd</v>
      </c>
      <c r="BH237" s="7" t="str">
        <f>IFERROR(__xludf.DUMMYFUNCTION("GoogleTranslate(C237, ""en"", ""te"")"),"అవపాతం సంభావ్యత")</f>
        <v>అవపాతం సంభావ్యత</v>
      </c>
      <c r="BI237" s="7" t="str">
        <f>IFERROR(__xludf.DUMMYFUNCTION("GoogleTranslate(C237, ""en"", ""th"")"),"ความน่าจะเป็นของปริมาณน้ำฝน")</f>
        <v>ความน่าจะเป็นของปริมาณน้ำฝน</v>
      </c>
      <c r="BJ237" s="7" t="str">
        <f>IFERROR(__xludf.DUMMYFUNCTION("GoogleTranslate(C237, ""en"", ""tr"")"),"Yağış Olasılığı")</f>
        <v>Yağış Olasılığı</v>
      </c>
      <c r="BK237" s="7" t="str">
        <f>IFERROR(__xludf.DUMMYFUNCTION("GoogleTranslate(C237, ""en"", ""uk"")"),"Імовірність опадів")</f>
        <v>Імовірність опадів</v>
      </c>
      <c r="BL237" s="7" t="str">
        <f>IFERROR(__xludf.DUMMYFUNCTION("GoogleTranslate(C237, ""en"", ""zu"")"),"I-Precip Probability")</f>
        <v>I-Precip Probability</v>
      </c>
    </row>
    <row r="238">
      <c r="A238" s="5" t="str">
        <f t="shared" si="1"/>
        <v>Today</v>
      </c>
      <c r="B238" s="4" t="s">
        <v>280</v>
      </c>
      <c r="C238" s="4" t="s">
        <v>280</v>
      </c>
      <c r="D238" s="7" t="str">
        <f>IFERROR(__xludf.DUMMYFUNCTION("GoogleTranslate(C238, ""en"", ""es"")"),"Hoy")</f>
        <v>Hoy</v>
      </c>
      <c r="E238" s="7" t="str">
        <f>IFERROR(__xludf.DUMMYFUNCTION("GoogleTranslate(C238, ""en"", ""ar"")"),"اليوم")</f>
        <v>اليوم</v>
      </c>
      <c r="F238" s="7" t="str">
        <f>IFERROR(__xludf.DUMMYFUNCTION("GoogleTranslate(C238, ""en"", ""hy"")"),"Այսօր")</f>
        <v>Այսօր</v>
      </c>
      <c r="G238" s="7" t="str">
        <f>IFERROR(__xludf.DUMMYFUNCTION("GoogleTranslate(C238, ""en"", ""vi"")"),"Hôm nay")</f>
        <v>Hôm nay</v>
      </c>
      <c r="H238" s="7" t="str">
        <f>IFERROR(__xludf.DUMMYFUNCTION("GoogleTranslate(C238, ""en"", ""az"")"),"Bu gün")</f>
        <v>Bu gün</v>
      </c>
      <c r="I238" s="7" t="str">
        <f>IFERROR(__xludf.DUMMYFUNCTION("GoogleTranslate(C238, ""en"", ""eu"")"),"Gaur")</f>
        <v>Gaur</v>
      </c>
      <c r="J238" s="7" t="str">
        <f>IFERROR(__xludf.DUMMYFUNCTION("GoogleTranslate(C238, ""en"", ""be"")"),"сёння")</f>
        <v>сёння</v>
      </c>
      <c r="K238" s="7" t="str">
        <f>IFERROR(__xludf.DUMMYFUNCTION("GoogleTranslate(C238, ""en"", ""bn"")"),"আজ")</f>
        <v>আজ</v>
      </c>
      <c r="L238" s="7" t="str">
        <f>IFERROR(__xludf.DUMMYFUNCTION("GoogleTranslate(C238, ""en"", ""bg"")"),"Днес")</f>
        <v>Днес</v>
      </c>
      <c r="M238" s="7" t="str">
        <f>IFERROR(__xludf.DUMMYFUNCTION("GoogleTranslate(C238, ""en"", ""my"")"),"ဒီနေ့")</f>
        <v>ဒီနေ့</v>
      </c>
      <c r="N238" s="7" t="str">
        <f>IFERROR(__xludf.DUMMYFUNCTION("GoogleTranslate(C238, ""en"", ""ca"")"),"Avui")</f>
        <v>Avui</v>
      </c>
      <c r="O238" s="7" t="str">
        <f>IFERROR(__xludf.DUMMYFUNCTION("GoogleTranslate(C238, ""en"", ""zh-cn"")"),"今天")</f>
        <v>今天</v>
      </c>
      <c r="P238" s="7" t="str">
        <f>IFERROR(__xludf.DUMMYFUNCTION("GoogleTranslate(C238, ""en"", ""zh-TW"")"),"今天")</f>
        <v>今天</v>
      </c>
      <c r="Q238" s="7" t="str">
        <f>IFERROR(__xludf.DUMMYFUNCTION("GoogleTranslate(C238, ""en"", ""hr"")"),"Danas")</f>
        <v>Danas</v>
      </c>
      <c r="R238" s="7" t="str">
        <f>IFERROR(__xludf.DUMMYFUNCTION("GoogleTranslate(C238, ""en"", ""cs"")"),"Dnes")</f>
        <v>Dnes</v>
      </c>
      <c r="S238" s="7" t="str">
        <f>IFERROR(__xludf.DUMMYFUNCTION("GoogleTranslate(C238, ""en"", ""da"")"),"I dag")</f>
        <v>I dag</v>
      </c>
      <c r="T238" s="7" t="str">
        <f>IFERROR(__xludf.DUMMYFUNCTION("GoogleTranslate(C238, ""en"", ""nl"")"),"Vandaag")</f>
        <v>Vandaag</v>
      </c>
      <c r="U238" s="7" t="str">
        <f>IFERROR(__xludf.DUMMYFUNCTION("GoogleTranslate(C238, ""en"", ""et"")"),"Täna")</f>
        <v>Täna</v>
      </c>
      <c r="V238" s="5" t="str">
        <f t="shared" si="3"/>
        <v>Today</v>
      </c>
      <c r="W238" s="7" t="str">
        <f>IFERROR(__xludf.DUMMYFUNCTION("GoogleTranslate(C238, ""en"", ""fi"")"),"Tänään")</f>
        <v>Tänään</v>
      </c>
      <c r="X238" s="7" t="str">
        <f>IFERROR(__xludf.DUMMYFUNCTION("GoogleTranslate(C238, ""en"", ""fr"")"),"Aujourd'hui")</f>
        <v>Aujourd'hui</v>
      </c>
      <c r="Y238" s="7" t="str">
        <f>IFERROR(__xludf.DUMMYFUNCTION("GoogleTranslate(C238, ""en"", ""de"")"),"Heute")</f>
        <v>Heute</v>
      </c>
      <c r="Z238" s="7" t="str">
        <f>IFERROR(__xludf.DUMMYFUNCTION("GoogleTranslate(C238, ""en"", ""el"")"),"Σήμερα")</f>
        <v>Σήμερα</v>
      </c>
      <c r="AA238" s="7" t="str">
        <f>IFERROR(__xludf.DUMMYFUNCTION("GoogleTranslate(C238, ""en"", ""iw"")"),"הַיוֹם")</f>
        <v>הַיוֹם</v>
      </c>
      <c r="AB238" s="7" t="str">
        <f>IFERROR(__xludf.DUMMYFUNCTION("GoogleTranslate(C238, ""en"", ""hi"")"),"आज")</f>
        <v>आज</v>
      </c>
      <c r="AC238" s="7" t="str">
        <f>IFERROR(__xludf.DUMMYFUNCTION("GoogleTranslate(C238, ""en"", ""hu"")"),"Ma")</f>
        <v>Ma</v>
      </c>
      <c r="AD238" s="7" t="str">
        <f>IFERROR(__xludf.DUMMYFUNCTION("GoogleTranslate(C238, ""en"", ""is"")"),"Í dag")</f>
        <v>Í dag</v>
      </c>
      <c r="AE238" s="7" t="str">
        <f>IFERROR(__xludf.DUMMYFUNCTION("GoogleTranslate(C238, ""en"", ""id"")"),"Hari ini")</f>
        <v>Hari ini</v>
      </c>
      <c r="AF238" s="7" t="str">
        <f>IFERROR(__xludf.DUMMYFUNCTION("GoogleTranslate(C238, ""en"", ""in"")"),"Hari ini")</f>
        <v>Hari ini</v>
      </c>
      <c r="AG238" s="7" t="str">
        <f>IFERROR(__xludf.DUMMYFUNCTION("GoogleTranslate(C238, ""en"", ""it"")"),"Oggi")</f>
        <v>Oggi</v>
      </c>
      <c r="AH238" s="7" t="str">
        <f>IFERROR(__xludf.DUMMYFUNCTION("GoogleTranslate(C238, ""en"", ""ja"")"),"今日")</f>
        <v>今日</v>
      </c>
      <c r="AI238" s="7" t="str">
        <f>IFERROR(__xludf.DUMMYFUNCTION("GoogleTranslate(C238, ""en"", ""kn"")"),"ಇಂದು")</f>
        <v>ಇಂದು</v>
      </c>
      <c r="AJ238" s="7" t="str">
        <f>IFERROR(__xludf.DUMMYFUNCTION("GoogleTranslate(C238, ""en"", ""km"")"),"ថ្ងៃនេះ")</f>
        <v>ថ្ងៃនេះ</v>
      </c>
      <c r="AK238" s="7" t="str">
        <f>IFERROR(__xludf.DUMMYFUNCTION("GoogleTranslate(C238, ""en"", ""ko"")"),"오늘")</f>
        <v>오늘</v>
      </c>
      <c r="AL238" s="7" t="str">
        <f>IFERROR(__xludf.DUMMYFUNCTION("GoogleTranslate(C238, ""en"", ""lo"")"),"ມື້ນີ້")</f>
        <v>ມື້ນີ້</v>
      </c>
      <c r="AM238" s="7" t="str">
        <f>IFERROR(__xludf.DUMMYFUNCTION("GoogleTranslate(C238, ""en"", ""lv"")"),"Šodien")</f>
        <v>Šodien</v>
      </c>
      <c r="AN238" s="7" t="str">
        <f>IFERROR(__xludf.DUMMYFUNCTION("GoogleTranslate(C238, ""en"", ""lt"")"),"Šiandien")</f>
        <v>Šiandien</v>
      </c>
      <c r="AO238" s="7" t="str">
        <f>IFERROR(__xludf.DUMMYFUNCTION("GoogleTranslate(C238, ""en"", ""mk"")"),"Денес")</f>
        <v>Денес</v>
      </c>
      <c r="AP238" s="7" t="str">
        <f>IFERROR(__xludf.DUMMYFUNCTION("GoogleTranslate(C238, ""en"", ""ms"")"),"Hari ini")</f>
        <v>Hari ini</v>
      </c>
      <c r="AQ238" s="7" t="str">
        <f>IFERROR(__xludf.DUMMYFUNCTION("GoogleTranslate(C238, ""en"", ""ml"")"),"ഇന്ന്")</f>
        <v>ഇന്ന്</v>
      </c>
      <c r="AR238" s="7" t="str">
        <f>IFERROR(__xludf.DUMMYFUNCTION("GoogleTranslate(C238, ""en"", ""mr"")"),"आज")</f>
        <v>आज</v>
      </c>
      <c r="AS238" s="7" t="str">
        <f>IFERROR(__xludf.DUMMYFUNCTION("GoogleTranslate(C238, ""en"", ""mn"")"),"Өнөөдөр")</f>
        <v>Өнөөдөр</v>
      </c>
      <c r="AT238" s="7" t="str">
        <f>IFERROR(__xludf.DUMMYFUNCTION("GoogleTranslate(C238, ""en"", ""ne"")"),"आज")</f>
        <v>आज</v>
      </c>
      <c r="AU238" s="7" t="str">
        <f>IFERROR(__xludf.DUMMYFUNCTION("GoogleTranslate(C238, ""en"", ""nb"")"),"I dag")</f>
        <v>I dag</v>
      </c>
      <c r="AV238" s="7" t="str">
        <f>IFERROR(__xludf.DUMMYFUNCTION("GoogleTranslate(C238, ""en"", ""fa"")"),"امروز")</f>
        <v>امروز</v>
      </c>
      <c r="AW238" s="7" t="str">
        <f>IFERROR(__xludf.DUMMYFUNCTION("GoogleTranslate(C238, ""en"", ""pl"")"),"Dzisiaj")</f>
        <v>Dzisiaj</v>
      </c>
      <c r="AX238" s="7" t="str">
        <f>IFERROR(__xludf.DUMMYFUNCTION("GoogleTranslate(C238, ""en"", ""pt"")"),"Hoje")</f>
        <v>Hoje</v>
      </c>
      <c r="AY238" s="7" t="str">
        <f>IFERROR(__xludf.DUMMYFUNCTION("GoogleTranslate(C238, ""en"", ""ro"")"),"Astăzi")</f>
        <v>Astăzi</v>
      </c>
      <c r="AZ238" s="7" t="str">
        <f>IFERROR(__xludf.DUMMYFUNCTION("GoogleTranslate(C238, ""en"", ""ru"")"),"Сегодня")</f>
        <v>Сегодня</v>
      </c>
      <c r="BA238" s="7" t="str">
        <f>IFERROR(__xludf.DUMMYFUNCTION("GoogleTranslate(C238, ""en"", ""sr"")"),"данас")</f>
        <v>данас</v>
      </c>
      <c r="BB238" s="7" t="str">
        <f>IFERROR(__xludf.DUMMYFUNCTION("GoogleTranslate(C238, ""en"", ""si"")"),"අද")</f>
        <v>අද</v>
      </c>
      <c r="BC238" s="7" t="str">
        <f>IFERROR(__xludf.DUMMYFUNCTION("GoogleTranslate(C238, ""en"", ""sk"")"),"Dnes")</f>
        <v>Dnes</v>
      </c>
      <c r="BD238" s="7" t="str">
        <f>IFERROR(__xludf.DUMMYFUNCTION("GoogleTranslate(C238, ""en"", ""sl"")"),"Danes")</f>
        <v>Danes</v>
      </c>
      <c r="BE238" s="7" t="str">
        <f>IFERROR(__xludf.DUMMYFUNCTION("GoogleTranslate(C238, ""en"", ""es"")"),"Hoy")</f>
        <v>Hoy</v>
      </c>
      <c r="BF238" s="7" t="str">
        <f>IFERROR(__xludf.DUMMYFUNCTION("GoogleTranslate(C238, ""en"", ""sw"")"),"Leo")</f>
        <v>Leo</v>
      </c>
      <c r="BG238" s="7" t="str">
        <f>IFERROR(__xludf.DUMMYFUNCTION("GoogleTranslate(C238, ""en"", ""sv"")"),"I dag")</f>
        <v>I dag</v>
      </c>
      <c r="BH238" s="7" t="str">
        <f>IFERROR(__xludf.DUMMYFUNCTION("GoogleTranslate(C238, ""en"", ""te"")"),"ఈరోజు")</f>
        <v>ఈరోజు</v>
      </c>
      <c r="BI238" s="7" t="str">
        <f>IFERROR(__xludf.DUMMYFUNCTION("GoogleTranslate(C238, ""en"", ""th"")"),"วันนี้")</f>
        <v>วันนี้</v>
      </c>
      <c r="BJ238" s="7" t="str">
        <f>IFERROR(__xludf.DUMMYFUNCTION("GoogleTranslate(C238, ""en"", ""tr"")"),"Bugün")</f>
        <v>Bugün</v>
      </c>
      <c r="BK238" s="7" t="str">
        <f>IFERROR(__xludf.DUMMYFUNCTION("GoogleTranslate(C238, ""en"", ""uk"")"),"Сьогодні")</f>
        <v>Сьогодні</v>
      </c>
      <c r="BL238" s="7" t="str">
        <f>IFERROR(__xludf.DUMMYFUNCTION("GoogleTranslate(C238, ""en"", ""zu"")"),"Namuhla")</f>
        <v>Namuhla</v>
      </c>
    </row>
    <row r="239">
      <c r="A239" s="5" t="str">
        <f t="shared" si="1"/>
        <v>The_dew_point_is_{number}°_right_now</v>
      </c>
      <c r="B239" s="4" t="s">
        <v>281</v>
      </c>
      <c r="C239" s="4" t="s">
        <v>281</v>
      </c>
      <c r="D239" s="7" t="str">
        <f>IFERROR(__xludf.DUMMYFUNCTION("GoogleTranslate(C239, ""en"", ""es"")"),"El punto de rocío es {número}° en este momento")</f>
        <v>El punto de rocío es {número}° en este momento</v>
      </c>
      <c r="E239" s="7" t="str">
        <f>IFERROR(__xludf.DUMMYFUNCTION("GoogleTranslate(C239, ""en"", ""ar"")"),"نقطة الندى هي {number}° الآن")</f>
        <v>نقطة الندى هي {number}° الآن</v>
      </c>
      <c r="F239" s="7" t="str">
        <f>IFERROR(__xludf.DUMMYFUNCTION("GoogleTranslate(C239, ""en"", ""hy"")"),"Ցողի կետն այս պահին {թիվ}° է")</f>
        <v>Ցողի կետն այս պահին {թիվ}° է</v>
      </c>
      <c r="G239" s="7" t="str">
        <f>IFERROR(__xludf.DUMMYFUNCTION("GoogleTranslate(C239, ""en"", ""vi"")"),"Điểm sương lúc này là {number}°")</f>
        <v>Điểm sương lúc này là {number}°</v>
      </c>
      <c r="H239" s="7" t="str">
        <f>IFERROR(__xludf.DUMMYFUNCTION("GoogleTranslate(C239, ""en"", ""az"")"),"Çiy nöqtəsi hazırda {number}°-dir")</f>
        <v>Çiy nöqtəsi hazırda {number}°-dir</v>
      </c>
      <c r="I239" s="7" t="str">
        <f>IFERROR(__xludf.DUMMYFUNCTION("GoogleTranslate(C239, ""en"", ""eu"")"),"Ihintz-puntua {zenbakia}°-koa da une honetan")</f>
        <v>Ihintz-puntua {zenbakia}°-koa da une honetan</v>
      </c>
      <c r="J239" s="7" t="str">
        <f>IFERROR(__xludf.DUMMYFUNCTION("GoogleTranslate(C239, ""en"", ""be"")"),"Зараз кропка расы складае {number}°")</f>
        <v>Зараз кропка расы складае {number}°</v>
      </c>
      <c r="K239" s="7" t="str">
        <f>IFERROR(__xludf.DUMMYFUNCTION("GoogleTranslate(C239, ""en"", ""bn"")"),"শিশির বিন্দু এই মুহূর্তে {number}°")</f>
        <v>শিশির বিন্দু এই মুহূর্তে {number}°</v>
      </c>
      <c r="L239" s="7" t="str">
        <f>IFERROR(__xludf.DUMMYFUNCTION("GoogleTranslate(C239, ""en"", ""bg"")"),"Точката на оросяване е {number}° в момента")</f>
        <v>Точката на оросяване е {number}° в момента</v>
      </c>
      <c r="M239" s="7" t="str">
        <f>IFERROR(__xludf.DUMMYFUNCTION("GoogleTranslate(C239, ""en"", ""my"")"),"ယခုအချိန်တွင် နှင်းရည်အမှတ်သည် {number}° ဖြစ်သည်။")</f>
        <v>ယခုအချိန်တွင် နှင်းရည်အမှတ်သည် {number}° ဖြစ်သည်။</v>
      </c>
      <c r="N239" s="7" t="str">
        <f>IFERROR(__xludf.DUMMYFUNCTION("GoogleTranslate(C239, ""en"", ""ca"")"),"El punt de rosada és de {nombre}° ara mateix")</f>
        <v>El punt de rosada és de {nombre}° ara mateix</v>
      </c>
      <c r="O239" s="7" t="str">
        <f>IFERROR(__xludf.DUMMYFUNCTION("GoogleTranslate(C239, ""en"", ""zh-cn"")"),"现在露点是 {number}°")</f>
        <v>现在露点是 {number}°</v>
      </c>
      <c r="P239" s="7" t="str">
        <f>IFERROR(__xludf.DUMMYFUNCTION("GoogleTranslate(C239, ""en"", ""zh-TW"")"),"現在露點是 {number}°")</f>
        <v>現在露點是 {number}°</v>
      </c>
      <c r="Q239" s="7" t="str">
        <f>IFERROR(__xludf.DUMMYFUNCTION("GoogleTranslate(C239, ""en"", ""hr"")"),"Rosište je trenutno {number}°")</f>
        <v>Rosište je trenutno {number}°</v>
      </c>
      <c r="R239" s="7" t="str">
        <f>IFERROR(__xludf.DUMMYFUNCTION("GoogleTranslate(C239, ""en"", ""cs"")"),"Rosný bod je právě {number}°")</f>
        <v>Rosný bod je právě {number}°</v>
      </c>
      <c r="S239" s="7" t="str">
        <f>IFERROR(__xludf.DUMMYFUNCTION("GoogleTranslate(C239, ""en"", ""da"")"),"Dugpunktet er {number}° lige nu")</f>
        <v>Dugpunktet er {number}° lige nu</v>
      </c>
      <c r="T239" s="7" t="str">
        <f>IFERROR(__xludf.DUMMYFUNCTION("GoogleTranslate(C239, ""en"", ""nl"")"),"Het dauwpunt is momenteel {number}°")</f>
        <v>Het dauwpunt is momenteel {number}°</v>
      </c>
      <c r="U239" s="7" t="str">
        <f>IFERROR(__xludf.DUMMYFUNCTION("GoogleTranslate(C239, ""en"", ""et"")"),"Kastepunkt on praegu {number}°")</f>
        <v>Kastepunkt on praegu {number}°</v>
      </c>
      <c r="V239" s="5" t="str">
        <f t="shared" si="3"/>
        <v>The dew point is {number}° right now</v>
      </c>
      <c r="W239" s="7" t="str">
        <f>IFERROR(__xludf.DUMMYFUNCTION("GoogleTranslate(C239, ""en"", ""fi"")"),"Kastepiste on tällä hetkellä {number}°")</f>
        <v>Kastepiste on tällä hetkellä {number}°</v>
      </c>
      <c r="X239" s="7" t="str">
        <f>IFERROR(__xludf.DUMMYFUNCTION("GoogleTranslate(C239, ""en"", ""fr"")"),"Le point de rosée est actuellement de {number} °")</f>
        <v>Le point de rosée est actuellement de {number} °</v>
      </c>
      <c r="Y239" s="7" t="str">
        <f>IFERROR(__xludf.DUMMYFUNCTION("GoogleTranslate(C239, ""en"", ""de"")"),"Der Taupunkt liegt derzeit bei {Zahl}°")</f>
        <v>Der Taupunkt liegt derzeit bei {Zahl}°</v>
      </c>
      <c r="Z239" s="7" t="str">
        <f>IFERROR(__xludf.DUMMYFUNCTION("GoogleTranslate(C239, ""en"", ""el"")"),"Το σημείο δρόσου είναι {number}° αυτή τη στιγμή")</f>
        <v>Το σημείο δρόσου είναι {number}° αυτή τη στιγμή</v>
      </c>
      <c r="AA239" s="7" t="str">
        <f>IFERROR(__xludf.DUMMYFUNCTION("GoogleTranslate(C239, ""en"", ""iw"")"),"נקודת הטל היא {number}° כרגע")</f>
        <v>נקודת הטל היא {number}° כרגע</v>
      </c>
      <c r="AB239" s="7" t="str">
        <f>IFERROR(__xludf.DUMMYFUNCTION("GoogleTranslate(C239, ""en"", ""hi"")"),"अभी ओस बिंदु {संख्या}° है")</f>
        <v>अभी ओस बिंदु {संख्या}° है</v>
      </c>
      <c r="AC239" s="7" t="str">
        <f>IFERROR(__xludf.DUMMYFUNCTION("GoogleTranslate(C239, ""en"", ""hu"")"),"A harmatpont jelenleg {szám}°")</f>
        <v>A harmatpont jelenleg {szám}°</v>
      </c>
      <c r="AD239" s="7" t="str">
        <f>IFERROR(__xludf.DUMMYFUNCTION("GoogleTranslate(C239, ""en"", ""is"")"),"Daggarmarkið er {number}° núna")</f>
        <v>Daggarmarkið er {number}° núna</v>
      </c>
      <c r="AE239" s="7" t="str">
        <f>IFERROR(__xludf.DUMMYFUNCTION("GoogleTranslate(C239, ""en"", ""id"")"),"Titik embun saat ini adalah {number}°")</f>
        <v>Titik embun saat ini adalah {number}°</v>
      </c>
      <c r="AF239" s="7" t="str">
        <f>IFERROR(__xludf.DUMMYFUNCTION("GoogleTranslate(C239, ""en"", ""in"")"),"Titik embun saat ini adalah {number}°")</f>
        <v>Titik embun saat ini adalah {number}°</v>
      </c>
      <c r="AG239" s="7" t="str">
        <f>IFERROR(__xludf.DUMMYFUNCTION("GoogleTranslate(C239, ""en"", ""it"")"),"Il punto di rugiada è {numero}° in questo momento")</f>
        <v>Il punto di rugiada è {numero}° in questo momento</v>
      </c>
      <c r="AH239" s="7" t="str">
        <f>IFERROR(__xludf.DUMMYFUNCTION("GoogleTranslate(C239, ""en"", ""ja"")"),"現在の露点は {number}° です")</f>
        <v>現在の露点は {number}° です</v>
      </c>
      <c r="AI239" s="7" t="str">
        <f>IFERROR(__xludf.DUMMYFUNCTION("GoogleTranslate(C239, ""en"", ""kn"")"),"ಇದೀಗ ಇಬ್ಬನಿ ಬಿಂದು {number}° ಆಗಿದೆ")</f>
        <v>ಇದೀಗ ಇಬ್ಬನಿ ಬಿಂದು {number}° ಆಗಿದೆ</v>
      </c>
      <c r="AJ239" s="7" t="str">
        <f>IFERROR(__xludf.DUMMYFUNCTION("GoogleTranslate(C239, ""en"", ""km"")"),"ចំណុចទឹកសន្សើមគឺ {number}° ឥឡូវនេះ")</f>
        <v>ចំណុចទឹកសន្សើមគឺ {number}° ឥឡូវនេះ</v>
      </c>
      <c r="AK239" s="7" t="str">
        <f>IFERROR(__xludf.DUMMYFUNCTION("GoogleTranslate(C239, ""en"", ""ko"")"),"현재 이슬점은 {number}°입니다")</f>
        <v>현재 이슬점은 {number}°입니다</v>
      </c>
      <c r="AL239" s="7" t="str">
        <f>IFERROR(__xludf.DUMMYFUNCTION("GoogleTranslate(C239, ""en"", ""lo"")"),"ຈຸດນ້ຳຄ້າງແມ່ນ {number}° ໃນຕອນນີ້")</f>
        <v>ຈຸດນ້ຳຄ້າງແມ່ນ {number}° ໃນຕອນນີ້</v>
      </c>
      <c r="AM239" s="7" t="str">
        <f>IFERROR(__xludf.DUMMYFUNCTION("GoogleTranslate(C239, ""en"", ""lv"")"),"Rasas punkts šobrīd ir {number}°")</f>
        <v>Rasas punkts šobrīd ir {number}°</v>
      </c>
      <c r="AN239" s="7" t="str">
        <f>IFERROR(__xludf.DUMMYFUNCTION("GoogleTranslate(C239, ""en"", ""lt"")"),"Rasos taškas šiuo metu yra {number}°")</f>
        <v>Rasos taškas šiuo metu yra {number}°</v>
      </c>
      <c r="AO239" s="7" t="str">
        <f>IFERROR(__xludf.DUMMYFUNCTION("GoogleTranslate(C239, ""en"", ""mk"")"),"Точката на росење е {number}° во моментов")</f>
        <v>Точката на росење е {number}° во моментов</v>
      </c>
      <c r="AP239" s="7" t="str">
        <f>IFERROR(__xludf.DUMMYFUNCTION("GoogleTranslate(C239, ""en"", ""ms"")"),"Takat embun ialah {number}° sekarang")</f>
        <v>Takat embun ialah {number}° sekarang</v>
      </c>
      <c r="AQ239" s="7" t="str">
        <f>IFERROR(__xludf.DUMMYFUNCTION("GoogleTranslate(C239, ""en"", ""ml"")"),"ഇപ്പോൾ മഞ്ഞു പോയിൻ്റ് {number}° ആണ്")</f>
        <v>ഇപ്പോൾ മഞ്ഞു പോയിൻ്റ് {number}° ആണ്</v>
      </c>
      <c r="AR239" s="7" t="str">
        <f>IFERROR(__xludf.DUMMYFUNCTION("GoogleTranslate(C239, ""en"", ""mr"")"),"सध्या दवबिंदू {number}° आहे")</f>
        <v>सध्या दवबिंदू {number}° आहे</v>
      </c>
      <c r="AS239" s="7" t="str">
        <f>IFERROR(__xludf.DUMMYFUNCTION("GoogleTranslate(C239, ""en"", ""mn"")"),"Шүүдэр цэг яг одоо {number}° байна")</f>
        <v>Шүүдэр цэг яг одоо {number}° байна</v>
      </c>
      <c r="AT239" s="7" t="str">
        <f>IFERROR(__xludf.DUMMYFUNCTION("GoogleTranslate(C239, ""en"", ""ne"")"),"शीत बिन्दु अहिले {number}° छ")</f>
        <v>शीत बिन्दु अहिले {number}° छ</v>
      </c>
      <c r="AU239" s="7" t="str">
        <f>IFERROR(__xludf.DUMMYFUNCTION("GoogleTranslate(C239, ""en"", ""nb"")"),"Duggpunktet er {number}° akkurat nå")</f>
        <v>Duggpunktet er {number}° akkurat nå</v>
      </c>
      <c r="AV239" s="7" t="str">
        <f>IFERROR(__xludf.DUMMYFUNCTION("GoogleTranslate(C239, ""en"", ""fa"")"),"نقطه شبنم در حال حاضر {number}° است")</f>
        <v>نقطه شبنم در حال حاضر {number}° است</v>
      </c>
      <c r="AW239" s="7" t="str">
        <f>IFERROR(__xludf.DUMMYFUNCTION("GoogleTranslate(C239, ""en"", ""pl"")"),"Punkt rosy wynosi teraz {number}°")</f>
        <v>Punkt rosy wynosi teraz {number}°</v>
      </c>
      <c r="AX239" s="7" t="str">
        <f>IFERROR(__xludf.DUMMYFUNCTION("GoogleTranslate(C239, ""en"", ""pt"")"),"O ponto de orvalho é {número}° agora")</f>
        <v>O ponto de orvalho é {número}° agora</v>
      </c>
      <c r="AY239" s="7" t="str">
        <f>IFERROR(__xludf.DUMMYFUNCTION("GoogleTranslate(C239, ""en"", ""ro"")"),"Punctul de rouă este de {număr}° în acest moment")</f>
        <v>Punctul de rouă este de {număr}° în acest moment</v>
      </c>
      <c r="AZ239" s="7" t="str">
        <f>IFERROR(__xludf.DUMMYFUNCTION("GoogleTranslate(C239, ""en"", ""ru"")"),"Точка росы сейчас составляет {number}°.")</f>
        <v>Точка росы сейчас составляет {number}°.</v>
      </c>
      <c r="BA239" s="7" t="str">
        <f>IFERROR(__xludf.DUMMYFUNCTION("GoogleTranslate(C239, ""en"", ""sr"")"),"Тачка росе је тренутно {нумбер}°")</f>
        <v>Тачка росе је тренутно {нумбер}°</v>
      </c>
      <c r="BB239" s="7" t="str">
        <f>IFERROR(__xludf.DUMMYFUNCTION("GoogleTranslate(C239, ""en"", ""si"")"),"පිනි ලක්ෂ්‍යය දැන් {number}° වේ")</f>
        <v>පිනි ලක්ෂ්‍යය දැන් {number}° වේ</v>
      </c>
      <c r="BC239" s="7" t="str">
        <f>IFERROR(__xludf.DUMMYFUNCTION("GoogleTranslate(C239, ""en"", ""sk"")"),"Rosný bod je momentálne {number}°")</f>
        <v>Rosný bod je momentálne {number}°</v>
      </c>
      <c r="BD239" s="7" t="str">
        <f>IFERROR(__xludf.DUMMYFUNCTION("GoogleTranslate(C239, ""en"", ""sl"")"),"Točka rosišča je trenutno {number}°")</f>
        <v>Točka rosišča je trenutno {number}°</v>
      </c>
      <c r="BE239" s="7" t="str">
        <f>IFERROR(__xludf.DUMMYFUNCTION("GoogleTranslate(C239, ""en"", ""es"")"),"El punto de rocío es {número}° en este momento")</f>
        <v>El punto de rocío es {número}° en este momento</v>
      </c>
      <c r="BF239" s="7" t="str">
        <f>IFERROR(__xludf.DUMMYFUNCTION("GoogleTranslate(C239, ""en"", ""sw"")"),"Kiwango cha umande ni {number}° sasa hivi")</f>
        <v>Kiwango cha umande ni {number}° sasa hivi</v>
      </c>
      <c r="BG239" s="7" t="str">
        <f>IFERROR(__xludf.DUMMYFUNCTION("GoogleTranslate(C239, ""en"", ""sv"")"),"Daggpunkten är {number}° just nu")</f>
        <v>Daggpunkten är {number}° just nu</v>
      </c>
      <c r="BH239" s="7" t="str">
        <f>IFERROR(__xludf.DUMMYFUNCTION("GoogleTranslate(C239, ""en"", ""te"")"),"ప్రస్తుతం మంచు బిందువు {సంఖ్య}° ఉంది")</f>
        <v>ప్రస్తుతం మంచు బిందువు {సంఖ్య}° ఉంది</v>
      </c>
      <c r="BI239" s="7" t="str">
        <f>IFERROR(__xludf.DUMMYFUNCTION("GoogleTranslate(C239, ""en"", ""th"")"),"จุดน้ำค้างอยู่ที่ {number}° ขณะนี้")</f>
        <v>จุดน้ำค้างอยู่ที่ {number}° ขณะนี้</v>
      </c>
      <c r="BJ239" s="7" t="str">
        <f>IFERROR(__xludf.DUMMYFUNCTION("GoogleTranslate(C239, ""en"", ""tr"")"),"Çiy noktası şu anda {number}°")</f>
        <v>Çiy noktası şu anda {number}°</v>
      </c>
      <c r="BK239" s="7" t="str">
        <f>IFERROR(__xludf.DUMMYFUNCTION("GoogleTranslate(C239, ""en"", ""uk"")"),"Зараз точка роси становить {number}°")</f>
        <v>Зараз точка роси становить {number}°</v>
      </c>
      <c r="BL239" s="7" t="str">
        <f>IFERROR(__xludf.DUMMYFUNCTION("GoogleTranslate(C239, ""en"", ""zu"")"),"Iphoyinti lamazolo lingu-{number}° khona manje")</f>
        <v>Iphoyinti lamazolo lingu-{number}° khona manje</v>
      </c>
    </row>
    <row r="240">
      <c r="A240" s="5" t="str">
        <f t="shared" si="1"/>
        <v>Unit_settings</v>
      </c>
      <c r="B240" s="4" t="s">
        <v>282</v>
      </c>
      <c r="C240" s="4" t="s">
        <v>282</v>
      </c>
      <c r="D240" s="7" t="str">
        <f>IFERROR(__xludf.DUMMYFUNCTION("GoogleTranslate(C240, ""en"", ""es"")"),"Configuración de la unidad")</f>
        <v>Configuración de la unidad</v>
      </c>
      <c r="E240" s="7" t="str">
        <f>IFERROR(__xludf.DUMMYFUNCTION("GoogleTranslate(C240, ""en"", ""ar"")"),"إعدادات الوحدة")</f>
        <v>إعدادات الوحدة</v>
      </c>
      <c r="F240" s="7" t="str">
        <f>IFERROR(__xludf.DUMMYFUNCTION("GoogleTranslate(C240, ""en"", ""hy"")"),"Միավորի կարգավորումներ")</f>
        <v>Միավորի կարգավորումներ</v>
      </c>
      <c r="G240" s="7" t="str">
        <f>IFERROR(__xludf.DUMMYFUNCTION("GoogleTranslate(C240, ""en"", ""vi"")"),"Cài đặt đơn vị")</f>
        <v>Cài đặt đơn vị</v>
      </c>
      <c r="H240" s="7" t="str">
        <f>IFERROR(__xludf.DUMMYFUNCTION("GoogleTranslate(C240, ""en"", ""az"")"),"Vahid parametrləri")</f>
        <v>Vahid parametrləri</v>
      </c>
      <c r="I240" s="7" t="str">
        <f>IFERROR(__xludf.DUMMYFUNCTION("GoogleTranslate(C240, ""en"", ""eu"")"),"Unitateen ezarpenak")</f>
        <v>Unitateen ezarpenak</v>
      </c>
      <c r="J240" s="7" t="str">
        <f>IFERROR(__xludf.DUMMYFUNCTION("GoogleTranslate(C240, ""en"", ""be"")"),"Налады агрэгата")</f>
        <v>Налады агрэгата</v>
      </c>
      <c r="K240" s="7" t="str">
        <f>IFERROR(__xludf.DUMMYFUNCTION("GoogleTranslate(C240, ""en"", ""bn"")"),"ইউনিট সেটিংস")</f>
        <v>ইউনিট সেটিংস</v>
      </c>
      <c r="L240" s="7" t="str">
        <f>IFERROR(__xludf.DUMMYFUNCTION("GoogleTranslate(C240, ""en"", ""bg"")"),"Настройки на единица")</f>
        <v>Настройки на единица</v>
      </c>
      <c r="M240" s="7" t="str">
        <f>IFERROR(__xludf.DUMMYFUNCTION("GoogleTranslate(C240, ""en"", ""my"")"),"ယူနစ်ဆက်တင်များ")</f>
        <v>ယူနစ်ဆက်တင်များ</v>
      </c>
      <c r="N240" s="7" t="str">
        <f>IFERROR(__xludf.DUMMYFUNCTION("GoogleTranslate(C240, ""en"", ""ca"")"),"Configuració de la unitat")</f>
        <v>Configuració de la unitat</v>
      </c>
      <c r="O240" s="7" t="str">
        <f>IFERROR(__xludf.DUMMYFUNCTION("GoogleTranslate(C240, ""en"", ""zh-cn"")"),"单位设置")</f>
        <v>单位设置</v>
      </c>
      <c r="P240" s="7" t="str">
        <f>IFERROR(__xludf.DUMMYFUNCTION("GoogleTranslate(C240, ""en"", ""zh-TW"")"),"單位設定")</f>
        <v>單位設定</v>
      </c>
      <c r="Q240" s="7" t="str">
        <f>IFERROR(__xludf.DUMMYFUNCTION("GoogleTranslate(C240, ""en"", ""hr"")"),"Postavke jedinice")</f>
        <v>Postavke jedinice</v>
      </c>
      <c r="R240" s="7" t="str">
        <f>IFERROR(__xludf.DUMMYFUNCTION("GoogleTranslate(C240, ""en"", ""cs"")"),"Nastavení jednotky")</f>
        <v>Nastavení jednotky</v>
      </c>
      <c r="S240" s="7" t="str">
        <f>IFERROR(__xludf.DUMMYFUNCTION("GoogleTranslate(C240, ""en"", ""da"")"),"Enhedsindstillinger")</f>
        <v>Enhedsindstillinger</v>
      </c>
      <c r="T240" s="7" t="str">
        <f>IFERROR(__xludf.DUMMYFUNCTION("GoogleTranslate(C240, ""en"", ""nl"")"),"Eenheidsinstellingen")</f>
        <v>Eenheidsinstellingen</v>
      </c>
      <c r="U240" s="7" t="str">
        <f>IFERROR(__xludf.DUMMYFUNCTION("GoogleTranslate(C240, ""en"", ""et"")"),"Ühiku seaded")</f>
        <v>Ühiku seaded</v>
      </c>
      <c r="V240" s="5" t="str">
        <f t="shared" si="3"/>
        <v>Unit settings</v>
      </c>
      <c r="W240" s="7" t="str">
        <f>IFERROR(__xludf.DUMMYFUNCTION("GoogleTranslate(C240, ""en"", ""fi"")"),"Yksikköasetukset")</f>
        <v>Yksikköasetukset</v>
      </c>
      <c r="X240" s="7" t="str">
        <f>IFERROR(__xludf.DUMMYFUNCTION("GoogleTranslate(C240, ""en"", ""fr"")"),"Paramètres de l'unité")</f>
        <v>Paramètres de l'unité</v>
      </c>
      <c r="Y240" s="7" t="str">
        <f>IFERROR(__xludf.DUMMYFUNCTION("GoogleTranslate(C240, ""en"", ""de"")"),"Geräteeinstellungen")</f>
        <v>Geräteeinstellungen</v>
      </c>
      <c r="Z240" s="7" t="str">
        <f>IFERROR(__xludf.DUMMYFUNCTION("GoogleTranslate(C240, ""en"", ""el"")"),"Ρυθμίσεις μονάδας")</f>
        <v>Ρυθμίσεις μονάδας</v>
      </c>
      <c r="AA240" s="7" t="str">
        <f>IFERROR(__xludf.DUMMYFUNCTION("GoogleTranslate(C240, ""en"", ""iw"")"),"הגדרות יחידה")</f>
        <v>הגדרות יחידה</v>
      </c>
      <c r="AB240" s="7" t="str">
        <f>IFERROR(__xludf.DUMMYFUNCTION("GoogleTranslate(C240, ""en"", ""hi"")"),"इकाई सेटिंग्स")</f>
        <v>इकाई सेटिंग्स</v>
      </c>
      <c r="AC240" s="7" t="str">
        <f>IFERROR(__xludf.DUMMYFUNCTION("GoogleTranslate(C240, ""en"", ""hu"")"),"Egységbeállítások")</f>
        <v>Egységbeállítások</v>
      </c>
      <c r="AD240" s="7" t="str">
        <f>IFERROR(__xludf.DUMMYFUNCTION("GoogleTranslate(C240, ""en"", ""is"")"),"Stillingar eininga")</f>
        <v>Stillingar eininga</v>
      </c>
      <c r="AE240" s="7" t="str">
        <f>IFERROR(__xludf.DUMMYFUNCTION("GoogleTranslate(C240, ""en"", ""id"")"),"Pengaturan satuan")</f>
        <v>Pengaturan satuan</v>
      </c>
      <c r="AF240" s="7" t="str">
        <f>IFERROR(__xludf.DUMMYFUNCTION("GoogleTranslate(C240, ""en"", ""in"")"),"Pengaturan satuan")</f>
        <v>Pengaturan satuan</v>
      </c>
      <c r="AG240" s="7" t="str">
        <f>IFERROR(__xludf.DUMMYFUNCTION("GoogleTranslate(C240, ""en"", ""it"")"),"Impostazioni dell'unità")</f>
        <v>Impostazioni dell'unità</v>
      </c>
      <c r="AH240" s="7" t="str">
        <f>IFERROR(__xludf.DUMMYFUNCTION("GoogleTranslate(C240, ""en"", ""ja"")"),"単位設定")</f>
        <v>単位設定</v>
      </c>
      <c r="AI240" s="7" t="str">
        <f>IFERROR(__xludf.DUMMYFUNCTION("GoogleTranslate(C240, ""en"", ""kn"")"),"ಘಟಕ ಸೆಟ್ಟಿಂಗ್‌ಗಳು")</f>
        <v>ಘಟಕ ಸೆಟ್ಟಿಂಗ್‌ಗಳು</v>
      </c>
      <c r="AJ240" s="7" t="str">
        <f>IFERROR(__xludf.DUMMYFUNCTION("GoogleTranslate(C240, ""en"", ""km"")"),"ការកំណត់ឯកតា")</f>
        <v>ការកំណត់ឯកតា</v>
      </c>
      <c r="AK240" s="7" t="str">
        <f>IFERROR(__xludf.DUMMYFUNCTION("GoogleTranslate(C240, ""en"", ""ko"")"),"단위 설정")</f>
        <v>단위 설정</v>
      </c>
      <c r="AL240" s="7" t="str">
        <f>IFERROR(__xludf.DUMMYFUNCTION("GoogleTranslate(C240, ""en"", ""lo"")"),"ການຕັ້ງຄ່າຫົວໜ່ວຍ")</f>
        <v>ການຕັ້ງຄ່າຫົວໜ່ວຍ</v>
      </c>
      <c r="AM240" s="7" t="str">
        <f>IFERROR(__xludf.DUMMYFUNCTION("GoogleTranslate(C240, ""en"", ""lv"")"),"Vienības iestatījumi")</f>
        <v>Vienības iestatījumi</v>
      </c>
      <c r="AN240" s="7" t="str">
        <f>IFERROR(__xludf.DUMMYFUNCTION("GoogleTranslate(C240, ""en"", ""lt"")"),"Vieneto nustatymai")</f>
        <v>Vieneto nustatymai</v>
      </c>
      <c r="AO240" s="7" t="str">
        <f>IFERROR(__xludf.DUMMYFUNCTION("GoogleTranslate(C240, ""en"", ""mk"")"),"Поставки на единицата")</f>
        <v>Поставки на единицата</v>
      </c>
      <c r="AP240" s="7" t="str">
        <f>IFERROR(__xludf.DUMMYFUNCTION("GoogleTranslate(C240, ""en"", ""ms"")"),"Tetapan unit")</f>
        <v>Tetapan unit</v>
      </c>
      <c r="AQ240" s="7" t="str">
        <f>IFERROR(__xludf.DUMMYFUNCTION("GoogleTranslate(C240, ""en"", ""ml"")"),"യൂണിറ്റ് ക്രമീകരണങ്ങൾ")</f>
        <v>യൂണിറ്റ് ക്രമീകരണങ്ങൾ</v>
      </c>
      <c r="AR240" s="7" t="str">
        <f>IFERROR(__xludf.DUMMYFUNCTION("GoogleTranslate(C240, ""en"", ""mr"")"),"युनिट सेटिंग्ज")</f>
        <v>युनिट सेटिंग्ज</v>
      </c>
      <c r="AS240" s="7" t="str">
        <f>IFERROR(__xludf.DUMMYFUNCTION("GoogleTranslate(C240, ""en"", ""mn"")"),"Нэгжийн тохиргоо")</f>
        <v>Нэгжийн тохиргоо</v>
      </c>
      <c r="AT240" s="7" t="str">
        <f>IFERROR(__xludf.DUMMYFUNCTION("GoogleTranslate(C240, ""en"", ""ne"")"),"एकाइ सेटिङहरू")</f>
        <v>एकाइ सेटिङहरू</v>
      </c>
      <c r="AU240" s="7" t="str">
        <f>IFERROR(__xludf.DUMMYFUNCTION("GoogleTranslate(C240, ""en"", ""nb"")"),"Enhetsinnstillinger")</f>
        <v>Enhetsinnstillinger</v>
      </c>
      <c r="AV240" s="7" t="str">
        <f>IFERROR(__xludf.DUMMYFUNCTION("GoogleTranslate(C240, ""en"", ""fa"")"),"تنظیمات واحد")</f>
        <v>تنظیمات واحد</v>
      </c>
      <c r="AW240" s="7" t="str">
        <f>IFERROR(__xludf.DUMMYFUNCTION("GoogleTranslate(C240, ""en"", ""pl"")"),"Ustawienia jednostki")</f>
        <v>Ustawienia jednostki</v>
      </c>
      <c r="AX240" s="7" t="str">
        <f>IFERROR(__xludf.DUMMYFUNCTION("GoogleTranslate(C240, ""en"", ""pt"")"),"Configurações da unidade")</f>
        <v>Configurações da unidade</v>
      </c>
      <c r="AY240" s="7" t="str">
        <f>IFERROR(__xludf.DUMMYFUNCTION("GoogleTranslate(C240, ""en"", ""ro"")"),"Setările unității")</f>
        <v>Setările unității</v>
      </c>
      <c r="AZ240" s="7" t="str">
        <f>IFERROR(__xludf.DUMMYFUNCTION("GoogleTranslate(C240, ""en"", ""ru"")"),"Настройки устройства")</f>
        <v>Настройки устройства</v>
      </c>
      <c r="BA240" s="7" t="str">
        <f>IFERROR(__xludf.DUMMYFUNCTION("GoogleTranslate(C240, ""en"", ""sr"")"),"Подешавања јединице")</f>
        <v>Подешавања јединице</v>
      </c>
      <c r="BB240" s="7" t="str">
        <f>IFERROR(__xludf.DUMMYFUNCTION("GoogleTranslate(C240, ""en"", ""si"")"),"ඒකක සැකසුම්")</f>
        <v>ඒකක සැකසුම්</v>
      </c>
      <c r="BC240" s="7" t="str">
        <f>IFERROR(__xludf.DUMMYFUNCTION("GoogleTranslate(C240, ""en"", ""sk"")"),"Nastavenia jednotky")</f>
        <v>Nastavenia jednotky</v>
      </c>
      <c r="BD240" s="7" t="str">
        <f>IFERROR(__xludf.DUMMYFUNCTION("GoogleTranslate(C240, ""en"", ""sl"")"),"Nastavitve enote")</f>
        <v>Nastavitve enote</v>
      </c>
      <c r="BE240" s="7" t="str">
        <f>IFERROR(__xludf.DUMMYFUNCTION("GoogleTranslate(C240, ""en"", ""es"")"),"Configuración de la unidad")</f>
        <v>Configuración de la unidad</v>
      </c>
      <c r="BF240" s="7" t="str">
        <f>IFERROR(__xludf.DUMMYFUNCTION("GoogleTranslate(C240, ""en"", ""sw"")"),"Mipangilio ya kitengo")</f>
        <v>Mipangilio ya kitengo</v>
      </c>
      <c r="BG240" s="7" t="str">
        <f>IFERROR(__xludf.DUMMYFUNCTION("GoogleTranslate(C240, ""en"", ""sv"")"),"Enhetsinställningar")</f>
        <v>Enhetsinställningar</v>
      </c>
      <c r="BH240" s="7" t="str">
        <f>IFERROR(__xludf.DUMMYFUNCTION("GoogleTranslate(C240, ""en"", ""te"")"),"యూనిట్ సెట్టింగులు")</f>
        <v>యూనిట్ సెట్టింగులు</v>
      </c>
      <c r="BI240" s="7" t="str">
        <f>IFERROR(__xludf.DUMMYFUNCTION("GoogleTranslate(C240, ""en"", ""th"")"),"การตั้งค่าหน่วย")</f>
        <v>การตั้งค่าหน่วย</v>
      </c>
      <c r="BJ240" s="7" t="str">
        <f>IFERROR(__xludf.DUMMYFUNCTION("GoogleTranslate(C240, ""en"", ""tr"")"),"Birim ayarları")</f>
        <v>Birim ayarları</v>
      </c>
      <c r="BK240" s="7" t="str">
        <f>IFERROR(__xludf.DUMMYFUNCTION("GoogleTranslate(C240, ""en"", ""uk"")"),"Налаштування агрегату")</f>
        <v>Налаштування агрегату</v>
      </c>
      <c r="BL240" s="7" t="str">
        <f>IFERROR(__xludf.DUMMYFUNCTION("GoogleTranslate(C240, ""en"", ""zu"")"),"Izilungiselelo zeyunithi")</f>
        <v>Izilungiselelo zeyunithi</v>
      </c>
    </row>
    <row r="241">
      <c r="A241" s="5" t="str">
        <f t="shared" si="1"/>
        <v>Detail</v>
      </c>
      <c r="B241" s="4" t="s">
        <v>283</v>
      </c>
      <c r="C241" s="4" t="s">
        <v>283</v>
      </c>
      <c r="D241" s="7" t="str">
        <f>IFERROR(__xludf.DUMMYFUNCTION("GoogleTranslate(C241, ""en"", ""es"")"),"Detalle")</f>
        <v>Detalle</v>
      </c>
      <c r="E241" s="7" t="str">
        <f>IFERROR(__xludf.DUMMYFUNCTION("GoogleTranslate(C241, ""en"", ""ar"")"),"التفاصيل")</f>
        <v>التفاصيل</v>
      </c>
      <c r="F241" s="7" t="str">
        <f>IFERROR(__xludf.DUMMYFUNCTION("GoogleTranslate(C241, ""en"", ""hy"")"),"Մանրամասն")</f>
        <v>Մանրամասն</v>
      </c>
      <c r="G241" s="7" t="str">
        <f>IFERROR(__xludf.DUMMYFUNCTION("GoogleTranslate(C241, ""en"", ""vi"")"),"Chi tiết")</f>
        <v>Chi tiết</v>
      </c>
      <c r="H241" s="7" t="str">
        <f>IFERROR(__xludf.DUMMYFUNCTION("GoogleTranslate(C241, ""en"", ""az"")"),"Detal")</f>
        <v>Detal</v>
      </c>
      <c r="I241" s="7" t="str">
        <f>IFERROR(__xludf.DUMMYFUNCTION("GoogleTranslate(C241, ""en"", ""eu"")"),"Xehetasuna")</f>
        <v>Xehetasuna</v>
      </c>
      <c r="J241" s="7" t="str">
        <f>IFERROR(__xludf.DUMMYFUNCTION("GoogleTranslate(C241, ""en"", ""be"")"),"Дэталь")</f>
        <v>Дэталь</v>
      </c>
      <c r="K241" s="7" t="str">
        <f>IFERROR(__xludf.DUMMYFUNCTION("GoogleTranslate(C241, ""en"", ""bn"")"),"বিস্তারিত")</f>
        <v>বিস্তারিত</v>
      </c>
      <c r="L241" s="7" t="str">
        <f>IFERROR(__xludf.DUMMYFUNCTION("GoogleTranslate(C241, ""en"", ""bg"")"),"детайл")</f>
        <v>детайл</v>
      </c>
      <c r="M241" s="7" t="str">
        <f>IFERROR(__xludf.DUMMYFUNCTION("GoogleTranslate(C241, ""en"", ""my"")"),"အသေးစိတ်")</f>
        <v>အသေးစိတ်</v>
      </c>
      <c r="N241" s="7" t="str">
        <f>IFERROR(__xludf.DUMMYFUNCTION("GoogleTranslate(C241, ""en"", ""ca"")"),"Detall")</f>
        <v>Detall</v>
      </c>
      <c r="O241" s="7" t="str">
        <f>IFERROR(__xludf.DUMMYFUNCTION("GoogleTranslate(C241, ""en"", ""zh-cn"")"),"细节")</f>
        <v>细节</v>
      </c>
      <c r="P241" s="7" t="str">
        <f>IFERROR(__xludf.DUMMYFUNCTION("GoogleTranslate(C241, ""en"", ""zh-TW"")"),"細節")</f>
        <v>細節</v>
      </c>
      <c r="Q241" s="7" t="str">
        <f>IFERROR(__xludf.DUMMYFUNCTION("GoogleTranslate(C241, ""en"", ""hr"")"),"Detalj")</f>
        <v>Detalj</v>
      </c>
      <c r="R241" s="7" t="str">
        <f>IFERROR(__xludf.DUMMYFUNCTION("GoogleTranslate(C241, ""en"", ""cs"")"),"Detail")</f>
        <v>Detail</v>
      </c>
      <c r="S241" s="7" t="str">
        <f>IFERROR(__xludf.DUMMYFUNCTION("GoogleTranslate(C241, ""en"", ""da"")"),"Detalje")</f>
        <v>Detalje</v>
      </c>
      <c r="T241" s="7" t="str">
        <f>IFERROR(__xludf.DUMMYFUNCTION("GoogleTranslate(C241, ""en"", ""nl"")"),"Detail")</f>
        <v>Detail</v>
      </c>
      <c r="U241" s="7" t="str">
        <f>IFERROR(__xludf.DUMMYFUNCTION("GoogleTranslate(C241, ""en"", ""et"")"),"Detail")</f>
        <v>Detail</v>
      </c>
      <c r="V241" s="5" t="str">
        <f t="shared" si="3"/>
        <v>Detail</v>
      </c>
      <c r="W241" s="7" t="str">
        <f>IFERROR(__xludf.DUMMYFUNCTION("GoogleTranslate(C241, ""en"", ""fi"")"),"Yksityiskohta")</f>
        <v>Yksityiskohta</v>
      </c>
      <c r="X241" s="7" t="str">
        <f>IFERROR(__xludf.DUMMYFUNCTION("GoogleTranslate(C241, ""en"", ""fr"")"),"Détail")</f>
        <v>Détail</v>
      </c>
      <c r="Y241" s="7" t="str">
        <f>IFERROR(__xludf.DUMMYFUNCTION("GoogleTranslate(C241, ""en"", ""de"")"),"Detail")</f>
        <v>Detail</v>
      </c>
      <c r="Z241" s="7" t="str">
        <f>IFERROR(__xludf.DUMMYFUNCTION("GoogleTranslate(C241, ""en"", ""el"")"),"Λεπτομέρεια")</f>
        <v>Λεπτομέρεια</v>
      </c>
      <c r="AA241" s="7" t="str">
        <f>IFERROR(__xludf.DUMMYFUNCTION("GoogleTranslate(C241, ""en"", ""iw"")"),"פְּרָט")</f>
        <v>פְּרָט</v>
      </c>
      <c r="AB241" s="7" t="str">
        <f>IFERROR(__xludf.DUMMYFUNCTION("GoogleTranslate(C241, ""en"", ""hi"")"),"विवरण")</f>
        <v>विवरण</v>
      </c>
      <c r="AC241" s="7" t="str">
        <f>IFERROR(__xludf.DUMMYFUNCTION("GoogleTranslate(C241, ""en"", ""hu"")"),"Részlet")</f>
        <v>Részlet</v>
      </c>
      <c r="AD241" s="7" t="str">
        <f>IFERROR(__xludf.DUMMYFUNCTION("GoogleTranslate(C241, ""en"", ""is"")"),"Smáatriði")</f>
        <v>Smáatriði</v>
      </c>
      <c r="AE241" s="7" t="str">
        <f>IFERROR(__xludf.DUMMYFUNCTION("GoogleTranslate(C241, ""en"", ""id"")"),"Detil")</f>
        <v>Detil</v>
      </c>
      <c r="AF241" s="7" t="str">
        <f>IFERROR(__xludf.DUMMYFUNCTION("GoogleTranslate(C241, ""en"", ""in"")"),"Detil")</f>
        <v>Detil</v>
      </c>
      <c r="AG241" s="7" t="str">
        <f>IFERROR(__xludf.DUMMYFUNCTION("GoogleTranslate(C241, ""en"", ""it"")"),"Dettaglio")</f>
        <v>Dettaglio</v>
      </c>
      <c r="AH241" s="7" t="str">
        <f>IFERROR(__xludf.DUMMYFUNCTION("GoogleTranslate(C241, ""en"", ""ja"")"),"詳細")</f>
        <v>詳細</v>
      </c>
      <c r="AI241" s="7" t="str">
        <f>IFERROR(__xludf.DUMMYFUNCTION("GoogleTranslate(C241, ""en"", ""kn"")"),"ವಿವರ")</f>
        <v>ವಿವರ</v>
      </c>
      <c r="AJ241" s="7" t="str">
        <f>IFERROR(__xludf.DUMMYFUNCTION("GoogleTranslate(C241, ""en"", ""km"")"),"លម្អិត")</f>
        <v>លម្អិត</v>
      </c>
      <c r="AK241" s="7" t="str">
        <f>IFERROR(__xludf.DUMMYFUNCTION("GoogleTranslate(C241, ""en"", ""ko"")"),"세부 사항")</f>
        <v>세부 사항</v>
      </c>
      <c r="AL241" s="7" t="str">
        <f>IFERROR(__xludf.DUMMYFUNCTION("GoogleTranslate(C241, ""en"", ""lo"")"),"ລາຍລະອຽດ")</f>
        <v>ລາຍລະອຽດ</v>
      </c>
      <c r="AM241" s="7" t="str">
        <f>IFERROR(__xludf.DUMMYFUNCTION("GoogleTranslate(C241, ""en"", ""lv"")"),"Detaļas")</f>
        <v>Detaļas</v>
      </c>
      <c r="AN241" s="7" t="str">
        <f>IFERROR(__xludf.DUMMYFUNCTION("GoogleTranslate(C241, ""en"", ""lt"")"),"Detalė")</f>
        <v>Detalė</v>
      </c>
      <c r="AO241" s="7" t="str">
        <f>IFERROR(__xludf.DUMMYFUNCTION("GoogleTranslate(C241, ""en"", ""mk"")"),"Детал")</f>
        <v>Детал</v>
      </c>
      <c r="AP241" s="7" t="str">
        <f>IFERROR(__xludf.DUMMYFUNCTION("GoogleTranslate(C241, ""en"", ""ms"")"),"Perincian")</f>
        <v>Perincian</v>
      </c>
      <c r="AQ241" s="7" t="str">
        <f>IFERROR(__xludf.DUMMYFUNCTION("GoogleTranslate(C241, ""en"", ""ml"")"),"വിശദാംശങ്ങൾ")</f>
        <v>വിശദാംശങ്ങൾ</v>
      </c>
      <c r="AR241" s="7" t="str">
        <f>IFERROR(__xludf.DUMMYFUNCTION("GoogleTranslate(C241, ""en"", ""mr"")"),"तपशील")</f>
        <v>तपशील</v>
      </c>
      <c r="AS241" s="7" t="str">
        <f>IFERROR(__xludf.DUMMYFUNCTION("GoogleTranslate(C241, ""en"", ""mn"")"),"Дэлгэрэнгүй")</f>
        <v>Дэлгэрэнгүй</v>
      </c>
      <c r="AT241" s="7" t="str">
        <f>IFERROR(__xludf.DUMMYFUNCTION("GoogleTranslate(C241, ""en"", ""ne"")"),"विवरण")</f>
        <v>विवरण</v>
      </c>
      <c r="AU241" s="7" t="str">
        <f>IFERROR(__xludf.DUMMYFUNCTION("GoogleTranslate(C241, ""en"", ""nb"")"),"Detalj")</f>
        <v>Detalj</v>
      </c>
      <c r="AV241" s="7" t="str">
        <f>IFERROR(__xludf.DUMMYFUNCTION("GoogleTranslate(C241, ""en"", ""fa"")"),"جزئیات")</f>
        <v>جزئیات</v>
      </c>
      <c r="AW241" s="7" t="str">
        <f>IFERROR(__xludf.DUMMYFUNCTION("GoogleTranslate(C241, ""en"", ""pl"")"),"Szczegół")</f>
        <v>Szczegół</v>
      </c>
      <c r="AX241" s="7" t="str">
        <f>IFERROR(__xludf.DUMMYFUNCTION("GoogleTranslate(C241, ""en"", ""pt"")"),"Detalhe")</f>
        <v>Detalhe</v>
      </c>
      <c r="AY241" s="7" t="str">
        <f>IFERROR(__xludf.DUMMYFUNCTION("GoogleTranslate(C241, ""en"", ""ro"")"),"Detaliu")</f>
        <v>Detaliu</v>
      </c>
      <c r="AZ241" s="7" t="str">
        <f>IFERROR(__xludf.DUMMYFUNCTION("GoogleTranslate(C241, ""en"", ""ru"")"),"Деталь")</f>
        <v>Деталь</v>
      </c>
      <c r="BA241" s="7" t="str">
        <f>IFERROR(__xludf.DUMMYFUNCTION("GoogleTranslate(C241, ""en"", ""sr"")"),"Детаљ")</f>
        <v>Детаљ</v>
      </c>
      <c r="BB241" s="7" t="str">
        <f>IFERROR(__xludf.DUMMYFUNCTION("GoogleTranslate(C241, ""en"", ""si"")"),"විස්තර")</f>
        <v>විස්තර</v>
      </c>
      <c r="BC241" s="7" t="str">
        <f>IFERROR(__xludf.DUMMYFUNCTION("GoogleTranslate(C241, ""en"", ""sk"")"),"Detail")</f>
        <v>Detail</v>
      </c>
      <c r="BD241" s="7" t="str">
        <f>IFERROR(__xludf.DUMMYFUNCTION("GoogleTranslate(C241, ""en"", ""sl"")"),"Podrobnost")</f>
        <v>Podrobnost</v>
      </c>
      <c r="BE241" s="7" t="str">
        <f>IFERROR(__xludf.DUMMYFUNCTION("GoogleTranslate(C241, ""en"", ""es"")"),"Detalle")</f>
        <v>Detalle</v>
      </c>
      <c r="BF241" s="7" t="str">
        <f>IFERROR(__xludf.DUMMYFUNCTION("GoogleTranslate(C241, ""en"", ""sw"")"),"Maelezo")</f>
        <v>Maelezo</v>
      </c>
      <c r="BG241" s="7" t="str">
        <f>IFERROR(__xludf.DUMMYFUNCTION("GoogleTranslate(C241, ""en"", ""sv"")"),"Detalj")</f>
        <v>Detalj</v>
      </c>
      <c r="BH241" s="7" t="str">
        <f>IFERROR(__xludf.DUMMYFUNCTION("GoogleTranslate(C241, ""en"", ""te"")"),"వివరాలు")</f>
        <v>వివరాలు</v>
      </c>
      <c r="BI241" s="7" t="str">
        <f>IFERROR(__xludf.DUMMYFUNCTION("GoogleTranslate(C241, ""en"", ""th"")"),"รายละเอียด")</f>
        <v>รายละเอียด</v>
      </c>
      <c r="BJ241" s="7" t="str">
        <f>IFERROR(__xludf.DUMMYFUNCTION("GoogleTranslate(C241, ""en"", ""tr"")"),"Detay")</f>
        <v>Detay</v>
      </c>
      <c r="BK241" s="7" t="str">
        <f>IFERROR(__xludf.DUMMYFUNCTION("GoogleTranslate(C241, ""en"", ""uk"")"),"Деталь")</f>
        <v>Деталь</v>
      </c>
      <c r="BL241" s="7" t="str">
        <f>IFERROR(__xludf.DUMMYFUNCTION("GoogleTranslate(C241, ""en"", ""zu"")"),"Imininingwane")</f>
        <v>Imininingwane</v>
      </c>
    </row>
    <row r="242">
      <c r="A242" s="5" t="str">
        <f t="shared" si="1"/>
        <v>Moon_Sign</v>
      </c>
      <c r="B242" s="4" t="s">
        <v>284</v>
      </c>
      <c r="C242" s="4" t="s">
        <v>284</v>
      </c>
      <c r="D242" s="7" t="str">
        <f>IFERROR(__xludf.DUMMYFUNCTION("GoogleTranslate(C242, ""en"", ""es"")"),"signo lunar")</f>
        <v>signo lunar</v>
      </c>
      <c r="E242" s="7" t="str">
        <f>IFERROR(__xludf.DUMMYFUNCTION("GoogleTranslate(C242, ""en"", ""ar"")"),"علامة القمر")</f>
        <v>علامة القمر</v>
      </c>
      <c r="F242" s="7" t="str">
        <f>IFERROR(__xludf.DUMMYFUNCTION("GoogleTranslate(C242, ""en"", ""hy"")"),"Լուսնի նշան")</f>
        <v>Լուսնի նշան</v>
      </c>
      <c r="G242" s="7" t="str">
        <f>IFERROR(__xludf.DUMMYFUNCTION("GoogleTranslate(C242, ""en"", ""vi"")"),"Dấu hiệu mặt trăng")</f>
        <v>Dấu hiệu mặt trăng</v>
      </c>
      <c r="H242" s="7" t="str">
        <f>IFERROR(__xludf.DUMMYFUNCTION("GoogleTranslate(C242, ""en"", ""az"")"),"Ay Bürc")</f>
        <v>Ay Bürc</v>
      </c>
      <c r="I242" s="7" t="str">
        <f>IFERROR(__xludf.DUMMYFUNCTION("GoogleTranslate(C242, ""en"", ""eu"")"),"Ilargiaren seinalea")</f>
        <v>Ilargiaren seinalea</v>
      </c>
      <c r="J242" s="7" t="str">
        <f>IFERROR(__xludf.DUMMYFUNCTION("GoogleTranslate(C242, ""en"", ""be"")"),"Знак месяца")</f>
        <v>Знак месяца</v>
      </c>
      <c r="K242" s="7" t="str">
        <f>IFERROR(__xludf.DUMMYFUNCTION("GoogleTranslate(C242, ""en"", ""bn"")"),"চাঁদের চিহ্ন")</f>
        <v>চাঁদের চিহ্ন</v>
      </c>
      <c r="L242" s="7" t="str">
        <f>IFERROR(__xludf.DUMMYFUNCTION("GoogleTranslate(C242, ""en"", ""bg"")"),"Лунен знак")</f>
        <v>Лунен знак</v>
      </c>
      <c r="M242" s="7" t="str">
        <f>IFERROR(__xludf.DUMMYFUNCTION("GoogleTranslate(C242, ""en"", ""my"")"),"လဆိုင်း")</f>
        <v>လဆိုင်း</v>
      </c>
      <c r="N242" s="7" t="str">
        <f>IFERROR(__xludf.DUMMYFUNCTION("GoogleTranslate(C242, ""en"", ""ca"")"),"Signe de Lluna")</f>
        <v>Signe de Lluna</v>
      </c>
      <c r="O242" s="7" t="str">
        <f>IFERROR(__xludf.DUMMYFUNCTION("GoogleTranslate(C242, ""en"", ""zh-cn"")"),"月亮星座")</f>
        <v>月亮星座</v>
      </c>
      <c r="P242" s="7" t="str">
        <f>IFERROR(__xludf.DUMMYFUNCTION("GoogleTranslate(C242, ""en"", ""zh-TW"")"),"月亮星座")</f>
        <v>月亮星座</v>
      </c>
      <c r="Q242" s="7" t="str">
        <f>IFERROR(__xludf.DUMMYFUNCTION("GoogleTranslate(C242, ""en"", ""hr"")"),"Mjesečev znak")</f>
        <v>Mjesečev znak</v>
      </c>
      <c r="R242" s="7" t="str">
        <f>IFERROR(__xludf.DUMMYFUNCTION("GoogleTranslate(C242, ""en"", ""cs"")"),"Měsíční znamení")</f>
        <v>Měsíční znamení</v>
      </c>
      <c r="S242" s="7" t="str">
        <f>IFERROR(__xludf.DUMMYFUNCTION("GoogleTranslate(C242, ""en"", ""da"")"),"Måne tegn")</f>
        <v>Måne tegn</v>
      </c>
      <c r="T242" s="7" t="str">
        <f>IFERROR(__xludf.DUMMYFUNCTION("GoogleTranslate(C242, ""en"", ""nl"")"),"Maan teken")</f>
        <v>Maan teken</v>
      </c>
      <c r="U242" s="7" t="str">
        <f>IFERROR(__xludf.DUMMYFUNCTION("GoogleTranslate(C242, ""en"", ""et"")"),"Kuu märk")</f>
        <v>Kuu märk</v>
      </c>
      <c r="V242" s="5" t="str">
        <f t="shared" si="3"/>
        <v>Moon Sign</v>
      </c>
      <c r="W242" s="7" t="str">
        <f>IFERROR(__xludf.DUMMYFUNCTION("GoogleTranslate(C242, ""en"", ""fi"")"),"Kuu merkki")</f>
        <v>Kuu merkki</v>
      </c>
      <c r="X242" s="7" t="str">
        <f>IFERROR(__xludf.DUMMYFUNCTION("GoogleTranslate(C242, ""en"", ""fr"")"),"Signe de la Lune")</f>
        <v>Signe de la Lune</v>
      </c>
      <c r="Y242" s="7" t="str">
        <f>IFERROR(__xludf.DUMMYFUNCTION("GoogleTranslate(C242, ""en"", ""de"")"),"Mondzeichen")</f>
        <v>Mondzeichen</v>
      </c>
      <c r="Z242" s="7" t="str">
        <f>IFERROR(__xludf.DUMMYFUNCTION("GoogleTranslate(C242, ""en"", ""el"")"),"Ζώδιο της Σελήνης")</f>
        <v>Ζώδιο της Σελήνης</v>
      </c>
      <c r="AA242" s="7" t="str">
        <f>IFERROR(__xludf.DUMMYFUNCTION("GoogleTranslate(C242, ""en"", ""iw"")"),"סימן ירח")</f>
        <v>סימן ירח</v>
      </c>
      <c r="AB242" s="7" t="str">
        <f>IFERROR(__xludf.DUMMYFUNCTION("GoogleTranslate(C242, ""en"", ""hi"")"),"राशि")</f>
        <v>राशि</v>
      </c>
      <c r="AC242" s="7" t="str">
        <f>IFERROR(__xludf.DUMMYFUNCTION("GoogleTranslate(C242, ""en"", ""hu"")"),"Hold jel")</f>
        <v>Hold jel</v>
      </c>
      <c r="AD242" s="7" t="str">
        <f>IFERROR(__xludf.DUMMYFUNCTION("GoogleTranslate(C242, ""en"", ""is"")"),"Tunglmerki")</f>
        <v>Tunglmerki</v>
      </c>
      <c r="AE242" s="7" t="str">
        <f>IFERROR(__xludf.DUMMYFUNCTION("GoogleTranslate(C242, ""en"", ""id"")"),"Tanda Bulan")</f>
        <v>Tanda Bulan</v>
      </c>
      <c r="AF242" s="7" t="str">
        <f>IFERROR(__xludf.DUMMYFUNCTION("GoogleTranslate(C242, ""en"", ""in"")"),"Tanda Bulan")</f>
        <v>Tanda Bulan</v>
      </c>
      <c r="AG242" s="7" t="str">
        <f>IFERROR(__xludf.DUMMYFUNCTION("GoogleTranslate(C242, ""en"", ""it"")"),"Segno della Luna")</f>
        <v>Segno della Luna</v>
      </c>
      <c r="AH242" s="7" t="str">
        <f>IFERROR(__xludf.DUMMYFUNCTION("GoogleTranslate(C242, ""en"", ""ja"")"),"月星座")</f>
        <v>月星座</v>
      </c>
      <c r="AI242" s="7" t="str">
        <f>IFERROR(__xludf.DUMMYFUNCTION("GoogleTranslate(C242, ""en"", ""kn"")"),"ಚಂದ್ರನ ಚಿಹ್ನೆ")</f>
        <v>ಚಂದ್ರನ ಚಿಹ್ನೆ</v>
      </c>
      <c r="AJ242" s="7" t="str">
        <f>IFERROR(__xludf.DUMMYFUNCTION("GoogleTranslate(C242, ""en"", ""km"")"),"សញ្ញាព្រះច័ន្ទ")</f>
        <v>សញ្ញាព្រះច័ន្ទ</v>
      </c>
      <c r="AK242" s="7" t="str">
        <f>IFERROR(__xludf.DUMMYFUNCTION("GoogleTranslate(C242, ""en"", ""ko"")"),"달 사인")</f>
        <v>달 사인</v>
      </c>
      <c r="AL242" s="7" t="str">
        <f>IFERROR(__xludf.DUMMYFUNCTION("GoogleTranslate(C242, ""en"", ""lo"")"),"ປ້າຍວົງເດືອນ")</f>
        <v>ປ້າຍວົງເດືອນ</v>
      </c>
      <c r="AM242" s="7" t="str">
        <f>IFERROR(__xludf.DUMMYFUNCTION("GoogleTranslate(C242, ""en"", ""lv"")"),"Mēness zīme")</f>
        <v>Mēness zīme</v>
      </c>
      <c r="AN242" s="7" t="str">
        <f>IFERROR(__xludf.DUMMYFUNCTION("GoogleTranslate(C242, ""en"", ""lt"")"),"Mėnulio ženklas")</f>
        <v>Mėnulio ženklas</v>
      </c>
      <c r="AO242" s="7" t="str">
        <f>IFERROR(__xludf.DUMMYFUNCTION("GoogleTranslate(C242, ""en"", ""mk"")"),"Знак на Месечината")</f>
        <v>Знак на Месечината</v>
      </c>
      <c r="AP242" s="7" t="str">
        <f>IFERROR(__xludf.DUMMYFUNCTION("GoogleTranslate(C242, ""en"", ""ms"")"),"Tanda Bulan")</f>
        <v>Tanda Bulan</v>
      </c>
      <c r="AQ242" s="7" t="str">
        <f>IFERROR(__xludf.DUMMYFUNCTION("GoogleTranslate(C242, ""en"", ""ml"")"),"ചന്ദ്രൻ്റെ അടയാളം")</f>
        <v>ചന്ദ്രൻ്റെ അടയാളം</v>
      </c>
      <c r="AR242" s="7" t="str">
        <f>IFERROR(__xludf.DUMMYFUNCTION("GoogleTranslate(C242, ""en"", ""mr"")"),"चंद्र चिन्ह")</f>
        <v>चंद्र चिन्ह</v>
      </c>
      <c r="AS242" s="7" t="str">
        <f>IFERROR(__xludf.DUMMYFUNCTION("GoogleTranslate(C242, ""en"", ""mn"")"),"Сарны тэмдэг")</f>
        <v>Сарны тэмдэг</v>
      </c>
      <c r="AT242" s="7" t="str">
        <f>IFERROR(__xludf.DUMMYFUNCTION("GoogleTranslate(C242, ""en"", ""ne"")"),"चन्द्रमा चिन्ह")</f>
        <v>चन्द्रमा चिन्ह</v>
      </c>
      <c r="AU242" s="7" t="str">
        <f>IFERROR(__xludf.DUMMYFUNCTION("GoogleTranslate(C242, ""en"", ""nb"")"),"Månetegn")</f>
        <v>Månetegn</v>
      </c>
      <c r="AV242" s="7" t="str">
        <f>IFERROR(__xludf.DUMMYFUNCTION("GoogleTranslate(C242, ""en"", ""fa"")"),"علامت ماه")</f>
        <v>علامت ماه</v>
      </c>
      <c r="AW242" s="7" t="str">
        <f>IFERROR(__xludf.DUMMYFUNCTION("GoogleTranslate(C242, ""en"", ""pl"")"),"Znak Księżyca")</f>
        <v>Znak Księżyca</v>
      </c>
      <c r="AX242" s="7" t="str">
        <f>IFERROR(__xludf.DUMMYFUNCTION("GoogleTranslate(C242, ""en"", ""pt"")"),"Signo da Lua")</f>
        <v>Signo da Lua</v>
      </c>
      <c r="AY242" s="7" t="str">
        <f>IFERROR(__xludf.DUMMYFUNCTION("GoogleTranslate(C242, ""en"", ""ro"")"),"Semnul Lunii")</f>
        <v>Semnul Lunii</v>
      </c>
      <c r="AZ242" s="7" t="str">
        <f>IFERROR(__xludf.DUMMYFUNCTION("GoogleTranslate(C242, ""en"", ""ru"")"),"Лунный знак")</f>
        <v>Лунный знак</v>
      </c>
      <c r="BA242" s="7" t="str">
        <f>IFERROR(__xludf.DUMMYFUNCTION("GoogleTranslate(C242, ""en"", ""sr"")"),"Моон Сигн")</f>
        <v>Моон Сигн</v>
      </c>
      <c r="BB242" s="7" t="str">
        <f>IFERROR(__xludf.DUMMYFUNCTION("GoogleTranslate(C242, ""en"", ""si"")"),"සඳ ලකුණ")</f>
        <v>සඳ ලකුණ</v>
      </c>
      <c r="BC242" s="7" t="str">
        <f>IFERROR(__xludf.DUMMYFUNCTION("GoogleTranslate(C242, ""en"", ""sk"")"),"Mesačné znamenie")</f>
        <v>Mesačné znamenie</v>
      </c>
      <c r="BD242" s="7" t="str">
        <f>IFERROR(__xludf.DUMMYFUNCTION("GoogleTranslate(C242, ""en"", ""sl"")"),"Lunino znamenje")</f>
        <v>Lunino znamenje</v>
      </c>
      <c r="BE242" s="7" t="str">
        <f>IFERROR(__xludf.DUMMYFUNCTION("GoogleTranslate(C242, ""en"", ""es"")"),"signo lunar")</f>
        <v>signo lunar</v>
      </c>
      <c r="BF242" s="7" t="str">
        <f>IFERROR(__xludf.DUMMYFUNCTION("GoogleTranslate(C242, ""en"", ""sw"")"),"Ishara ya Mwezi")</f>
        <v>Ishara ya Mwezi</v>
      </c>
      <c r="BG242" s="7" t="str">
        <f>IFERROR(__xludf.DUMMYFUNCTION("GoogleTranslate(C242, ""en"", ""sv"")"),"Månen tecken")</f>
        <v>Månen tecken</v>
      </c>
      <c r="BH242" s="7" t="str">
        <f>IFERROR(__xludf.DUMMYFUNCTION("GoogleTranslate(C242, ""en"", ""te"")"),"చంద్రుని సంకేతం")</f>
        <v>చంద్రుని సంకేతం</v>
      </c>
      <c r="BI242" s="7" t="str">
        <f>IFERROR(__xludf.DUMMYFUNCTION("GoogleTranslate(C242, ""en"", ""th"")"),"ป้ายพระจันทร์")</f>
        <v>ป้ายพระจันทร์</v>
      </c>
      <c r="BJ242" s="7" t="str">
        <f>IFERROR(__xludf.DUMMYFUNCTION("GoogleTranslate(C242, ""en"", ""tr"")"),"Ay Burcu")</f>
        <v>Ay Burcu</v>
      </c>
      <c r="BK242" s="7" t="str">
        <f>IFERROR(__xludf.DUMMYFUNCTION("GoogleTranslate(C242, ""en"", ""uk"")"),"Місячний знак")</f>
        <v>Місячний знак</v>
      </c>
      <c r="BL242" s="7" t="str">
        <f>IFERROR(__xludf.DUMMYFUNCTION("GoogleTranslate(C242, ""en"", ""zu"")"),"Uphawu Lwenyanga")</f>
        <v>Uphawu Lwenyanga</v>
      </c>
    </row>
    <row r="243">
      <c r="A243" s="5" t="str">
        <f t="shared" si="1"/>
        <v>Next_New_Moon</v>
      </c>
      <c r="B243" s="4" t="s">
        <v>208</v>
      </c>
      <c r="C243" s="4" t="s">
        <v>208</v>
      </c>
      <c r="D243" s="7" t="str">
        <f>IFERROR(__xludf.DUMMYFUNCTION("GoogleTranslate(C243, ""en"", ""es"")"),"Próxima Luna Nueva")</f>
        <v>Próxima Luna Nueva</v>
      </c>
      <c r="E243" s="7" t="str">
        <f>IFERROR(__xludf.DUMMYFUNCTION("GoogleTranslate(C243, ""en"", ""ar"")"),"القمر الجديد القادم")</f>
        <v>القمر الجديد القادم</v>
      </c>
      <c r="F243" s="7" t="str">
        <f>IFERROR(__xludf.DUMMYFUNCTION("GoogleTranslate(C243, ""en"", ""hy"")"),"Հաջորդ Նոր լուսինը")</f>
        <v>Հաջորդ Նոր լուսինը</v>
      </c>
      <c r="G243" s="7" t="str">
        <f>IFERROR(__xludf.DUMMYFUNCTION("GoogleTranslate(C243, ""en"", ""vi"")"),"Trăng non tiếp theo")</f>
        <v>Trăng non tiếp theo</v>
      </c>
      <c r="H243" s="7" t="str">
        <f>IFERROR(__xludf.DUMMYFUNCTION("GoogleTranslate(C243, ""en"", ""az"")"),"Növbəti Yeni Ay")</f>
        <v>Növbəti Yeni Ay</v>
      </c>
      <c r="I243" s="7" t="str">
        <f>IFERROR(__xludf.DUMMYFUNCTION("GoogleTranslate(C243, ""en"", ""eu"")"),"Hurrengo Ilberria")</f>
        <v>Hurrengo Ilberria</v>
      </c>
      <c r="J243" s="7" t="str">
        <f>IFERROR(__xludf.DUMMYFUNCTION("GoogleTranslate(C243, ""en"", ""be"")"),"Наступны маладзік")</f>
        <v>Наступны маладзік</v>
      </c>
      <c r="K243" s="7" t="str">
        <f>IFERROR(__xludf.DUMMYFUNCTION("GoogleTranslate(C243, ""en"", ""bn"")"),"পরের অমাবস্যা")</f>
        <v>পরের অমাবস্যা</v>
      </c>
      <c r="L243" s="7" t="str">
        <f>IFERROR(__xludf.DUMMYFUNCTION("GoogleTranslate(C243, ""en"", ""bg"")"),"Следващото новолуние")</f>
        <v>Следващото новолуние</v>
      </c>
      <c r="M243" s="7" t="str">
        <f>IFERROR(__xludf.DUMMYFUNCTION("GoogleTranslate(C243, ""en"", ""my"")"),"နောက်လဆန်း")</f>
        <v>နောက်လဆန်း</v>
      </c>
      <c r="N243" s="7" t="str">
        <f>IFERROR(__xludf.DUMMYFUNCTION("GoogleTranslate(C243, ""en"", ""ca"")"),"La propera lluna nova")</f>
        <v>La propera lluna nova</v>
      </c>
      <c r="O243" s="7" t="str">
        <f>IFERROR(__xludf.DUMMYFUNCTION("GoogleTranslate(C243, ""en"", ""zh-cn"")"),"下一个新月")</f>
        <v>下一个新月</v>
      </c>
      <c r="P243" s="7" t="str">
        <f>IFERROR(__xludf.DUMMYFUNCTION("GoogleTranslate(C243, ""en"", ""zh-TW"")"),"下一個新月")</f>
        <v>下一個新月</v>
      </c>
      <c r="Q243" s="7" t="str">
        <f>IFERROR(__xludf.DUMMYFUNCTION("GoogleTranslate(C243, ""en"", ""hr"")"),"Sljedeći mladi mjesec")</f>
        <v>Sljedeći mladi mjesec</v>
      </c>
      <c r="R243" s="7" t="str">
        <f>IFERROR(__xludf.DUMMYFUNCTION("GoogleTranslate(C243, ""en"", ""cs"")"),"Příští novoluní")</f>
        <v>Příští novoluní</v>
      </c>
      <c r="S243" s="7" t="str">
        <f>IFERROR(__xludf.DUMMYFUNCTION("GoogleTranslate(C243, ""en"", ""da"")"),"Næste nymåne")</f>
        <v>Næste nymåne</v>
      </c>
      <c r="T243" s="7" t="str">
        <f>IFERROR(__xludf.DUMMYFUNCTION("GoogleTranslate(C243, ""en"", ""nl"")"),"Volgende Nieuwe Maan")</f>
        <v>Volgende Nieuwe Maan</v>
      </c>
      <c r="U243" s="7" t="str">
        <f>IFERROR(__xludf.DUMMYFUNCTION("GoogleTranslate(C243, ""en"", ""et"")"),"Järgmine noorkuu")</f>
        <v>Järgmine noorkuu</v>
      </c>
      <c r="V243" s="5" t="str">
        <f t="shared" si="3"/>
        <v>Next New Moon</v>
      </c>
      <c r="W243" s="7" t="str">
        <f>IFERROR(__xludf.DUMMYFUNCTION("GoogleTranslate(C243, ""en"", ""fi"")"),"Seuraava uusikuu")</f>
        <v>Seuraava uusikuu</v>
      </c>
      <c r="X243" s="7" t="str">
        <f>IFERROR(__xludf.DUMMYFUNCTION("GoogleTranslate(C243, ""en"", ""fr"")"),"Prochaine Nouvelle Lune")</f>
        <v>Prochaine Nouvelle Lune</v>
      </c>
      <c r="Y243" s="7" t="str">
        <f>IFERROR(__xludf.DUMMYFUNCTION("GoogleTranslate(C243, ""en"", ""de"")"),"Nächster Neumond")</f>
        <v>Nächster Neumond</v>
      </c>
      <c r="Z243" s="7" t="str">
        <f>IFERROR(__xludf.DUMMYFUNCTION("GoogleTranslate(C243, ""en"", ""el"")"),"Επόμενη Νέα Σελήνη")</f>
        <v>Επόμενη Νέα Σελήνη</v>
      </c>
      <c r="AA243" s="7" t="str">
        <f>IFERROR(__xludf.DUMMYFUNCTION("GoogleTranslate(C243, ""en"", ""iw"")"),"ירח חדש הבא")</f>
        <v>ירח חדש הבא</v>
      </c>
      <c r="AB243" s="7" t="str">
        <f>IFERROR(__xludf.DUMMYFUNCTION("GoogleTranslate(C243, ""en"", ""hi"")"),"अगला अमावस्या")</f>
        <v>अगला अमावस्या</v>
      </c>
      <c r="AC243" s="7" t="str">
        <f>IFERROR(__xludf.DUMMYFUNCTION("GoogleTranslate(C243, ""en"", ""hu"")"),"Következő Újhold")</f>
        <v>Következő Újhold</v>
      </c>
      <c r="AD243" s="7" t="str">
        <f>IFERROR(__xludf.DUMMYFUNCTION("GoogleTranslate(C243, ""en"", ""is"")"),"Næsta nýtt tungl")</f>
        <v>Næsta nýtt tungl</v>
      </c>
      <c r="AE243" s="7" t="str">
        <f>IFERROR(__xludf.DUMMYFUNCTION("GoogleTranslate(C243, ""en"", ""id"")"),"Bulan Baru berikutnya")</f>
        <v>Bulan Baru berikutnya</v>
      </c>
      <c r="AF243" s="7" t="str">
        <f>IFERROR(__xludf.DUMMYFUNCTION("GoogleTranslate(C243, ""en"", ""in"")"),"Bulan Baru berikutnya")</f>
        <v>Bulan Baru berikutnya</v>
      </c>
      <c r="AG243" s="7" t="str">
        <f>IFERROR(__xludf.DUMMYFUNCTION("GoogleTranslate(C243, ""en"", ""it"")"),"Prossima Luna Nuova")</f>
        <v>Prossima Luna Nuova</v>
      </c>
      <c r="AH243" s="7" t="str">
        <f>IFERROR(__xludf.DUMMYFUNCTION("GoogleTranslate(C243, ""en"", ""ja"")"),"次の新月")</f>
        <v>次の新月</v>
      </c>
      <c r="AI243" s="7" t="str">
        <f>IFERROR(__xludf.DUMMYFUNCTION("GoogleTranslate(C243, ""en"", ""kn"")"),"ಮುಂದಿನ ಅಮಾವಾಸ್ಯೆ")</f>
        <v>ಮುಂದಿನ ಅಮಾವಾಸ್ಯೆ</v>
      </c>
      <c r="AJ243" s="7" t="str">
        <f>IFERROR(__xludf.DUMMYFUNCTION("GoogleTranslate(C243, ""en"", ""km"")"),"ព្រះច័ន្ទថ្មីបន្ទាប់")</f>
        <v>ព្រះច័ន្ទថ្មីបន្ទាប់</v>
      </c>
      <c r="AK243" s="7" t="str">
        <f>IFERROR(__xludf.DUMMYFUNCTION("GoogleTranslate(C243, ""en"", ""ko"")"),"다음 뉴문")</f>
        <v>다음 뉴문</v>
      </c>
      <c r="AL243" s="7" t="str">
        <f>IFERROR(__xludf.DUMMYFUNCTION("GoogleTranslate(C243, ""en"", ""lo"")"),"ດວງເດືອນໃໝ່ຕໍ່ໄປ")</f>
        <v>ດວງເດືອນໃໝ່ຕໍ່ໄປ</v>
      </c>
      <c r="AM243" s="7" t="str">
        <f>IFERROR(__xludf.DUMMYFUNCTION("GoogleTranslate(C243, ""en"", ""lv"")"),"Nākamais Jauns Mēness")</f>
        <v>Nākamais Jauns Mēness</v>
      </c>
      <c r="AN243" s="7" t="str">
        <f>IFERROR(__xludf.DUMMYFUNCTION("GoogleTranslate(C243, ""en"", ""lt"")"),"Kitas jaunatis")</f>
        <v>Kitas jaunatis</v>
      </c>
      <c r="AO243" s="7" t="str">
        <f>IFERROR(__xludf.DUMMYFUNCTION("GoogleTranslate(C243, ""en"", ""mk"")"),"Следна нова месечина")</f>
        <v>Следна нова месечина</v>
      </c>
      <c r="AP243" s="7" t="str">
        <f>IFERROR(__xludf.DUMMYFUNCTION("GoogleTranslate(C243, ""en"", ""ms"")"),"Bulan Baru Seterusnya")</f>
        <v>Bulan Baru Seterusnya</v>
      </c>
      <c r="AQ243" s="7" t="str">
        <f>IFERROR(__xludf.DUMMYFUNCTION("GoogleTranslate(C243, ""en"", ""ml"")"),"അടുത്ത അമാവാസി")</f>
        <v>അടുത്ത അമാവാസി</v>
      </c>
      <c r="AR243" s="7" t="str">
        <f>IFERROR(__xludf.DUMMYFUNCTION("GoogleTranslate(C243, ""en"", ""mr"")"),"पुढील नवीन चंद्र")</f>
        <v>पुढील नवीन चंद्र</v>
      </c>
      <c r="AS243" s="7" t="str">
        <f>IFERROR(__xludf.DUMMYFUNCTION("GoogleTranslate(C243, ""en"", ""mn"")"),"Дараагийн шинэ сар")</f>
        <v>Дараагийн шинэ сар</v>
      </c>
      <c r="AT243" s="7" t="str">
        <f>IFERROR(__xludf.DUMMYFUNCTION("GoogleTranslate(C243, ""en"", ""ne"")"),"अर्को नयाँ चन्द्रमा")</f>
        <v>अर्को नयाँ चन्द्रमा</v>
      </c>
      <c r="AU243" s="7" t="str">
        <f>IFERROR(__xludf.DUMMYFUNCTION("GoogleTranslate(C243, ""en"", ""nb"")"),"Neste nymåne")</f>
        <v>Neste nymåne</v>
      </c>
      <c r="AV243" s="7" t="str">
        <f>IFERROR(__xludf.DUMMYFUNCTION("GoogleTranslate(C243, ""en"", ""fa"")"),"ماه نو بعدی")</f>
        <v>ماه نو بعدی</v>
      </c>
      <c r="AW243" s="7" t="str">
        <f>IFERROR(__xludf.DUMMYFUNCTION("GoogleTranslate(C243, ""en"", ""pl"")"),"Następny Księżyc w nowiu")</f>
        <v>Następny Księżyc w nowiu</v>
      </c>
      <c r="AX243" s="7" t="str">
        <f>IFERROR(__xludf.DUMMYFUNCTION("GoogleTranslate(C243, ""en"", ""pt"")"),"Próxima Lua Nova")</f>
        <v>Próxima Lua Nova</v>
      </c>
      <c r="AY243" s="7" t="str">
        <f>IFERROR(__xludf.DUMMYFUNCTION("GoogleTranslate(C243, ""en"", ""ro"")"),"Următoarea Lună Nouă")</f>
        <v>Următoarea Lună Nouă</v>
      </c>
      <c r="AZ243" s="7" t="str">
        <f>IFERROR(__xludf.DUMMYFUNCTION("GoogleTranslate(C243, ""en"", ""ru"")"),"Следующее новолуние")</f>
        <v>Следующее новолуние</v>
      </c>
      <c r="BA243" s="7" t="str">
        <f>IFERROR(__xludf.DUMMYFUNCTION("GoogleTranslate(C243, ""en"", ""sr"")"),"Следећи млад месец")</f>
        <v>Следећи млад месец</v>
      </c>
      <c r="BB243" s="7" t="str">
        <f>IFERROR(__xludf.DUMMYFUNCTION("GoogleTranslate(C243, ""en"", ""si"")"),"ඊළඟ නව සඳ")</f>
        <v>ඊළඟ නව සඳ</v>
      </c>
      <c r="BC243" s="7" t="str">
        <f>IFERROR(__xludf.DUMMYFUNCTION("GoogleTranslate(C243, ""en"", ""sk"")"),"Ďalší Nový Mesiac")</f>
        <v>Ďalší Nový Mesiac</v>
      </c>
      <c r="BD243" s="7" t="str">
        <f>IFERROR(__xludf.DUMMYFUNCTION("GoogleTranslate(C243, ""en"", ""sl"")"),"Naslednja mlada luna")</f>
        <v>Naslednja mlada luna</v>
      </c>
      <c r="BE243" s="7" t="str">
        <f>IFERROR(__xludf.DUMMYFUNCTION("GoogleTranslate(C243, ""en"", ""es"")"),"Próxima Luna Nueva")</f>
        <v>Próxima Luna Nueva</v>
      </c>
      <c r="BF243" s="7" t="str">
        <f>IFERROR(__xludf.DUMMYFUNCTION("GoogleTranslate(C243, ""en"", ""sw"")"),"Mwezi Mpya Ujao")</f>
        <v>Mwezi Mpya Ujao</v>
      </c>
      <c r="BG243" s="7" t="str">
        <f>IFERROR(__xludf.DUMMYFUNCTION("GoogleTranslate(C243, ""en"", ""sv"")"),"Nästa nymåne")</f>
        <v>Nästa nymåne</v>
      </c>
      <c r="BH243" s="7" t="str">
        <f>IFERROR(__xludf.DUMMYFUNCTION("GoogleTranslate(C243, ""en"", ""te"")"),"తదుపరి అమావాస్య")</f>
        <v>తదుపరి అమావాస్య</v>
      </c>
      <c r="BI243" s="7" t="str">
        <f>IFERROR(__xludf.DUMMYFUNCTION("GoogleTranslate(C243, ""en"", ""th"")"),"พระจันทร์ใหม่ถัดไป")</f>
        <v>พระจันทร์ใหม่ถัดไป</v>
      </c>
      <c r="BJ243" s="7" t="str">
        <f>IFERROR(__xludf.DUMMYFUNCTION("GoogleTranslate(C243, ""en"", ""tr"")"),"Sonraki Yeni Ay")</f>
        <v>Sonraki Yeni Ay</v>
      </c>
      <c r="BK243" s="7" t="str">
        <f>IFERROR(__xludf.DUMMYFUNCTION("GoogleTranslate(C243, ""en"", ""uk"")"),"Наступний молодий місяць")</f>
        <v>Наступний молодий місяць</v>
      </c>
      <c r="BL243" s="7" t="str">
        <f>IFERROR(__xludf.DUMMYFUNCTION("GoogleTranslate(C243, ""en"", ""zu"")"),"Inyanga Entsha Elandelayo")</f>
        <v>Inyanga Entsha Elandelayo</v>
      </c>
    </row>
    <row r="244">
      <c r="A244" s="5" t="str">
        <f t="shared" si="1"/>
        <v>©_2024_BacHaWeather,_Inc._"BacHaWeather"_and_sun_design_are_registered_trademarks_of_BacHaWeather,_Inc._All_Rights_Reserved.</v>
      </c>
      <c r="B244" s="4" t="s">
        <v>285</v>
      </c>
      <c r="C244" s="4" t="s">
        <v>285</v>
      </c>
      <c r="D244" s="7" t="str">
        <f>IFERROR(__xludf.DUMMYFUNCTION("GoogleTranslate(C244, ""en"", ""es"")"),"© 2024 BacHaWeather, Inc. ""BacHaWeather"" y el diseño del sol son marcas comerciales registradas de BacHaWeather, Inc. Todos los derechos reservados.")</f>
        <v>© 2024 BacHaWeather, Inc. "BacHaWeather" y el diseño del sol son marcas comerciales registradas de BacHaWeather, Inc. Todos los derechos reservados.</v>
      </c>
      <c r="E244" s="7" t="str">
        <f>IFERROR(__xludf.DUMMYFUNCTION("GoogleTranslate(C244, ""en"", ""ar"")"),"© 2024 BacHaWeather, Inc. ""BacHaWeather"" وتصميم الشمس هما علامتان تجاريتان مسجلتان لشركة BacHaWeather, Inc. جميع الحقوق محفوظة.")</f>
        <v>© 2024 BacHaWeather, Inc. "BacHaWeather" وتصميم الشمس هما علامتان تجاريتان مسجلتان لشركة BacHaWeather, Inc. جميع الحقوق محفوظة.</v>
      </c>
      <c r="F244" s="7" t="str">
        <f>IFERROR(__xludf.DUMMYFUNCTION("GoogleTranslate(C244, ""en"", ""hy"")"),"© 2024 BacHaWeather, Inc. «BacHaWeather» և sun design-ը BacHaWeather, Inc.-ի գրանցված ապրանքանիշերն են: Բոլոր իրավունքները պաշտպանված են:")</f>
        <v>© 2024 BacHaWeather, Inc. «BacHaWeather» և sun design-ը BacHaWeather, Inc.-ի գրանցված ապրանքանիշերն են: Բոլոր իրավունքները պաշտպանված են:</v>
      </c>
      <c r="G244" s="7" t="str">
        <f>IFERROR(__xludf.DUMMYFUNCTION("GoogleTranslate(C244, ""en"", ""vi"")"),"© 2024 BacHaWeather, Inc. ""BacHaWeather"" và thiết kế mặt trời là thương hiệu đã đăng ký của BacHaWeather, Inc. Mọi quyền được bảo lưu.")</f>
        <v>© 2024 BacHaWeather, Inc. "BacHaWeather" và thiết kế mặt trời là thương hiệu đã đăng ký của BacHaWeather, Inc. Mọi quyền được bảo lưu.</v>
      </c>
      <c r="H244" s="7" t="str">
        <f>IFERROR(__xludf.DUMMYFUNCTION("GoogleTranslate(C244, ""en"", ""az"")"),"© 2024 BacHaWeather, Inc. ""BacHaWeather"" və günəş dizaynı BacHaWeather, Inc şirkətinin qeydə alınmış ticarət nişanlarıdır. Bütün hüquqlar qorunur.")</f>
        <v>© 2024 BacHaWeather, Inc. "BacHaWeather" və günəş dizaynı BacHaWeather, Inc şirkətinin qeydə alınmış ticarət nişanlarıdır. Bütün hüquqlar qorunur.</v>
      </c>
      <c r="I244" s="7" t="str">
        <f>IFERROR(__xludf.DUMMYFUNCTION("GoogleTranslate(C244, ""en"", ""eu"")"),"© 2024 BacHaWeather, Inc. ""BacHaWeather"" eta eguzkiaren diseinua BacHaWeather, Inc-ren marka erregistratuak dira. Eskubide guztiak erreserbatuta.")</f>
        <v>© 2024 BacHaWeather, Inc. "BacHaWeather" eta eguzkiaren diseinua BacHaWeather, Inc-ren marka erregistratuak dira. Eskubide guztiak erreserbatuta.</v>
      </c>
      <c r="J244" s="7" t="str">
        <f>IFERROR(__xludf.DUMMYFUNCTION("GoogleTranslate(C244, ""en"", ""be"")"),"© 2024 BacHaWeather, Inc. «BacHaWeather» і sun design з'яўляюцца зарэгістраванымі гандлёвымі маркамі BacHaWeather, Inc. Усе правы абаронены.")</f>
        <v>© 2024 BacHaWeather, Inc. «BacHaWeather» і sun design з'яўляюцца зарэгістраванымі гандлёвымі маркамі BacHaWeather, Inc. Усе правы абаронены.</v>
      </c>
      <c r="K244" s="7" t="str">
        <f>IFERROR(__xludf.DUMMYFUNCTION("GoogleTranslate(C244, ""en"", ""bn"")"),"© 2024 BacHaWeather, Inc. ""BacHaWeather"" এবং সূর্যের নকশা BacHaWeather, Inc এর নিবন্ধিত ট্রেডমার্ক। সর্বস্বত্ব সংরক্ষিত৷")</f>
        <v>© 2024 BacHaWeather, Inc. "BacHaWeather" এবং সূর্যের নকশা BacHaWeather, Inc এর নিবন্ধিত ট্রেডমার্ক। সর্বস্বত্ব সংরক্ষিত৷</v>
      </c>
      <c r="L244" s="7" t="str">
        <f>IFERROR(__xludf.DUMMYFUNCTION("GoogleTranslate(C244, ""en"", ""bg"")"),"© 2024 BacHaWeather, Inc. „BacHaWeather“ и sun design са регистрирани търговски марки на BacHaWeather, Inc. Всички права запазени.")</f>
        <v>© 2024 BacHaWeather, Inc. „BacHaWeather“ и sun design са регистрирани търговски марки на BacHaWeather, Inc. Всички права запазени.</v>
      </c>
      <c r="M244" s="7" t="str">
        <f>IFERROR(__xludf.DUMMYFUNCTION("GoogleTranslate(C244, ""en"", ""my"")"),"© 2024 BacHaWeather, Inc. ""BacHaWeather"" နှင့် နေဒီဇိုင်းများသည် BacHaWeather, Inc. ၏ မှတ်ပုံတင်ထားသော ကုန်အမှတ်တံဆိပ်များဖြစ်သည်။")</f>
        <v>© 2024 BacHaWeather, Inc. "BacHaWeather" နှင့် နေဒီဇိုင်းများသည် BacHaWeather, Inc. ၏ မှတ်ပုံတင်ထားသော ကုန်အမှတ်တံဆိပ်များဖြစ်သည်။</v>
      </c>
      <c r="N244" s="7" t="str">
        <f>IFERROR(__xludf.DUMMYFUNCTION("GoogleTranslate(C244, ""en"", ""ca"")"),"© 2024 BacHaWeather, Inc. ""BacHaWeather"" i el disseny del sol són marques registrades de BacHaWeather, Inc. Tots els drets reservats.")</f>
        <v>© 2024 BacHaWeather, Inc. "BacHaWeather" i el disseny del sol són marques registrades de BacHaWeather, Inc. Tots els drets reservats.</v>
      </c>
      <c r="O244" s="7" t="str">
        <f>IFERROR(__xludf.DUMMYFUNCTION("GoogleTranslate(C244, ""en"", ""zh-cn"")"),"© 2024 BacHaWeather, Inc.“BacHaWeather”和太阳设计是 BacHaWeather, Inc. 的注册商标。保留所有权利。")</f>
        <v>© 2024 BacHaWeather, Inc.“BacHaWeather”和太阳设计是 BacHaWeather, Inc. 的注册商标。保留所有权利。</v>
      </c>
      <c r="P244" s="7" t="str">
        <f>IFERROR(__xludf.DUMMYFUNCTION("GoogleTranslate(C244, ""en"", ""zh-TW"")"),"© 2024 BacHaWeather, Inc.「BacHaWeather」和太陽設計是 BacHaWeather, Inc. 的註冊商標。")</f>
        <v>© 2024 BacHaWeather, Inc.「BacHaWeather」和太陽設計是 BacHaWeather, Inc. 的註冊商標。</v>
      </c>
      <c r="Q244" s="7" t="str">
        <f>IFERROR(__xludf.DUMMYFUNCTION("GoogleTranslate(C244, ""en"", ""hr"")"),"© 2024 BacHaWeather, Inc. ""BacHaWeather"" i sun design registrirani su zaštitni znaci tvrtke BacHaWeather, Inc. Sva prava pridržana.")</f>
        <v>© 2024 BacHaWeather, Inc. "BacHaWeather" i sun design registrirani su zaštitni znaci tvrtke BacHaWeather, Inc. Sva prava pridržana.</v>
      </c>
      <c r="R244" s="7" t="str">
        <f>IFERROR(__xludf.DUMMYFUNCTION("GoogleTranslate(C244, ""en"", ""cs"")"),"© 2024 BacHaWeather, Inc. „BacHaWeather“ a sun design jsou registrované ochranné známky společnosti BacHaWeather, Inc. Všechna práva vyhrazena.")</f>
        <v>© 2024 BacHaWeather, Inc. „BacHaWeather“ a sun design jsou registrované ochranné známky společnosti BacHaWeather, Inc. Všechna práva vyhrazena.</v>
      </c>
      <c r="S244" s="7" t="str">
        <f>IFERROR(__xludf.DUMMYFUNCTION("GoogleTranslate(C244, ""en"", ""da"")"),"© 2024 BacHaWeather, Inc. ""BacHaWeather"" og soldesign er registrerede varemærker tilhørende BacHaWeather, Inc. Alle rettigheder forbeholdes.")</f>
        <v>© 2024 BacHaWeather, Inc. "BacHaWeather" og soldesign er registrerede varemærker tilhørende BacHaWeather, Inc. Alle rettigheder forbeholdes.</v>
      </c>
      <c r="T244" s="7" t="str">
        <f>IFERROR(__xludf.DUMMYFUNCTION("GoogleTranslate(C244, ""en"", ""nl"")"),"© 2024 BacHaWeather, Inc. ""BacHaWeather"" en het zonontwerp zijn geregistreerde handelsmerken van BacHaWeather, Inc. Alle rechten voorbehouden.")</f>
        <v>© 2024 BacHaWeather, Inc. "BacHaWeather" en het zonontwerp zijn geregistreerde handelsmerken van BacHaWeather, Inc. Alle rechten voorbehouden.</v>
      </c>
      <c r="U244" s="7" t="str">
        <f>IFERROR(__xludf.DUMMYFUNCTION("GoogleTranslate(C244, ""en"", ""et"")"),"© 2024 BacHaWeather, Inc. ""BacHaWeather"" ja päikesekujundus on ettevõtte BacHaWeather, Inc. registreeritud kaubamärgid. Kõik õigused kaitstud.")</f>
        <v>© 2024 BacHaWeather, Inc. "BacHaWeather" ja päikesekujundus on ettevõtte BacHaWeather, Inc. registreeritud kaubamärgid. Kõik õigused kaitstud.</v>
      </c>
      <c r="V244" s="5" t="str">
        <f t="shared" si="3"/>
        <v>© 2024 BacHaWeather, Inc. "BacHaWeather" and sun design are registered trademarks of BacHaWeather, Inc. All Rights Reserved.</v>
      </c>
      <c r="W244" s="7" t="str">
        <f>IFERROR(__xludf.DUMMYFUNCTION("GoogleTranslate(C244, ""en"", ""fi"")"),"© 2024 BacHaWeather, Inc. ""BacHaWeather"" ja sun design ovat BacHaWeather, Inc:n rekisteröityjä tavaramerkkejä. Kaikki oikeudet pidätetään.")</f>
        <v>© 2024 BacHaWeather, Inc. "BacHaWeather" ja sun design ovat BacHaWeather, Inc:n rekisteröityjä tavaramerkkejä. Kaikki oikeudet pidätetään.</v>
      </c>
      <c r="X244" s="7" t="str">
        <f>IFERROR(__xludf.DUMMYFUNCTION("GoogleTranslate(C244, ""en"", ""fr"")"),"© 2024 BacHaWeather, Inc. « BacHaWeather » et le design du soleil sont des marques déposées de BacHaWeather, Inc. Tous droits réservés.")</f>
        <v>© 2024 BacHaWeather, Inc. « BacHaWeather » et le design du soleil sont des marques déposées de BacHaWeather, Inc. Tous droits réservés.</v>
      </c>
      <c r="Y244" s="7" t="str">
        <f>IFERROR(__xludf.DUMMYFUNCTION("GoogleTranslate(C244, ""en"", ""de"")"),"© 2024 BacHaWeather, Inc. „BacHaWeather“ und das Sonnendesign sind eingetragene Marken von BacHaWeather, Inc. Alle Rechte vorbehalten.")</f>
        <v>© 2024 BacHaWeather, Inc. „BacHaWeather“ und das Sonnendesign sind eingetragene Marken von BacHaWeather, Inc. Alle Rechte vorbehalten.</v>
      </c>
      <c r="Z244" s="7" t="str">
        <f>IFERROR(__xludf.DUMMYFUNCTION("GoogleTranslate(C244, ""en"", ""el"")"),"© 2024 BacHaWeather, Inc. Το ""BacHaWeather"" και το sun design είναι σήματα κατατεθέντα της BacHaWeather, Inc. Με την επιφύλαξη παντός δικαιώματος.")</f>
        <v>© 2024 BacHaWeather, Inc. Το "BacHaWeather" και το sun design είναι σήματα κατατεθέντα της BacHaWeather, Inc. Με την επιφύλαξη παντός δικαιώματος.</v>
      </c>
      <c r="AA244" s="7" t="str">
        <f>IFERROR(__xludf.DUMMYFUNCTION("GoogleTranslate(C244, ""en"", ""iw"")"),"© 2024 BacHaWeather, Inc. ""BacHaWeather"" ועיצוב השמש הם סימנים מסחריים רשומים של BacHaWeather, Inc. כל הזכויות שמורות.")</f>
        <v>© 2024 BacHaWeather, Inc. "BacHaWeather" ועיצוב השמש הם סימנים מסחריים רשומים של BacHaWeather, Inc. כל הזכויות שמורות.</v>
      </c>
      <c r="AB244" s="7" t="str">
        <f>IFERROR(__xludf.DUMMYFUNCTION("GoogleTranslate(C244, ""en"", ""hi"")"),"© 2024 BacHaWeather, Inc. ""BacHaWeather"" और सन डिज़ाइन BacHaWeather, Inc. के पंजीकृत ट्रेडमार्क हैं। सर्वाधिकार सुरक्षित।")</f>
        <v>© 2024 BacHaWeather, Inc. "BacHaWeather" और सन डिज़ाइन BacHaWeather, Inc. के पंजीकृत ट्रेडमार्क हैं। सर्वाधिकार सुरक्षित।</v>
      </c>
      <c r="AC244" s="7" t="str">
        <f>IFERROR(__xludf.DUMMYFUNCTION("GoogleTranslate(C244, ""en"", ""hu"")"),"© 2024 BacHaWeather, Inc. A „BacHaWeather” és a sun design a BacHaWeather, Inc. bejegyzett védjegye. Minden jog fenntartva.")</f>
        <v>© 2024 BacHaWeather, Inc. A „BacHaWeather” és a sun design a BacHaWeather, Inc. bejegyzett védjegye. Minden jog fenntartva.</v>
      </c>
      <c r="AD244" s="7" t="str">
        <f>IFERROR(__xludf.DUMMYFUNCTION("GoogleTranslate(C244, ""en"", ""is"")"),"© 2024 BacHaWeather, Inc. „BacHaWeather“ og sólhönnun eru skráð vörumerki BacHaWeather, Inc. Allur réttur áskilinn.")</f>
        <v>© 2024 BacHaWeather, Inc. „BacHaWeather“ og sólhönnun eru skráð vörumerki BacHaWeather, Inc. Allur réttur áskilinn.</v>
      </c>
      <c r="AE244" s="7" t="str">
        <f>IFERROR(__xludf.DUMMYFUNCTION("GoogleTranslate(C244, ""en"", ""id"")"),"© 2024 BacHaWeather, Inc. ""BacHaWeather"" dan desain matahari adalah merek dagang terdaftar dari BacHaWeather, Inc. Semua Hak Dilindungi Undang-Undang.")</f>
        <v>© 2024 BacHaWeather, Inc. "BacHaWeather" dan desain matahari adalah merek dagang terdaftar dari BacHaWeather, Inc. Semua Hak Dilindungi Undang-Undang.</v>
      </c>
      <c r="AF244" s="7" t="str">
        <f>IFERROR(__xludf.DUMMYFUNCTION("GoogleTranslate(C244, ""en"", ""in"")"),"© 2024 BacHaWeather, Inc. ""BacHaWeather"" dan desain matahari adalah merek dagang terdaftar dari BacHaWeather, Inc. Semua Hak Dilindungi Undang-Undang.")</f>
        <v>© 2024 BacHaWeather, Inc. "BacHaWeather" dan desain matahari adalah merek dagang terdaftar dari BacHaWeather, Inc. Semua Hak Dilindungi Undang-Undang.</v>
      </c>
      <c r="AG244" s="7" t="str">
        <f>IFERROR(__xludf.DUMMYFUNCTION("GoogleTranslate(C244, ""en"", ""it"")"),"© 2024 BacHaWeather, Inc. ""BacHaWeather"" e il design del sole sono marchi registrati di BacHaWeather, Inc. Tutti i diritti riservati.")</f>
        <v>© 2024 BacHaWeather, Inc. "BacHaWeather" e il design del sole sono marchi registrati di BacHaWeather, Inc. Tutti i diritti riservati.</v>
      </c>
      <c r="AH244" s="7" t="str">
        <f>IFERROR(__xludf.DUMMYFUNCTION("GoogleTranslate(C244, ""en"", ""ja"")"),"© 2024 BacHaWeather, Inc. 「BacHaWeather」および太陽のデザインは BacHaWeather, Inc. の登録商標です。無断複写・転載を禁じます。")</f>
        <v>© 2024 BacHaWeather, Inc. 「BacHaWeather」および太陽のデザインは BacHaWeather, Inc. の登録商標です。無断複写・転載を禁じます。</v>
      </c>
      <c r="AI244" s="7" t="str">
        <f>IFERROR(__xludf.DUMMYFUNCTION("GoogleTranslate(C244, ""en"", ""kn"")"),"© 2024 BacHaWeather, Inc. ""BacHaWeather"" ಮತ್ತು ಸೂರ್ಯನ ವಿನ್ಯಾಸವು BacHaWeather, Inc. ಎಲ್ಲಾ ಹಕ್ಕುಗಳನ್ನು ಕಾಯ್ದಿರಿಸಲಾಗಿದೆ.")</f>
        <v>© 2024 BacHaWeather, Inc. "BacHaWeather" ಮತ್ತು ಸೂರ್ಯನ ವಿನ್ಯಾಸವು BacHaWeather, Inc. ಎಲ್ಲಾ ಹಕ್ಕುಗಳನ್ನು ಕಾಯ್ದಿರಿಸಲಾಗಿದೆ.</v>
      </c>
      <c r="AJ244" s="7" t="str">
        <f>IFERROR(__xludf.DUMMYFUNCTION("GoogleTranslate(C244, ""en"", ""km"")"),"© 2024 BacHaWeather, Inc. ""BacHaWeather"" និងការរចនាព្រះអាទិត្យគឺជាពាណិជ្ជសញ្ញាដែលបានចុះបញ្ជីរបស់ BacHaWeather, Inc. រក្សាសិទ្ធិគ្រប់យ៉ាង។")</f>
        <v>© 2024 BacHaWeather, Inc. "BacHaWeather" និងការរចនាព្រះអាទិត្យគឺជាពាណិជ្ជសញ្ញាដែលបានចុះបញ្ជីរបស់ BacHaWeather, Inc. រក្សាសិទ្ធិគ្រប់យ៉ាង។</v>
      </c>
      <c r="AK244" s="7" t="str">
        <f>IFERROR(__xludf.DUMMYFUNCTION("GoogleTranslate(C244, ""en"", ""ko"")"),"© 2024 BacHaWeather, Inc. ""BacHaWeather"" 및 태양 디자인은 BacHaWeather, Inc.의 등록 상표입니다. All Rights Reserved.")</f>
        <v>© 2024 BacHaWeather, Inc. "BacHaWeather" 및 태양 디자인은 BacHaWeather, Inc.의 등록 상표입니다. All Rights Reserved.</v>
      </c>
      <c r="AL244" s="7" t="str">
        <f>IFERROR(__xludf.DUMMYFUNCTION("GoogleTranslate(C244, ""en"", ""lo"")"),"© 2024 BacHaWeather, Inc. ""BacHaWeather"" ແລະການອອກແບບແສງຕາເວັນແມ່ນເຄື່ອງໝາຍການຄ້າທີ່ຈົດທະບຽນຂອງ BacHaWeather, Inc. ສະຫງວນລິຂະສິດທັງໝົດ.")</f>
        <v>© 2024 BacHaWeather, Inc. "BacHaWeather" ແລະການອອກແບບແສງຕາເວັນແມ່ນເຄື່ອງໝາຍການຄ້າທີ່ຈົດທະບຽນຂອງ BacHaWeather, Inc. ສະຫງວນລິຂະສິດທັງໝົດ.</v>
      </c>
      <c r="AM244" s="7" t="str">
        <f>IFERROR(__xludf.DUMMYFUNCTION("GoogleTranslate(C244, ""en"", ""lv"")"),"© 2024 BacHaWeather, Inc. ""BacHaWeather"" un saules dizains ir BacHaWeather, Inc. reģistrētas preču zīmes. Visas tiesības aizsargātas.")</f>
        <v>© 2024 BacHaWeather, Inc. "BacHaWeather" un saules dizains ir BacHaWeather, Inc. reģistrētas preču zīmes. Visas tiesības aizsargātas.</v>
      </c>
      <c r="AN244" s="7" t="str">
        <f>IFERROR(__xludf.DUMMYFUNCTION("GoogleTranslate(C244, ""en"", ""lt"")"),"© 2024 BacHaWeather, Inc. ""BacHaWeather"" ir saulės dizainas yra registruotieji BacHaWeather, Inc. prekių ženklai. Visos teisės saugomos.")</f>
        <v>© 2024 BacHaWeather, Inc. "BacHaWeather" ir saulės dizainas yra registruotieji BacHaWeather, Inc. prekių ženklai. Visos teisės saugomos.</v>
      </c>
      <c r="AO244" s="7" t="str">
        <f>IFERROR(__xludf.DUMMYFUNCTION("GoogleTranslate(C244, ""en"", ""mk"")"),"© 2024 BacHaWeather, Inc. „BacHaWeather“ и дизајнот на сонцето се регистрирани заштитни знаци на BacHaWeather, Inc. Сите права се задржани.")</f>
        <v>© 2024 BacHaWeather, Inc. „BacHaWeather“ и дизајнот на сонцето се регистрирани заштитни знаци на BacHaWeather, Inc. Сите права се задржани.</v>
      </c>
      <c r="AP244" s="7" t="str">
        <f>IFERROR(__xludf.DUMMYFUNCTION("GoogleTranslate(C244, ""en"", ""ms"")"),"© 2024 BacHaWeather, Inc. ""BacHaWeather"" dan reka bentuk matahari ialah tanda dagangan berdaftar BacHaWeather, Inc. Hak Cipta Terpelihara.")</f>
        <v>© 2024 BacHaWeather, Inc. "BacHaWeather" dan reka bentuk matahari ialah tanda dagangan berdaftar BacHaWeather, Inc. Hak Cipta Terpelihara.</v>
      </c>
      <c r="AQ244" s="7" t="str">
        <f>IFERROR(__xludf.DUMMYFUNCTION("GoogleTranslate(C244, ""en"", ""ml"")"),"© 2024 BacHaWeather, Inc. ""BacHaWeather"" ഉം സൺ ഡിസൈനും BacHaWeather, Inc. എല്ലാ അവകാശങ്ങളും നിക്ഷിപ്‌തമാണ്.")</f>
        <v>© 2024 BacHaWeather, Inc. "BacHaWeather" ഉം സൺ ഡിസൈനും BacHaWeather, Inc. എല്ലാ അവകാശങ്ങളും നിക്ഷിപ്‌തമാണ്.</v>
      </c>
      <c r="AR244" s="7" t="str">
        <f>IFERROR(__xludf.DUMMYFUNCTION("GoogleTranslate(C244, ""en"", ""mr"")"),"© 2024 BacHaWeather, Inc. ""BacHaWeather"" आणि सन डिझाइन हे BacHaWeather, Inc. चे नोंदणीकृत ट्रेडमार्क आहेत. सर्व हक्क राखीव आहेत.")</f>
        <v>© 2024 BacHaWeather, Inc. "BacHaWeather" आणि सन डिझाइन हे BacHaWeather, Inc. चे नोंदणीकृत ट्रेडमार्क आहेत. सर्व हक्क राखीव आहेत.</v>
      </c>
      <c r="AS244" s="7" t="str">
        <f>IFERROR(__xludf.DUMMYFUNCTION("GoogleTranslate(C244, ""en"", ""mn"")"),"© 2024 BacHaWeather, Inc. ""BacHaWeather"" болон нарны загвар нь BacHaWeather, Inc-ийн бүртгэгдсэн худалдааны тэмдэг юм. Бүх эрх хуулиар хамгаалагдсан.")</f>
        <v>© 2024 BacHaWeather, Inc. "BacHaWeather" болон нарны загвар нь BacHaWeather, Inc-ийн бүртгэгдсэн худалдааны тэмдэг юм. Бүх эрх хуулиар хамгаалагдсан.</v>
      </c>
      <c r="AT244" s="7" t="str">
        <f>IFERROR(__xludf.DUMMYFUNCTION("GoogleTranslate(C244, ""en"", ""ne"")"),"© 2024 BacHaWeather, Inc. ""BacHaWeather"" र सूर्य डिजाइन BacHaWeather, Inc का दर्ता ट्रेडमार्क हो। सर्वाधिकार सुरक्षित।")</f>
        <v>© 2024 BacHaWeather, Inc. "BacHaWeather" र सूर्य डिजाइन BacHaWeather, Inc का दर्ता ट्रेडमार्क हो। सर्वाधिकार सुरक्षित।</v>
      </c>
      <c r="AU244" s="7" t="str">
        <f>IFERROR(__xludf.DUMMYFUNCTION("GoogleTranslate(C244, ""en"", ""nb"")"),"© 2024 BacHaWeather, Inc. ""BacHaWeather"" og soldesign er registrerte varemerker for BacHaWeather, Inc. Med enerett.")</f>
        <v>© 2024 BacHaWeather, Inc. "BacHaWeather" og soldesign er registrerte varemerker for BacHaWeather, Inc. Med enerett.</v>
      </c>
      <c r="AV244" s="7" t="str">
        <f>IFERROR(__xludf.DUMMYFUNCTION("GoogleTranslate(C244, ""en"", ""fa"")"),"© 2024 BacHaWeather, Inc. ""BacHaWeather"" و طراحی خورشید علائم تجاری ثبت شده BacHaWeather, Inc. کلیه حقوق محفوظ است.")</f>
        <v>© 2024 BacHaWeather, Inc. "BacHaWeather" و طراحی خورشید علائم تجاری ثبت شده BacHaWeather, Inc. کلیه حقوق محفوظ است.</v>
      </c>
      <c r="AW244" s="7" t="str">
        <f>IFERROR(__xludf.DUMMYFUNCTION("GoogleTranslate(C244, ""en"", ""pl"")"),"© 2024 BacHaWeather, Inc. „BacHaWeather” i wzór słońca są zastrzeżonymi znakami towarowymi firmy BacHaWeather, Inc. Wszelkie prawa zastrzeżone.")</f>
        <v>© 2024 BacHaWeather, Inc. „BacHaWeather” i wzór słońca są zastrzeżonymi znakami towarowymi firmy BacHaWeather, Inc. Wszelkie prawa zastrzeżone.</v>
      </c>
      <c r="AX244" s="7" t="str">
        <f>IFERROR(__xludf.DUMMYFUNCTION("GoogleTranslate(C244, ""en"", ""pt"")"),"© 2024 BacHaWeather, Inc. ""BacHaWeather"" e design do sol são marcas registradas da BacHaWeather, Inc. Todos os direitos reservados.")</f>
        <v>© 2024 BacHaWeather, Inc. "BacHaWeather" e design do sol são marcas registradas da BacHaWeather, Inc. Todos os direitos reservados.</v>
      </c>
      <c r="AY244" s="7" t="str">
        <f>IFERROR(__xludf.DUMMYFUNCTION("GoogleTranslate(C244, ""en"", ""ro"")"),"© 2024 BacHaWeather, Inc. „BacHaWeather” și designul soarelui sunt mărci comerciale înregistrate ale BacHaWeather, Inc. Toate drepturile rezervate.")</f>
        <v>© 2024 BacHaWeather, Inc. „BacHaWeather” și designul soarelui sunt mărci comerciale înregistrate ale BacHaWeather, Inc. Toate drepturile rezervate.</v>
      </c>
      <c r="AZ244" s="7" t="str">
        <f>IFERROR(__xludf.DUMMYFUNCTION("GoogleTranslate(C244, ""en"", ""ru"")"),"© 2024 BacHaWeather, Inc. «BacHaWeather» и дизайн солнца являются зарегистрированными торговыми марками BacHaWeather, Inc. Все права защищены.")</f>
        <v>© 2024 BacHaWeather, Inc. «BacHaWeather» и дизайн солнца являются зарегистрированными торговыми марками BacHaWeather, Inc. Все права защищены.</v>
      </c>
      <c r="BA244" s="7" t="str">
        <f>IFERROR(__xludf.DUMMYFUNCTION("GoogleTranslate(C244, ""en"", ""sr"")"),"© 2024 БацХаВеатхер, Инц. „БацХаВеатхер“ и дизајн сунца су регистровани заштитни знаци компаније БацХаВеатхер, Инц. Сва права задржана.")</f>
        <v>© 2024 БацХаВеатхер, Инц. „БацХаВеатхер“ и дизајн сунца су регистровани заштитни знаци компаније БацХаВеатхер, Инц. Сва права задржана.</v>
      </c>
      <c r="BB244" s="7" t="str">
        <f>IFERROR(__xludf.DUMMYFUNCTION("GoogleTranslate(C244, ""en"", ""si"")"),"© 2024 BacHaWeather, Inc. ""BacHaWeather"" සහ හිරු නිර්මාණය BacHaWeather, Inc. හි ලියාපදිංචි වෙළඳ ලකුණු වේ. සියලුම හිමිකම් ඇවිරිණි.")</f>
        <v>© 2024 BacHaWeather, Inc. "BacHaWeather" සහ හිරු නිර්මාණය BacHaWeather, Inc. හි ලියාපදිංචි වෙළඳ ලකුණු වේ. සියලුම හිමිකම් ඇවිරිණි.</v>
      </c>
      <c r="BC244" s="7" t="str">
        <f>IFERROR(__xludf.DUMMYFUNCTION("GoogleTranslate(C244, ""en"", ""sk"")"),"© 2024 BacHaWeather, Inc. „BacHaWeather“ a slnečný dizajn sú registrované ochranné známky spoločnosti BacHaWeather, Inc. Všetky práva vyhradené.")</f>
        <v>© 2024 BacHaWeather, Inc. „BacHaWeather“ a slnečný dizajn sú registrované ochranné známky spoločnosti BacHaWeather, Inc. Všetky práva vyhradené.</v>
      </c>
      <c r="BD244" s="7" t="str">
        <f>IFERROR(__xludf.DUMMYFUNCTION("GoogleTranslate(C244, ""en"", ""sl"")"),"© 2024 BacHaWeather, Inc. »BacHaWeather« in sun design sta registrirani blagovni znamki družbe BacHaWeather, Inc. Vse pravice pridržane.")</f>
        <v>© 2024 BacHaWeather, Inc. »BacHaWeather« in sun design sta registrirani blagovni znamki družbe BacHaWeather, Inc. Vse pravice pridržane.</v>
      </c>
      <c r="BE244" s="7" t="str">
        <f>IFERROR(__xludf.DUMMYFUNCTION("GoogleTranslate(C244, ""en"", ""es"")"),"© 2024 BacHaWeather, Inc. ""BacHaWeather"" y el diseño del sol son marcas comerciales registradas de BacHaWeather, Inc. Todos los derechos reservados.")</f>
        <v>© 2024 BacHaWeather, Inc. "BacHaWeather" y el diseño del sol son marcas comerciales registradas de BacHaWeather, Inc. Todos los derechos reservados.</v>
      </c>
      <c r="BF244" s="7" t="str">
        <f>IFERROR(__xludf.DUMMYFUNCTION("GoogleTranslate(C244, ""en"", ""sw"")"),"© 2024 BacHaWeather, Inc. ""BacHaWeather"" na muundo wa jua ni alama za biashara zilizosajiliwa za BacHaWeather, Inc. Haki Zote Zimehifadhiwa.")</f>
        <v>© 2024 BacHaWeather, Inc. "BacHaWeather" na muundo wa jua ni alama za biashara zilizosajiliwa za BacHaWeather, Inc. Haki Zote Zimehifadhiwa.</v>
      </c>
      <c r="BG244" s="7" t="str">
        <f>IFERROR(__xludf.DUMMYFUNCTION("GoogleTranslate(C244, ""en"", ""sv"")"),"© 2024 BacHaWeather, Inc. ""BacHaWeather"" och soldesign är registrerade varumärken som tillhör BacHaWeather, Inc. Med ensamrätt.")</f>
        <v>© 2024 BacHaWeather, Inc. "BacHaWeather" och soldesign är registrerade varumärken som tillhör BacHaWeather, Inc. Med ensamrätt.</v>
      </c>
      <c r="BH244" s="7" t="str">
        <f>IFERROR(__xludf.DUMMYFUNCTION("GoogleTranslate(C244, ""en"", ""te"")"),"© 2024 BacHaWeather, Inc. ""BacHaWeather"" మరియు సన్ డిజైన్ BacHaWeather, Inc. అన్ని హక్కులు రిజిస్టర్డ్ ట్రేడ్‌మార్క్‌లు.")</f>
        <v>© 2024 BacHaWeather, Inc. "BacHaWeather" మరియు సన్ డిజైన్ BacHaWeather, Inc. అన్ని హక్కులు రిజిస్టర్డ్ ట్రేడ్‌మార్క్‌లు.</v>
      </c>
      <c r="BI244" s="7" t="str">
        <f>IFERROR(__xludf.DUMMYFUNCTION("GoogleTranslate(C244, ""en"", ""th"")"),"© 2024 BacHaWeather, Inc. ""BacHaWeather"" และการออกแบบดวงอาทิตย์เป็นเครื่องหมายการค้าจดทะเบียนของ BacHaWeather, Inc. สงวนลิขสิทธิ์")</f>
        <v>© 2024 BacHaWeather, Inc. "BacHaWeather" และการออกแบบดวงอาทิตย์เป็นเครื่องหมายการค้าจดทะเบียนของ BacHaWeather, Inc. สงวนลิขสิทธิ์</v>
      </c>
      <c r="BJ244" s="7" t="str">
        <f>IFERROR(__xludf.DUMMYFUNCTION("GoogleTranslate(C244, ""en"", ""tr"")"),"© 2024 BacHaWeather, Inc. ""BacHaWeather"" ve güneş tasarımı, BacHaWeather, Inc.'nin tescilli ticari markalarıdır. Tüm Hakları Saklıdır.")</f>
        <v>© 2024 BacHaWeather, Inc. "BacHaWeather" ve güneş tasarımı, BacHaWeather, Inc.'nin tescilli ticari markalarıdır. Tüm Hakları Saklıdır.</v>
      </c>
      <c r="BK244" s="7" t="str">
        <f>IFERROR(__xludf.DUMMYFUNCTION("GoogleTranslate(C244, ""en"", ""uk"")"),"© 2024 BacHaWeather, Inc. «BacHaWeather» і sun design є зареєстрованими торговими марками BacHaWeather, Inc. Усі права захищено.")</f>
        <v>© 2024 BacHaWeather, Inc. «BacHaWeather» і sun design є зареєстрованими торговими марками BacHaWeather, Inc. Усі права захищено.</v>
      </c>
      <c r="BL244" s="7" t="str">
        <f>IFERROR(__xludf.DUMMYFUNCTION("GoogleTranslate(C244, ""en"", ""zu"")"),"© 2024 BacHaWeather, Inc. ""BacHaWeather"" kanye nomklamo welanga yizimpawu zokuthengisa ezibhalisiwe ze-BacHaWeather, Inc. Wonke Amalungelo Agodliwe.")</f>
        <v>© 2024 BacHaWeather, Inc. "BacHaWeather" kanye nomklamo welanga yizimpawu zokuthengisa ezibhalisiwe ze-BacHaWeather, Inc. Wonke Amalungelo Agodliwe.</v>
      </c>
    </row>
    <row r="245">
      <c r="B245" s="8"/>
      <c r="C245" s="8"/>
    </row>
    <row r="246">
      <c r="B246" s="8"/>
      <c r="C246" s="8"/>
    </row>
    <row r="247">
      <c r="B247" s="8"/>
      <c r="C247" s="8"/>
    </row>
    <row r="248">
      <c r="B248" s="8"/>
      <c r="C248" s="8"/>
    </row>
    <row r="249">
      <c r="B249" s="8"/>
      <c r="C249" s="8"/>
    </row>
    <row r="250">
      <c r="B250" s="8"/>
      <c r="C250" s="8"/>
    </row>
    <row r="251">
      <c r="B251" s="8"/>
      <c r="C251" s="8"/>
    </row>
    <row r="252">
      <c r="B252" s="8"/>
      <c r="C252" s="8"/>
    </row>
    <row r="253">
      <c r="B253" s="8"/>
      <c r="C253" s="8"/>
    </row>
    <row r="254">
      <c r="B254" s="8"/>
      <c r="C254" s="8"/>
    </row>
    <row r="255">
      <c r="B255" s="8"/>
      <c r="C255" s="8"/>
    </row>
    <row r="256">
      <c r="B256" s="8"/>
      <c r="C256" s="8"/>
    </row>
    <row r="257">
      <c r="B257" s="8"/>
      <c r="C257" s="8"/>
    </row>
    <row r="258">
      <c r="B258" s="8"/>
      <c r="C258" s="8"/>
    </row>
    <row r="259">
      <c r="B259" s="8"/>
      <c r="C259" s="8"/>
    </row>
    <row r="260">
      <c r="B260" s="8"/>
      <c r="C260" s="8"/>
    </row>
    <row r="261">
      <c r="B261" s="8"/>
      <c r="C261" s="8"/>
    </row>
    <row r="262">
      <c r="B262" s="8"/>
      <c r="C262" s="8"/>
    </row>
    <row r="263">
      <c r="B263" s="8"/>
      <c r="C263" s="8"/>
    </row>
    <row r="264">
      <c r="B264" s="8"/>
      <c r="C264" s="8"/>
    </row>
    <row r="265">
      <c r="B265" s="8"/>
      <c r="C265" s="8"/>
    </row>
    <row r="266">
      <c r="B266" s="8"/>
      <c r="C266" s="8"/>
    </row>
    <row r="267">
      <c r="B267" s="8"/>
      <c r="C267" s="8"/>
    </row>
    <row r="268">
      <c r="B268" s="8"/>
      <c r="C268" s="8"/>
    </row>
    <row r="269">
      <c r="B269" s="8"/>
      <c r="C269" s="8"/>
    </row>
    <row r="270">
      <c r="B270" s="8"/>
      <c r="C270" s="8"/>
    </row>
    <row r="271">
      <c r="B271" s="8"/>
      <c r="C271" s="8"/>
    </row>
    <row r="272">
      <c r="B272" s="8"/>
      <c r="C272" s="8"/>
    </row>
    <row r="273">
      <c r="B273" s="8"/>
      <c r="C273" s="8"/>
    </row>
    <row r="274">
      <c r="B274" s="8"/>
      <c r="C274" s="8"/>
    </row>
    <row r="275">
      <c r="B275" s="8"/>
      <c r="C275" s="8"/>
    </row>
    <row r="276">
      <c r="B276" s="8"/>
      <c r="C276" s="8"/>
    </row>
    <row r="277">
      <c r="B277" s="8"/>
      <c r="C277" s="8"/>
    </row>
    <row r="278">
      <c r="B278" s="8"/>
      <c r="C278" s="8"/>
    </row>
    <row r="279">
      <c r="B279" s="8"/>
      <c r="C279" s="8"/>
    </row>
    <row r="280">
      <c r="B280" s="8"/>
      <c r="C280" s="8"/>
    </row>
    <row r="281">
      <c r="B281" s="8"/>
      <c r="C281" s="8"/>
    </row>
    <row r="282">
      <c r="B282" s="8"/>
      <c r="C282" s="8"/>
    </row>
    <row r="283">
      <c r="B283" s="8"/>
      <c r="C283" s="8"/>
    </row>
    <row r="284">
      <c r="B284" s="8"/>
      <c r="C284" s="8"/>
    </row>
    <row r="285">
      <c r="B285" s="8"/>
      <c r="C285" s="8"/>
    </row>
    <row r="286">
      <c r="B286" s="8"/>
      <c r="C286" s="8"/>
    </row>
    <row r="287">
      <c r="B287" s="8"/>
      <c r="C287" s="8"/>
    </row>
    <row r="288">
      <c r="B288" s="8"/>
      <c r="C288" s="8"/>
    </row>
    <row r="289">
      <c r="B289" s="8"/>
      <c r="C289" s="8"/>
    </row>
    <row r="290">
      <c r="B290" s="8"/>
      <c r="C290" s="8"/>
    </row>
    <row r="291">
      <c r="B291" s="8"/>
      <c r="C291" s="8"/>
    </row>
    <row r="292">
      <c r="B292" s="8"/>
      <c r="C292" s="8"/>
    </row>
    <row r="293">
      <c r="B293" s="8"/>
      <c r="C293" s="8"/>
    </row>
    <row r="294">
      <c r="B294" s="8"/>
      <c r="C294" s="8"/>
    </row>
    <row r="295">
      <c r="B295" s="8"/>
      <c r="C295" s="8"/>
    </row>
    <row r="296">
      <c r="B296" s="8"/>
      <c r="C296" s="8"/>
    </row>
    <row r="297">
      <c r="B297" s="8"/>
      <c r="C297" s="8"/>
    </row>
    <row r="298">
      <c r="B298" s="8"/>
      <c r="C298" s="8"/>
    </row>
    <row r="299">
      <c r="B299" s="8"/>
      <c r="C299" s="8"/>
    </row>
    <row r="300">
      <c r="B300" s="8"/>
      <c r="C300" s="8"/>
    </row>
    <row r="301">
      <c r="B301" s="8"/>
      <c r="C301" s="8"/>
    </row>
    <row r="302">
      <c r="B302" s="8"/>
      <c r="C302" s="8"/>
    </row>
    <row r="303">
      <c r="B303" s="8"/>
      <c r="C303" s="8"/>
    </row>
    <row r="304">
      <c r="B304" s="8"/>
      <c r="C304" s="8"/>
    </row>
    <row r="305">
      <c r="B305" s="8"/>
      <c r="C305" s="8"/>
    </row>
    <row r="306">
      <c r="B306" s="8"/>
      <c r="C306" s="8"/>
    </row>
    <row r="307">
      <c r="B307" s="8"/>
      <c r="C307" s="8"/>
    </row>
    <row r="308">
      <c r="B308" s="8"/>
      <c r="C308" s="8"/>
    </row>
    <row r="309">
      <c r="B309" s="8"/>
      <c r="C309" s="8"/>
    </row>
    <row r="310">
      <c r="B310" s="8"/>
      <c r="C310" s="8"/>
    </row>
    <row r="311">
      <c r="B311" s="8"/>
      <c r="C311" s="8"/>
    </row>
    <row r="312">
      <c r="B312" s="8"/>
      <c r="C312" s="8"/>
    </row>
    <row r="313">
      <c r="B313" s="8"/>
      <c r="C313" s="8"/>
    </row>
    <row r="314">
      <c r="B314" s="8"/>
      <c r="C314" s="8"/>
    </row>
    <row r="315">
      <c r="B315" s="8"/>
      <c r="C315" s="8"/>
    </row>
    <row r="316">
      <c r="B316" s="8"/>
      <c r="C316" s="8"/>
    </row>
    <row r="317">
      <c r="B317" s="8"/>
      <c r="C317" s="8"/>
    </row>
    <row r="318">
      <c r="B318" s="8"/>
      <c r="C318" s="8"/>
    </row>
    <row r="319">
      <c r="B319" s="8"/>
      <c r="C319" s="8"/>
    </row>
    <row r="320">
      <c r="B320" s="8"/>
      <c r="C320" s="8"/>
    </row>
    <row r="321">
      <c r="B321" s="8"/>
      <c r="C321" s="8"/>
    </row>
    <row r="322">
      <c r="B322" s="8"/>
      <c r="C322" s="8"/>
    </row>
    <row r="323">
      <c r="B323" s="8"/>
      <c r="C323" s="8"/>
    </row>
    <row r="324">
      <c r="B324" s="8"/>
      <c r="C324" s="8"/>
    </row>
    <row r="325">
      <c r="B325" s="8"/>
      <c r="C325" s="8"/>
    </row>
    <row r="326">
      <c r="B326" s="8"/>
      <c r="C326" s="8"/>
    </row>
    <row r="327">
      <c r="B327" s="8"/>
      <c r="C327" s="8"/>
    </row>
    <row r="328">
      <c r="B328" s="8"/>
      <c r="C328" s="8"/>
    </row>
    <row r="329">
      <c r="B329" s="8"/>
      <c r="C329" s="8"/>
    </row>
    <row r="330">
      <c r="B330" s="8"/>
      <c r="C330" s="8"/>
    </row>
    <row r="331">
      <c r="B331" s="8"/>
      <c r="C331" s="8"/>
    </row>
    <row r="332">
      <c r="B332" s="8"/>
      <c r="C332" s="8"/>
    </row>
    <row r="333">
      <c r="B333" s="8"/>
      <c r="C333" s="8"/>
    </row>
    <row r="334">
      <c r="B334" s="8"/>
      <c r="C334" s="8"/>
    </row>
    <row r="335">
      <c r="B335" s="8"/>
      <c r="C335" s="8"/>
    </row>
    <row r="336">
      <c r="B336" s="8"/>
      <c r="C336" s="8"/>
    </row>
    <row r="337">
      <c r="B337" s="8"/>
      <c r="C337" s="8"/>
    </row>
    <row r="338">
      <c r="B338" s="8"/>
      <c r="C338" s="8"/>
    </row>
    <row r="339">
      <c r="B339" s="8"/>
      <c r="C339" s="8"/>
    </row>
    <row r="340">
      <c r="B340" s="8"/>
      <c r="C340" s="8"/>
    </row>
    <row r="341">
      <c r="B341" s="8"/>
      <c r="C341" s="8"/>
    </row>
    <row r="342">
      <c r="B342" s="8"/>
      <c r="C342" s="8"/>
    </row>
    <row r="343">
      <c r="B343" s="8"/>
      <c r="C343" s="8"/>
    </row>
    <row r="344">
      <c r="B344" s="8"/>
      <c r="C344" s="8"/>
    </row>
    <row r="345">
      <c r="B345" s="8"/>
      <c r="C345" s="8"/>
    </row>
    <row r="346">
      <c r="B346" s="8"/>
      <c r="C346" s="8"/>
    </row>
    <row r="347">
      <c r="B347" s="8"/>
      <c r="C347" s="8"/>
    </row>
    <row r="348">
      <c r="B348" s="8"/>
      <c r="C348" s="8"/>
    </row>
    <row r="349">
      <c r="B349" s="8"/>
      <c r="C349" s="8"/>
    </row>
    <row r="350">
      <c r="B350" s="8"/>
      <c r="C350" s="8"/>
    </row>
    <row r="351">
      <c r="B351" s="8"/>
      <c r="C351" s="8"/>
    </row>
    <row r="352">
      <c r="B352" s="8"/>
      <c r="C352" s="8"/>
    </row>
    <row r="353">
      <c r="B353" s="8"/>
      <c r="C353" s="8"/>
    </row>
    <row r="354">
      <c r="B354" s="8"/>
      <c r="C354" s="8"/>
    </row>
    <row r="355">
      <c r="B355" s="8"/>
      <c r="C355" s="8"/>
    </row>
    <row r="356">
      <c r="B356" s="8"/>
      <c r="C356" s="8"/>
    </row>
    <row r="357">
      <c r="B357" s="8"/>
      <c r="C357" s="8"/>
    </row>
    <row r="358">
      <c r="B358" s="8"/>
      <c r="C358" s="8"/>
    </row>
    <row r="359">
      <c r="B359" s="8"/>
      <c r="C359" s="8"/>
    </row>
    <row r="360">
      <c r="B360" s="8"/>
      <c r="C360" s="8"/>
    </row>
    <row r="361">
      <c r="B361" s="8"/>
      <c r="C361" s="8"/>
    </row>
    <row r="362">
      <c r="B362" s="8"/>
      <c r="C362" s="8"/>
    </row>
    <row r="363">
      <c r="B363" s="8"/>
      <c r="C363" s="8"/>
    </row>
    <row r="364">
      <c r="B364" s="8"/>
      <c r="C364" s="8"/>
    </row>
    <row r="365">
      <c r="B365" s="8"/>
      <c r="C365" s="8"/>
    </row>
    <row r="366">
      <c r="B366" s="8"/>
      <c r="C366" s="8"/>
    </row>
    <row r="367">
      <c r="B367" s="8"/>
      <c r="C367" s="8"/>
    </row>
    <row r="368">
      <c r="B368" s="8"/>
      <c r="C368" s="8"/>
    </row>
    <row r="369">
      <c r="B369" s="8"/>
      <c r="C369" s="8"/>
    </row>
    <row r="370">
      <c r="B370" s="8"/>
      <c r="C370" s="8"/>
    </row>
    <row r="371">
      <c r="B371" s="8"/>
      <c r="C371" s="8"/>
    </row>
    <row r="372">
      <c r="B372" s="8"/>
      <c r="C372" s="8"/>
    </row>
    <row r="373">
      <c r="B373" s="8"/>
      <c r="C373" s="8"/>
    </row>
    <row r="374">
      <c r="B374" s="8"/>
      <c r="C374" s="8"/>
    </row>
    <row r="375">
      <c r="B375" s="8"/>
      <c r="C375" s="8"/>
    </row>
    <row r="376">
      <c r="B376" s="8"/>
      <c r="C376" s="8"/>
    </row>
    <row r="377">
      <c r="B377" s="8"/>
      <c r="C377" s="8"/>
    </row>
    <row r="378">
      <c r="B378" s="8"/>
      <c r="C378" s="8"/>
    </row>
    <row r="379">
      <c r="B379" s="8"/>
      <c r="C379" s="8"/>
    </row>
    <row r="380">
      <c r="B380" s="8"/>
      <c r="C380" s="8"/>
    </row>
    <row r="381">
      <c r="B381" s="8"/>
      <c r="C381" s="8"/>
    </row>
    <row r="382">
      <c r="B382" s="8"/>
      <c r="C382" s="8"/>
    </row>
    <row r="383">
      <c r="B383" s="8"/>
      <c r="C383" s="8"/>
    </row>
    <row r="384">
      <c r="B384" s="8"/>
      <c r="C384" s="8"/>
    </row>
    <row r="385">
      <c r="B385" s="8"/>
      <c r="C385" s="8"/>
    </row>
    <row r="386">
      <c r="B386" s="8"/>
      <c r="C386" s="8"/>
    </row>
    <row r="387">
      <c r="B387" s="8"/>
      <c r="C387" s="8"/>
    </row>
    <row r="388">
      <c r="B388" s="8"/>
      <c r="C388" s="8"/>
    </row>
    <row r="389">
      <c r="B389" s="8"/>
      <c r="C389" s="8"/>
    </row>
    <row r="390">
      <c r="B390" s="8"/>
      <c r="C390" s="8"/>
    </row>
    <row r="391">
      <c r="B391" s="8"/>
      <c r="C391" s="8"/>
    </row>
    <row r="392">
      <c r="B392" s="8"/>
      <c r="C392" s="8"/>
    </row>
    <row r="393">
      <c r="B393" s="8"/>
      <c r="C393" s="8"/>
    </row>
    <row r="394">
      <c r="B394" s="8"/>
      <c r="C394" s="8"/>
    </row>
    <row r="395">
      <c r="B395" s="8"/>
      <c r="C395" s="8"/>
    </row>
    <row r="396">
      <c r="B396" s="8"/>
      <c r="C396" s="8"/>
    </row>
    <row r="397">
      <c r="B397" s="8"/>
      <c r="C397" s="8"/>
    </row>
    <row r="398">
      <c r="B398" s="8"/>
      <c r="C398" s="8"/>
    </row>
    <row r="399">
      <c r="B399" s="8"/>
      <c r="C399" s="8"/>
    </row>
    <row r="400">
      <c r="B400" s="8"/>
      <c r="C400" s="8"/>
    </row>
    <row r="401">
      <c r="B401" s="8"/>
      <c r="C401" s="8"/>
    </row>
    <row r="402">
      <c r="B402" s="8"/>
      <c r="C402" s="8"/>
    </row>
    <row r="403">
      <c r="B403" s="8"/>
      <c r="C403" s="8"/>
    </row>
    <row r="404">
      <c r="B404" s="8"/>
      <c r="C404" s="8"/>
    </row>
    <row r="405">
      <c r="B405" s="8"/>
      <c r="C405" s="8"/>
    </row>
    <row r="406">
      <c r="B406" s="8"/>
      <c r="C406" s="8"/>
    </row>
    <row r="407">
      <c r="B407" s="8"/>
      <c r="C407" s="8"/>
    </row>
    <row r="408">
      <c r="B408" s="8"/>
      <c r="C408" s="8"/>
    </row>
    <row r="409">
      <c r="B409" s="8"/>
      <c r="C409" s="8"/>
    </row>
    <row r="410">
      <c r="B410" s="8"/>
      <c r="C410" s="8"/>
    </row>
    <row r="411">
      <c r="B411" s="8"/>
      <c r="C411" s="8"/>
    </row>
    <row r="412">
      <c r="B412" s="8"/>
      <c r="C412" s="8"/>
    </row>
    <row r="413">
      <c r="B413" s="8"/>
      <c r="C413" s="8"/>
    </row>
    <row r="414">
      <c r="B414" s="8"/>
      <c r="C414" s="8"/>
    </row>
    <row r="415">
      <c r="B415" s="8"/>
      <c r="C415" s="8"/>
    </row>
    <row r="416">
      <c r="B416" s="8"/>
      <c r="C416" s="8"/>
    </row>
    <row r="417">
      <c r="B417" s="8"/>
      <c r="C417" s="8"/>
    </row>
    <row r="418">
      <c r="B418" s="8"/>
      <c r="C418" s="8"/>
    </row>
    <row r="419">
      <c r="B419" s="8"/>
      <c r="C419" s="8"/>
    </row>
    <row r="420">
      <c r="B420" s="8"/>
      <c r="C420" s="8"/>
    </row>
    <row r="421">
      <c r="B421" s="8"/>
      <c r="C421" s="8"/>
    </row>
    <row r="422">
      <c r="B422" s="8"/>
      <c r="C422" s="8"/>
    </row>
    <row r="423">
      <c r="B423" s="8"/>
      <c r="C423" s="8"/>
    </row>
    <row r="424">
      <c r="B424" s="8"/>
      <c r="C424" s="8"/>
    </row>
    <row r="425">
      <c r="B425" s="8"/>
      <c r="C425" s="8"/>
    </row>
    <row r="426">
      <c r="B426" s="8"/>
      <c r="C426" s="8"/>
    </row>
    <row r="427">
      <c r="B427" s="8"/>
      <c r="C427" s="8"/>
    </row>
    <row r="428">
      <c r="B428" s="8"/>
      <c r="C428" s="8"/>
    </row>
    <row r="429">
      <c r="B429" s="8"/>
      <c r="C429" s="8"/>
    </row>
    <row r="430">
      <c r="B430" s="8"/>
      <c r="C430" s="8"/>
    </row>
    <row r="431">
      <c r="B431" s="8"/>
      <c r="C431" s="8"/>
    </row>
    <row r="432">
      <c r="B432" s="8"/>
      <c r="C432" s="8"/>
    </row>
    <row r="433">
      <c r="B433" s="8"/>
      <c r="C433" s="8"/>
    </row>
    <row r="434">
      <c r="B434" s="8"/>
      <c r="C434" s="8"/>
    </row>
    <row r="435">
      <c r="B435" s="8"/>
      <c r="C435" s="8"/>
    </row>
    <row r="436">
      <c r="B436" s="8"/>
      <c r="C436" s="8"/>
    </row>
    <row r="437">
      <c r="B437" s="8"/>
      <c r="C437" s="8"/>
    </row>
    <row r="438">
      <c r="B438" s="8"/>
      <c r="C438" s="8"/>
    </row>
    <row r="439">
      <c r="B439" s="8"/>
      <c r="C439" s="8"/>
    </row>
    <row r="440">
      <c r="B440" s="8"/>
      <c r="C440" s="8"/>
    </row>
    <row r="441">
      <c r="B441" s="8"/>
      <c r="C441" s="8"/>
    </row>
    <row r="442">
      <c r="B442" s="8"/>
      <c r="C442" s="8"/>
    </row>
    <row r="443">
      <c r="B443" s="8"/>
      <c r="C443" s="8"/>
    </row>
    <row r="444">
      <c r="B444" s="8"/>
      <c r="C444" s="8"/>
    </row>
    <row r="445">
      <c r="B445" s="8"/>
      <c r="C445" s="8"/>
    </row>
    <row r="446">
      <c r="B446" s="8"/>
      <c r="C446" s="8"/>
    </row>
    <row r="447">
      <c r="B447" s="8"/>
      <c r="C447" s="8"/>
    </row>
    <row r="448">
      <c r="B448" s="8"/>
      <c r="C448" s="8"/>
    </row>
    <row r="449">
      <c r="B449" s="8"/>
      <c r="C449" s="8"/>
    </row>
    <row r="450">
      <c r="B450" s="8"/>
      <c r="C450" s="8"/>
    </row>
    <row r="451">
      <c r="B451" s="8"/>
      <c r="C451" s="8"/>
    </row>
    <row r="452">
      <c r="B452" s="8"/>
      <c r="C452" s="8"/>
    </row>
    <row r="453">
      <c r="B453" s="8"/>
      <c r="C453" s="8"/>
    </row>
    <row r="454">
      <c r="B454" s="8"/>
      <c r="C454" s="8"/>
    </row>
    <row r="455">
      <c r="B455" s="8"/>
      <c r="C455" s="8"/>
    </row>
    <row r="456">
      <c r="B456" s="8"/>
      <c r="C456" s="8"/>
    </row>
    <row r="457">
      <c r="B457" s="8"/>
      <c r="C457" s="8"/>
    </row>
    <row r="458">
      <c r="B458" s="8"/>
      <c r="C458" s="8"/>
    </row>
    <row r="459">
      <c r="B459" s="8"/>
      <c r="C459" s="8"/>
    </row>
    <row r="460">
      <c r="B460" s="8"/>
      <c r="C460" s="8"/>
    </row>
    <row r="461">
      <c r="B461" s="8"/>
      <c r="C461" s="8"/>
    </row>
    <row r="462">
      <c r="B462" s="8"/>
      <c r="C462" s="8"/>
    </row>
    <row r="463">
      <c r="B463" s="8"/>
      <c r="C463" s="8"/>
    </row>
    <row r="464">
      <c r="B464" s="8"/>
      <c r="C464" s="8"/>
    </row>
    <row r="465">
      <c r="B465" s="8"/>
      <c r="C465" s="8"/>
    </row>
    <row r="466">
      <c r="B466" s="8"/>
      <c r="C466" s="8"/>
    </row>
    <row r="467">
      <c r="B467" s="8"/>
      <c r="C467" s="8"/>
    </row>
    <row r="468">
      <c r="B468" s="8"/>
      <c r="C468" s="8"/>
    </row>
    <row r="469">
      <c r="B469" s="8"/>
      <c r="C469" s="8"/>
    </row>
    <row r="470">
      <c r="B470" s="8"/>
      <c r="C470" s="8"/>
    </row>
    <row r="471">
      <c r="B471" s="8"/>
      <c r="C471" s="8"/>
    </row>
    <row r="472">
      <c r="B472" s="8"/>
      <c r="C472" s="8"/>
    </row>
    <row r="473">
      <c r="B473" s="8"/>
      <c r="C473" s="8"/>
    </row>
    <row r="474">
      <c r="B474" s="8"/>
      <c r="C474" s="8"/>
    </row>
    <row r="475">
      <c r="B475" s="8"/>
      <c r="C475" s="8"/>
    </row>
    <row r="476">
      <c r="B476" s="8"/>
      <c r="C476" s="8"/>
    </row>
    <row r="477">
      <c r="B477" s="8"/>
      <c r="C477" s="8"/>
    </row>
    <row r="478">
      <c r="B478" s="8"/>
      <c r="C478" s="8"/>
    </row>
    <row r="479">
      <c r="B479" s="8"/>
      <c r="C479" s="8"/>
    </row>
    <row r="480">
      <c r="B480" s="8"/>
      <c r="C480" s="8"/>
    </row>
    <row r="481">
      <c r="B481" s="8"/>
      <c r="C481" s="8"/>
    </row>
    <row r="482">
      <c r="B482" s="8"/>
      <c r="C482" s="8"/>
    </row>
    <row r="483">
      <c r="B483" s="8"/>
      <c r="C483" s="8"/>
    </row>
    <row r="484">
      <c r="B484" s="8"/>
      <c r="C484" s="8"/>
    </row>
    <row r="485">
      <c r="B485" s="8"/>
      <c r="C485" s="8"/>
    </row>
    <row r="486">
      <c r="B486" s="8"/>
      <c r="C486" s="8"/>
    </row>
    <row r="487">
      <c r="B487" s="8"/>
      <c r="C487" s="8"/>
    </row>
    <row r="488">
      <c r="B488" s="8"/>
      <c r="C488" s="8"/>
    </row>
    <row r="489">
      <c r="B489" s="8"/>
      <c r="C489" s="8"/>
    </row>
    <row r="490">
      <c r="B490" s="8"/>
      <c r="C490" s="8"/>
    </row>
    <row r="491">
      <c r="B491" s="8"/>
      <c r="C491" s="8"/>
    </row>
    <row r="492">
      <c r="B492" s="8"/>
      <c r="C492" s="8"/>
    </row>
    <row r="493">
      <c r="B493" s="8"/>
      <c r="C493" s="8"/>
    </row>
    <row r="494">
      <c r="B494" s="8"/>
      <c r="C494" s="8"/>
    </row>
    <row r="495">
      <c r="B495" s="8"/>
      <c r="C495" s="8"/>
    </row>
    <row r="496">
      <c r="B496" s="8"/>
      <c r="C496" s="8"/>
    </row>
    <row r="497">
      <c r="B497" s="8"/>
      <c r="C497" s="8"/>
    </row>
    <row r="498">
      <c r="B498" s="8"/>
      <c r="C498" s="8"/>
    </row>
    <row r="499">
      <c r="B499" s="8"/>
      <c r="C499" s="8"/>
    </row>
    <row r="500">
      <c r="B500" s="8"/>
      <c r="C500" s="8"/>
    </row>
    <row r="501">
      <c r="B501" s="8"/>
      <c r="C501" s="8"/>
    </row>
    <row r="502">
      <c r="B502" s="8"/>
      <c r="C502" s="8"/>
    </row>
    <row r="503">
      <c r="B503" s="8"/>
      <c r="C503" s="8"/>
    </row>
    <row r="504">
      <c r="B504" s="8"/>
      <c r="C504" s="8"/>
    </row>
    <row r="505">
      <c r="B505" s="8"/>
      <c r="C505" s="8"/>
    </row>
    <row r="506">
      <c r="B506" s="8"/>
      <c r="C506" s="8"/>
    </row>
    <row r="507">
      <c r="B507" s="8"/>
      <c r="C507" s="8"/>
    </row>
    <row r="508">
      <c r="B508" s="8"/>
      <c r="C508" s="8"/>
    </row>
    <row r="509">
      <c r="B509" s="8"/>
      <c r="C509" s="8"/>
    </row>
    <row r="510">
      <c r="B510" s="8"/>
      <c r="C510" s="8"/>
    </row>
    <row r="511">
      <c r="B511" s="8"/>
      <c r="C511" s="8"/>
    </row>
    <row r="512">
      <c r="B512" s="8"/>
      <c r="C512" s="8"/>
    </row>
    <row r="513">
      <c r="B513" s="8"/>
      <c r="C513" s="8"/>
    </row>
    <row r="514">
      <c r="B514" s="8"/>
      <c r="C514" s="8"/>
    </row>
    <row r="515">
      <c r="B515" s="8"/>
      <c r="C515" s="8"/>
    </row>
    <row r="516">
      <c r="B516" s="8"/>
      <c r="C516" s="8"/>
    </row>
    <row r="517">
      <c r="B517" s="8"/>
      <c r="C517" s="8"/>
    </row>
    <row r="518">
      <c r="B518" s="8"/>
      <c r="C518" s="8"/>
    </row>
    <row r="519">
      <c r="B519" s="8"/>
      <c r="C519" s="8"/>
    </row>
    <row r="520">
      <c r="B520" s="8"/>
      <c r="C520" s="8"/>
    </row>
    <row r="521">
      <c r="B521" s="8"/>
      <c r="C521" s="8"/>
    </row>
    <row r="522">
      <c r="B522" s="8"/>
      <c r="C522" s="8"/>
    </row>
    <row r="523">
      <c r="B523" s="8"/>
      <c r="C523" s="8"/>
    </row>
    <row r="524">
      <c r="B524" s="8"/>
      <c r="C524" s="8"/>
    </row>
    <row r="525">
      <c r="B525" s="8"/>
      <c r="C525" s="8"/>
    </row>
    <row r="526">
      <c r="B526" s="8"/>
      <c r="C526" s="8"/>
    </row>
    <row r="527">
      <c r="B527" s="8"/>
      <c r="C527" s="8"/>
    </row>
    <row r="528">
      <c r="B528" s="8"/>
      <c r="C528" s="8"/>
    </row>
    <row r="529">
      <c r="B529" s="8"/>
      <c r="C529" s="8"/>
    </row>
    <row r="530">
      <c r="B530" s="8"/>
      <c r="C530" s="8"/>
    </row>
    <row r="531">
      <c r="B531" s="8"/>
      <c r="C531" s="8"/>
    </row>
    <row r="532">
      <c r="B532" s="8"/>
      <c r="C532" s="8"/>
    </row>
    <row r="533">
      <c r="B533" s="8"/>
      <c r="C533" s="8"/>
    </row>
    <row r="534">
      <c r="B534" s="8"/>
      <c r="C534" s="8"/>
    </row>
    <row r="535">
      <c r="B535" s="8"/>
      <c r="C535" s="8"/>
    </row>
    <row r="536">
      <c r="B536" s="8"/>
      <c r="C536" s="8"/>
    </row>
    <row r="537">
      <c r="B537" s="8"/>
      <c r="C537" s="8"/>
    </row>
    <row r="538">
      <c r="B538" s="8"/>
      <c r="C538" s="8"/>
    </row>
    <row r="539">
      <c r="B539" s="8"/>
      <c r="C539" s="8"/>
    </row>
    <row r="540">
      <c r="B540" s="8"/>
      <c r="C540" s="8"/>
    </row>
    <row r="541">
      <c r="B541" s="8"/>
      <c r="C541" s="8"/>
    </row>
    <row r="542">
      <c r="B542" s="8"/>
      <c r="C542" s="8"/>
    </row>
    <row r="543">
      <c r="B543" s="8"/>
      <c r="C543" s="8"/>
    </row>
    <row r="544">
      <c r="B544" s="8"/>
      <c r="C544" s="8"/>
    </row>
    <row r="545">
      <c r="B545" s="8"/>
      <c r="C545" s="8"/>
    </row>
    <row r="546">
      <c r="B546" s="8"/>
      <c r="C546" s="8"/>
    </row>
    <row r="547">
      <c r="B547" s="8"/>
      <c r="C547" s="8"/>
    </row>
    <row r="548">
      <c r="B548" s="8"/>
      <c r="C548" s="8"/>
    </row>
    <row r="549">
      <c r="B549" s="8"/>
      <c r="C549" s="8"/>
    </row>
    <row r="550">
      <c r="B550" s="8"/>
      <c r="C550" s="8"/>
    </row>
    <row r="551">
      <c r="B551" s="8"/>
      <c r="C551" s="8"/>
    </row>
    <row r="552">
      <c r="B552" s="8"/>
      <c r="C552" s="8"/>
    </row>
    <row r="553">
      <c r="B553" s="8"/>
      <c r="C553" s="8"/>
    </row>
    <row r="554">
      <c r="B554" s="8"/>
      <c r="C554" s="8"/>
    </row>
    <row r="555">
      <c r="B555" s="8"/>
      <c r="C555" s="8"/>
    </row>
    <row r="556">
      <c r="B556" s="8"/>
      <c r="C556" s="8"/>
    </row>
    <row r="557">
      <c r="B557" s="8"/>
      <c r="C557" s="8"/>
    </row>
    <row r="558">
      <c r="B558" s="8"/>
      <c r="C558" s="8"/>
    </row>
    <row r="559">
      <c r="B559" s="8"/>
      <c r="C559" s="8"/>
    </row>
    <row r="560">
      <c r="B560" s="8"/>
      <c r="C560" s="8"/>
    </row>
    <row r="561">
      <c r="B561" s="8"/>
      <c r="C561" s="8"/>
    </row>
    <row r="562">
      <c r="B562" s="8"/>
      <c r="C562" s="8"/>
    </row>
    <row r="563">
      <c r="B563" s="8"/>
      <c r="C563" s="8"/>
    </row>
    <row r="564">
      <c r="B564" s="8"/>
      <c r="C564" s="8"/>
    </row>
    <row r="565">
      <c r="B565" s="8"/>
      <c r="C565" s="8"/>
    </row>
    <row r="566">
      <c r="B566" s="8"/>
      <c r="C566" s="8"/>
    </row>
    <row r="567">
      <c r="B567" s="8"/>
      <c r="C567" s="8"/>
    </row>
    <row r="568">
      <c r="B568" s="8"/>
      <c r="C568" s="8"/>
    </row>
    <row r="569">
      <c r="B569" s="8"/>
      <c r="C569" s="8"/>
    </row>
    <row r="570">
      <c r="B570" s="8"/>
      <c r="C570" s="8"/>
    </row>
    <row r="571">
      <c r="B571" s="8"/>
      <c r="C571" s="8"/>
    </row>
    <row r="572">
      <c r="B572" s="8"/>
      <c r="C572" s="8"/>
    </row>
    <row r="573">
      <c r="B573" s="8"/>
      <c r="C573" s="8"/>
    </row>
    <row r="574">
      <c r="B574" s="8"/>
      <c r="C574" s="8"/>
    </row>
    <row r="575">
      <c r="B575" s="8"/>
      <c r="C575" s="8"/>
    </row>
    <row r="576">
      <c r="B576" s="8"/>
      <c r="C576" s="8"/>
    </row>
    <row r="577">
      <c r="B577" s="8"/>
      <c r="C577" s="8"/>
    </row>
    <row r="578">
      <c r="B578" s="8"/>
      <c r="C578" s="8"/>
    </row>
    <row r="579">
      <c r="B579" s="8"/>
      <c r="C579" s="8"/>
    </row>
    <row r="580">
      <c r="B580" s="8"/>
      <c r="C580" s="8"/>
    </row>
    <row r="581">
      <c r="B581" s="8"/>
      <c r="C581" s="8"/>
    </row>
    <row r="582">
      <c r="B582" s="8"/>
      <c r="C582" s="8"/>
    </row>
    <row r="583">
      <c r="B583" s="8"/>
      <c r="C583" s="8"/>
    </row>
    <row r="584">
      <c r="B584" s="8"/>
      <c r="C584" s="8"/>
    </row>
    <row r="585">
      <c r="B585" s="8"/>
      <c r="C585" s="8"/>
    </row>
    <row r="586">
      <c r="B586" s="8"/>
      <c r="C586" s="8"/>
    </row>
    <row r="587">
      <c r="B587" s="8"/>
      <c r="C587" s="8"/>
    </row>
    <row r="588">
      <c r="B588" s="8"/>
      <c r="C588" s="8"/>
    </row>
    <row r="589">
      <c r="B589" s="8"/>
      <c r="C589" s="8"/>
    </row>
    <row r="590">
      <c r="B590" s="8"/>
      <c r="C590" s="8"/>
    </row>
    <row r="591">
      <c r="B591" s="8"/>
      <c r="C591" s="8"/>
    </row>
    <row r="592">
      <c r="B592" s="8"/>
      <c r="C592" s="8"/>
    </row>
    <row r="593">
      <c r="B593" s="8"/>
      <c r="C593" s="8"/>
    </row>
    <row r="594">
      <c r="B594" s="8"/>
      <c r="C594" s="8"/>
    </row>
    <row r="595">
      <c r="B595" s="8"/>
      <c r="C595" s="8"/>
    </row>
    <row r="596">
      <c r="B596" s="8"/>
      <c r="C596" s="8"/>
    </row>
    <row r="597">
      <c r="B597" s="8"/>
      <c r="C597" s="8"/>
    </row>
    <row r="598">
      <c r="B598" s="8"/>
      <c r="C598" s="8"/>
    </row>
    <row r="599">
      <c r="B599" s="8"/>
      <c r="C599" s="8"/>
    </row>
    <row r="600">
      <c r="B600" s="8"/>
      <c r="C600" s="8"/>
    </row>
    <row r="601">
      <c r="B601" s="8"/>
      <c r="C601" s="8"/>
    </row>
    <row r="602">
      <c r="B602" s="8"/>
      <c r="C602" s="8"/>
    </row>
    <row r="603">
      <c r="B603" s="8"/>
      <c r="C603" s="8"/>
    </row>
    <row r="604">
      <c r="B604" s="8"/>
      <c r="C604" s="8"/>
    </row>
    <row r="605">
      <c r="B605" s="8"/>
      <c r="C605" s="8"/>
    </row>
    <row r="606">
      <c r="B606" s="8"/>
      <c r="C606" s="8"/>
    </row>
    <row r="607">
      <c r="B607" s="8"/>
      <c r="C607" s="8"/>
    </row>
    <row r="608">
      <c r="B608" s="8"/>
      <c r="C608" s="8"/>
    </row>
    <row r="609">
      <c r="B609" s="8"/>
      <c r="C609" s="8"/>
    </row>
    <row r="610">
      <c r="B610" s="8"/>
      <c r="C610" s="8"/>
    </row>
    <row r="611">
      <c r="B611" s="8"/>
      <c r="C611" s="8"/>
    </row>
    <row r="612">
      <c r="B612" s="8"/>
      <c r="C612" s="8"/>
    </row>
    <row r="613">
      <c r="B613" s="8"/>
      <c r="C613" s="8"/>
    </row>
    <row r="614">
      <c r="B614" s="8"/>
      <c r="C614" s="8"/>
    </row>
    <row r="615">
      <c r="B615" s="8"/>
      <c r="C615" s="8"/>
    </row>
    <row r="616">
      <c r="B616" s="8"/>
      <c r="C616" s="8"/>
    </row>
    <row r="617">
      <c r="B617" s="8"/>
      <c r="C617" s="8"/>
    </row>
    <row r="618">
      <c r="B618" s="8"/>
      <c r="C618" s="8"/>
    </row>
    <row r="619">
      <c r="B619" s="8"/>
      <c r="C619" s="8"/>
    </row>
    <row r="620">
      <c r="B620" s="8"/>
      <c r="C620" s="8"/>
    </row>
    <row r="621">
      <c r="B621" s="8"/>
      <c r="C621" s="8"/>
    </row>
    <row r="622">
      <c r="B622" s="8"/>
      <c r="C622" s="8"/>
    </row>
    <row r="623">
      <c r="B623" s="8"/>
      <c r="C623" s="8"/>
    </row>
    <row r="624">
      <c r="B624" s="8"/>
      <c r="C624" s="8"/>
    </row>
    <row r="625">
      <c r="B625" s="8"/>
      <c r="C625" s="8"/>
    </row>
    <row r="626">
      <c r="B626" s="8"/>
      <c r="C626" s="8"/>
    </row>
    <row r="627">
      <c r="B627" s="8"/>
      <c r="C627" s="8"/>
    </row>
    <row r="628">
      <c r="B628" s="8"/>
      <c r="C628" s="8"/>
    </row>
    <row r="629">
      <c r="B629" s="8"/>
      <c r="C629" s="8"/>
    </row>
    <row r="630">
      <c r="B630" s="8"/>
      <c r="C630" s="8"/>
    </row>
    <row r="631">
      <c r="B631" s="8"/>
      <c r="C631" s="8"/>
    </row>
    <row r="632">
      <c r="B632" s="8"/>
      <c r="C632" s="8"/>
    </row>
    <row r="633">
      <c r="B633" s="8"/>
      <c r="C633" s="8"/>
    </row>
    <row r="634">
      <c r="B634" s="8"/>
      <c r="C634" s="8"/>
    </row>
    <row r="635">
      <c r="B635" s="8"/>
      <c r="C635" s="8"/>
    </row>
    <row r="636">
      <c r="B636" s="8"/>
      <c r="C636" s="8"/>
    </row>
    <row r="637">
      <c r="B637" s="8"/>
      <c r="C637" s="8"/>
    </row>
    <row r="638">
      <c r="B638" s="8"/>
      <c r="C638" s="8"/>
    </row>
    <row r="639">
      <c r="B639" s="8"/>
      <c r="C639" s="8"/>
    </row>
    <row r="640">
      <c r="B640" s="8"/>
      <c r="C640" s="8"/>
    </row>
    <row r="641">
      <c r="B641" s="8"/>
      <c r="C641" s="8"/>
    </row>
    <row r="642">
      <c r="B642" s="8"/>
      <c r="C642" s="8"/>
    </row>
    <row r="643">
      <c r="B643" s="8"/>
      <c r="C643" s="8"/>
    </row>
    <row r="644">
      <c r="B644" s="8"/>
      <c r="C644" s="8"/>
    </row>
    <row r="645">
      <c r="B645" s="8"/>
      <c r="C645" s="8"/>
    </row>
    <row r="646">
      <c r="B646" s="8"/>
      <c r="C646" s="8"/>
    </row>
    <row r="647">
      <c r="B647" s="8"/>
      <c r="C647" s="8"/>
    </row>
    <row r="648">
      <c r="B648" s="8"/>
      <c r="C648" s="8"/>
    </row>
    <row r="649">
      <c r="B649" s="8"/>
      <c r="C649" s="8"/>
    </row>
    <row r="650">
      <c r="B650" s="8"/>
      <c r="C650" s="8"/>
    </row>
    <row r="651">
      <c r="B651" s="8"/>
      <c r="C651" s="8"/>
    </row>
    <row r="652">
      <c r="B652" s="8"/>
      <c r="C652" s="8"/>
    </row>
    <row r="653">
      <c r="B653" s="8"/>
      <c r="C653" s="8"/>
    </row>
    <row r="654">
      <c r="B654" s="8"/>
      <c r="C654" s="8"/>
    </row>
    <row r="655">
      <c r="B655" s="8"/>
      <c r="C655" s="8"/>
    </row>
    <row r="656">
      <c r="B656" s="8"/>
      <c r="C656" s="8"/>
    </row>
    <row r="657">
      <c r="B657" s="8"/>
      <c r="C657" s="8"/>
    </row>
    <row r="658">
      <c r="B658" s="8"/>
      <c r="C658" s="8"/>
    </row>
    <row r="659">
      <c r="B659" s="8"/>
      <c r="C659" s="8"/>
    </row>
    <row r="660">
      <c r="B660" s="8"/>
      <c r="C660" s="8"/>
    </row>
    <row r="661">
      <c r="B661" s="8"/>
      <c r="C661" s="8"/>
    </row>
    <row r="662">
      <c r="B662" s="8"/>
      <c r="C662" s="8"/>
    </row>
    <row r="663">
      <c r="B663" s="8"/>
      <c r="C663" s="8"/>
    </row>
    <row r="664">
      <c r="B664" s="8"/>
      <c r="C664" s="8"/>
    </row>
    <row r="665">
      <c r="B665" s="8"/>
      <c r="C665" s="8"/>
    </row>
    <row r="666">
      <c r="B666" s="8"/>
      <c r="C666" s="8"/>
    </row>
    <row r="667">
      <c r="B667" s="8"/>
      <c r="C667" s="8"/>
    </row>
    <row r="668">
      <c r="B668" s="8"/>
      <c r="C668" s="8"/>
    </row>
    <row r="669">
      <c r="B669" s="8"/>
      <c r="C669" s="8"/>
    </row>
    <row r="670">
      <c r="B670" s="8"/>
      <c r="C670" s="8"/>
    </row>
    <row r="671">
      <c r="B671" s="8"/>
      <c r="C671" s="8"/>
    </row>
    <row r="672">
      <c r="B672" s="8"/>
      <c r="C672" s="8"/>
    </row>
    <row r="673">
      <c r="B673" s="8"/>
      <c r="C673" s="8"/>
    </row>
    <row r="674">
      <c r="B674" s="8"/>
      <c r="C674" s="8"/>
    </row>
    <row r="675">
      <c r="B675" s="8"/>
      <c r="C675" s="8"/>
    </row>
    <row r="676">
      <c r="B676" s="8"/>
      <c r="C676" s="8"/>
    </row>
    <row r="677">
      <c r="B677" s="8"/>
      <c r="C677" s="8"/>
    </row>
    <row r="678">
      <c r="B678" s="8"/>
      <c r="C678" s="8"/>
    </row>
    <row r="679">
      <c r="B679" s="8"/>
      <c r="C679" s="8"/>
    </row>
    <row r="680">
      <c r="B680" s="8"/>
      <c r="C680" s="8"/>
    </row>
    <row r="681">
      <c r="B681" s="8"/>
      <c r="C681" s="8"/>
    </row>
    <row r="682">
      <c r="B682" s="8"/>
      <c r="C682" s="8"/>
    </row>
    <row r="683">
      <c r="B683" s="8"/>
      <c r="C683" s="8"/>
    </row>
    <row r="684">
      <c r="B684" s="8"/>
      <c r="C684" s="8"/>
    </row>
    <row r="685">
      <c r="B685" s="8"/>
      <c r="C685" s="8"/>
    </row>
    <row r="686">
      <c r="B686" s="8"/>
      <c r="C686" s="8"/>
    </row>
    <row r="687">
      <c r="B687" s="8"/>
      <c r="C687" s="8"/>
    </row>
    <row r="688">
      <c r="B688" s="8"/>
      <c r="C688" s="8"/>
    </row>
    <row r="689">
      <c r="B689" s="8"/>
      <c r="C689" s="8"/>
    </row>
    <row r="690">
      <c r="B690" s="8"/>
      <c r="C690" s="8"/>
    </row>
    <row r="691">
      <c r="B691" s="8"/>
      <c r="C691" s="8"/>
    </row>
    <row r="692">
      <c r="B692" s="8"/>
      <c r="C692" s="8"/>
    </row>
    <row r="693">
      <c r="B693" s="8"/>
      <c r="C693" s="8"/>
    </row>
    <row r="694">
      <c r="B694" s="8"/>
      <c r="C694" s="8"/>
    </row>
    <row r="695">
      <c r="B695" s="8"/>
      <c r="C695" s="8"/>
    </row>
    <row r="696">
      <c r="B696" s="8"/>
      <c r="C696" s="8"/>
    </row>
    <row r="697">
      <c r="B697" s="8"/>
      <c r="C697" s="8"/>
    </row>
    <row r="698">
      <c r="B698" s="8"/>
      <c r="C698" s="8"/>
    </row>
    <row r="699">
      <c r="B699" s="8"/>
      <c r="C699" s="8"/>
    </row>
    <row r="700">
      <c r="B700" s="8"/>
      <c r="C700" s="8"/>
    </row>
    <row r="701">
      <c r="B701" s="8"/>
      <c r="C701" s="8"/>
    </row>
    <row r="702">
      <c r="B702" s="8"/>
      <c r="C702" s="8"/>
    </row>
    <row r="703">
      <c r="B703" s="8"/>
      <c r="C703" s="8"/>
    </row>
    <row r="704">
      <c r="B704" s="8"/>
      <c r="C704" s="8"/>
    </row>
    <row r="705">
      <c r="B705" s="8"/>
      <c r="C705" s="8"/>
    </row>
    <row r="706">
      <c r="B706" s="8"/>
      <c r="C706" s="8"/>
    </row>
    <row r="707">
      <c r="B707" s="8"/>
      <c r="C707" s="8"/>
    </row>
    <row r="708">
      <c r="B708" s="8"/>
      <c r="C708" s="8"/>
    </row>
    <row r="709">
      <c r="B709" s="8"/>
      <c r="C709" s="8"/>
    </row>
    <row r="710">
      <c r="B710" s="8"/>
      <c r="C710" s="8"/>
    </row>
    <row r="711">
      <c r="B711" s="8"/>
      <c r="C711" s="8"/>
    </row>
    <row r="712">
      <c r="B712" s="8"/>
      <c r="C712" s="8"/>
    </row>
    <row r="713">
      <c r="B713" s="8"/>
      <c r="C713" s="8"/>
    </row>
    <row r="714">
      <c r="B714" s="8"/>
      <c r="C714" s="8"/>
    </row>
    <row r="715">
      <c r="B715" s="8"/>
      <c r="C715" s="8"/>
    </row>
    <row r="716">
      <c r="B716" s="8"/>
      <c r="C716" s="8"/>
    </row>
    <row r="717">
      <c r="B717" s="8"/>
      <c r="C717" s="8"/>
    </row>
    <row r="718">
      <c r="B718" s="8"/>
      <c r="C718" s="8"/>
    </row>
    <row r="719">
      <c r="B719" s="8"/>
      <c r="C719" s="8"/>
    </row>
    <row r="720">
      <c r="B720" s="8"/>
      <c r="C720" s="8"/>
    </row>
    <row r="721">
      <c r="B721" s="8"/>
      <c r="C721" s="8"/>
    </row>
    <row r="722">
      <c r="B722" s="8"/>
      <c r="C722" s="8"/>
    </row>
    <row r="723">
      <c r="B723" s="8"/>
      <c r="C723" s="8"/>
    </row>
    <row r="724">
      <c r="B724" s="8"/>
      <c r="C724" s="8"/>
    </row>
    <row r="725">
      <c r="B725" s="8"/>
      <c r="C725" s="8"/>
    </row>
    <row r="726">
      <c r="B726" s="8"/>
      <c r="C726" s="8"/>
    </row>
    <row r="727">
      <c r="B727" s="8"/>
      <c r="C727" s="8"/>
    </row>
    <row r="728">
      <c r="B728" s="8"/>
      <c r="C728" s="8"/>
    </row>
    <row r="729">
      <c r="B729" s="8"/>
      <c r="C729" s="8"/>
    </row>
    <row r="730">
      <c r="B730" s="8"/>
      <c r="C730" s="8"/>
    </row>
    <row r="731">
      <c r="B731" s="8"/>
      <c r="C731" s="8"/>
    </row>
    <row r="732">
      <c r="B732" s="8"/>
      <c r="C732" s="8"/>
    </row>
    <row r="733">
      <c r="B733" s="8"/>
      <c r="C733" s="8"/>
    </row>
    <row r="734">
      <c r="B734" s="8"/>
      <c r="C734" s="8"/>
    </row>
    <row r="735">
      <c r="B735" s="8"/>
      <c r="C735" s="8"/>
    </row>
    <row r="736">
      <c r="B736" s="8"/>
      <c r="C736" s="8"/>
    </row>
    <row r="737">
      <c r="B737" s="8"/>
      <c r="C737" s="8"/>
    </row>
    <row r="738">
      <c r="B738" s="8"/>
      <c r="C738" s="8"/>
    </row>
    <row r="739">
      <c r="B739" s="8"/>
      <c r="C739" s="8"/>
    </row>
    <row r="740">
      <c r="B740" s="8"/>
      <c r="C740" s="8"/>
    </row>
    <row r="741">
      <c r="B741" s="8"/>
      <c r="C741" s="8"/>
    </row>
    <row r="742">
      <c r="B742" s="8"/>
      <c r="C742" s="8"/>
    </row>
    <row r="743">
      <c r="B743" s="8"/>
      <c r="C743" s="8"/>
    </row>
    <row r="744">
      <c r="B744" s="8"/>
      <c r="C744" s="8"/>
    </row>
    <row r="745">
      <c r="B745" s="8"/>
      <c r="C745" s="8"/>
    </row>
    <row r="746">
      <c r="B746" s="8"/>
      <c r="C746" s="8"/>
    </row>
    <row r="747">
      <c r="B747" s="8"/>
      <c r="C747" s="8"/>
    </row>
    <row r="748">
      <c r="B748" s="8"/>
      <c r="C748" s="8"/>
    </row>
    <row r="749">
      <c r="B749" s="8"/>
      <c r="C749" s="8"/>
    </row>
    <row r="750">
      <c r="B750" s="8"/>
      <c r="C750" s="8"/>
    </row>
    <row r="751">
      <c r="B751" s="8"/>
      <c r="C751" s="8"/>
    </row>
    <row r="752">
      <c r="B752" s="8"/>
      <c r="C752" s="8"/>
    </row>
    <row r="753">
      <c r="B753" s="8"/>
      <c r="C753" s="8"/>
    </row>
    <row r="754">
      <c r="B754" s="8"/>
      <c r="C754" s="8"/>
    </row>
    <row r="755">
      <c r="B755" s="8"/>
      <c r="C755" s="8"/>
    </row>
    <row r="756">
      <c r="B756" s="8"/>
      <c r="C756" s="8"/>
    </row>
    <row r="757">
      <c r="B757" s="8"/>
      <c r="C757" s="8"/>
    </row>
    <row r="758">
      <c r="B758" s="8"/>
      <c r="C758" s="8"/>
    </row>
    <row r="759">
      <c r="B759" s="8"/>
      <c r="C759" s="8"/>
    </row>
    <row r="760">
      <c r="B760" s="8"/>
      <c r="C760" s="8"/>
    </row>
    <row r="761">
      <c r="B761" s="8"/>
      <c r="C761" s="8"/>
    </row>
    <row r="762">
      <c r="B762" s="8"/>
      <c r="C762" s="8"/>
    </row>
    <row r="763">
      <c r="B763" s="8"/>
      <c r="C763" s="8"/>
    </row>
    <row r="764">
      <c r="B764" s="8"/>
      <c r="C764" s="8"/>
    </row>
    <row r="765">
      <c r="B765" s="8"/>
      <c r="C765" s="8"/>
    </row>
    <row r="766">
      <c r="B766" s="8"/>
      <c r="C766" s="8"/>
    </row>
    <row r="767">
      <c r="B767" s="8"/>
      <c r="C767" s="8"/>
    </row>
    <row r="768">
      <c r="B768" s="8"/>
      <c r="C768" s="8"/>
    </row>
    <row r="769">
      <c r="B769" s="8"/>
      <c r="C769" s="8"/>
    </row>
    <row r="770">
      <c r="B770" s="8"/>
      <c r="C770" s="8"/>
    </row>
    <row r="771">
      <c r="B771" s="8"/>
      <c r="C771" s="8"/>
    </row>
    <row r="772">
      <c r="B772" s="8"/>
      <c r="C772" s="8"/>
    </row>
    <row r="773">
      <c r="B773" s="8"/>
      <c r="C773" s="8"/>
    </row>
    <row r="774">
      <c r="B774" s="8"/>
      <c r="C774" s="8"/>
    </row>
    <row r="775">
      <c r="B775" s="8"/>
      <c r="C775" s="8"/>
    </row>
    <row r="776">
      <c r="B776" s="8"/>
      <c r="C776" s="8"/>
    </row>
    <row r="777">
      <c r="B777" s="8"/>
      <c r="C777" s="8"/>
    </row>
    <row r="778">
      <c r="B778" s="8"/>
      <c r="C778" s="8"/>
    </row>
    <row r="779">
      <c r="B779" s="8"/>
      <c r="C779" s="8"/>
    </row>
    <row r="780">
      <c r="B780" s="8"/>
      <c r="C780" s="8"/>
    </row>
    <row r="781">
      <c r="B781" s="8"/>
      <c r="C781" s="8"/>
    </row>
    <row r="782">
      <c r="B782" s="8"/>
      <c r="C782" s="8"/>
    </row>
    <row r="783">
      <c r="B783" s="8"/>
      <c r="C783" s="8"/>
    </row>
    <row r="784">
      <c r="B784" s="8"/>
      <c r="C784" s="8"/>
    </row>
    <row r="785">
      <c r="B785" s="8"/>
      <c r="C785" s="8"/>
    </row>
    <row r="786">
      <c r="B786" s="8"/>
      <c r="C786" s="8"/>
    </row>
    <row r="787">
      <c r="B787" s="8"/>
      <c r="C787" s="8"/>
    </row>
    <row r="788">
      <c r="B788" s="8"/>
      <c r="C788" s="8"/>
    </row>
    <row r="789">
      <c r="B789" s="8"/>
      <c r="C789" s="8"/>
    </row>
    <row r="790">
      <c r="B790" s="8"/>
      <c r="C790" s="8"/>
    </row>
    <row r="791">
      <c r="B791" s="8"/>
      <c r="C791" s="8"/>
    </row>
    <row r="792">
      <c r="B792" s="8"/>
      <c r="C792" s="8"/>
    </row>
    <row r="793">
      <c r="B793" s="8"/>
      <c r="C793" s="8"/>
    </row>
    <row r="794">
      <c r="B794" s="8"/>
      <c r="C794" s="8"/>
    </row>
    <row r="795">
      <c r="B795" s="8"/>
      <c r="C795" s="8"/>
    </row>
    <row r="796">
      <c r="B796" s="8"/>
      <c r="C796" s="8"/>
    </row>
    <row r="797">
      <c r="B797" s="8"/>
      <c r="C797" s="8"/>
    </row>
    <row r="798">
      <c r="B798" s="8"/>
      <c r="C798" s="8"/>
    </row>
    <row r="799">
      <c r="B799" s="8"/>
      <c r="C799" s="8"/>
    </row>
    <row r="800">
      <c r="B800" s="8"/>
      <c r="C800" s="8"/>
    </row>
    <row r="801">
      <c r="B801" s="8"/>
      <c r="C801" s="8"/>
    </row>
    <row r="802">
      <c r="B802" s="8"/>
      <c r="C802" s="8"/>
    </row>
    <row r="803">
      <c r="B803" s="8"/>
      <c r="C803" s="8"/>
    </row>
    <row r="804">
      <c r="B804" s="8"/>
      <c r="C804" s="8"/>
    </row>
    <row r="805">
      <c r="B805" s="8"/>
      <c r="C805" s="8"/>
    </row>
    <row r="806">
      <c r="B806" s="8"/>
      <c r="C806" s="8"/>
    </row>
    <row r="807">
      <c r="B807" s="8"/>
      <c r="C807" s="8"/>
    </row>
    <row r="808">
      <c r="B808" s="8"/>
      <c r="C808" s="8"/>
    </row>
    <row r="809">
      <c r="B809" s="8"/>
      <c r="C809" s="8"/>
    </row>
    <row r="810">
      <c r="B810" s="8"/>
      <c r="C810" s="8"/>
    </row>
    <row r="811">
      <c r="B811" s="8"/>
      <c r="C811" s="8"/>
    </row>
    <row r="812">
      <c r="B812" s="8"/>
      <c r="C812" s="8"/>
    </row>
    <row r="813">
      <c r="B813" s="8"/>
      <c r="C813" s="8"/>
    </row>
    <row r="814">
      <c r="B814" s="8"/>
      <c r="C814" s="8"/>
    </row>
    <row r="815">
      <c r="B815" s="8"/>
      <c r="C815" s="8"/>
    </row>
    <row r="816">
      <c r="B816" s="8"/>
      <c r="C816" s="8"/>
    </row>
    <row r="817">
      <c r="B817" s="8"/>
      <c r="C817" s="8"/>
    </row>
    <row r="818">
      <c r="B818" s="8"/>
      <c r="C818" s="8"/>
    </row>
    <row r="819">
      <c r="B819" s="8"/>
      <c r="C819" s="8"/>
    </row>
    <row r="820">
      <c r="B820" s="8"/>
      <c r="C820" s="8"/>
    </row>
    <row r="821">
      <c r="B821" s="8"/>
      <c r="C821" s="8"/>
    </row>
    <row r="822">
      <c r="B822" s="8"/>
      <c r="C822" s="8"/>
    </row>
    <row r="823">
      <c r="B823" s="8"/>
      <c r="C823" s="8"/>
    </row>
    <row r="824">
      <c r="B824" s="8"/>
      <c r="C824" s="8"/>
    </row>
    <row r="825">
      <c r="B825" s="8"/>
      <c r="C825" s="8"/>
    </row>
    <row r="826">
      <c r="B826" s="8"/>
      <c r="C826" s="8"/>
    </row>
    <row r="827">
      <c r="B827" s="8"/>
      <c r="C827" s="8"/>
    </row>
    <row r="828">
      <c r="B828" s="8"/>
      <c r="C828" s="8"/>
    </row>
    <row r="829">
      <c r="B829" s="8"/>
      <c r="C829" s="8"/>
    </row>
    <row r="830">
      <c r="B830" s="8"/>
      <c r="C830" s="8"/>
    </row>
    <row r="831">
      <c r="B831" s="8"/>
      <c r="C831" s="8"/>
    </row>
    <row r="832">
      <c r="B832" s="8"/>
      <c r="C832" s="8"/>
    </row>
    <row r="833">
      <c r="B833" s="8"/>
      <c r="C833" s="8"/>
    </row>
    <row r="834">
      <c r="B834" s="8"/>
      <c r="C834" s="8"/>
    </row>
    <row r="835">
      <c r="B835" s="8"/>
      <c r="C835" s="8"/>
    </row>
    <row r="836">
      <c r="B836" s="8"/>
      <c r="C836" s="8"/>
    </row>
    <row r="837">
      <c r="B837" s="8"/>
      <c r="C837" s="8"/>
    </row>
    <row r="838">
      <c r="B838" s="8"/>
      <c r="C838" s="8"/>
    </row>
    <row r="839">
      <c r="B839" s="8"/>
      <c r="C839" s="8"/>
    </row>
    <row r="840">
      <c r="B840" s="8"/>
      <c r="C840" s="8"/>
    </row>
    <row r="841">
      <c r="B841" s="8"/>
      <c r="C841" s="8"/>
    </row>
    <row r="842">
      <c r="B842" s="8"/>
      <c r="C842" s="8"/>
    </row>
    <row r="843">
      <c r="B843" s="8"/>
      <c r="C843" s="8"/>
    </row>
    <row r="844">
      <c r="B844" s="8"/>
      <c r="C844" s="8"/>
    </row>
    <row r="845">
      <c r="B845" s="8"/>
      <c r="C845" s="8"/>
    </row>
    <row r="846">
      <c r="B846" s="8"/>
      <c r="C846" s="8"/>
    </row>
    <row r="847">
      <c r="B847" s="8"/>
      <c r="C847" s="8"/>
    </row>
    <row r="848">
      <c r="B848" s="8"/>
      <c r="C848" s="8"/>
    </row>
    <row r="849">
      <c r="B849" s="8"/>
      <c r="C849" s="8"/>
    </row>
    <row r="850">
      <c r="B850" s="8"/>
      <c r="C850" s="8"/>
    </row>
    <row r="851">
      <c r="B851" s="8"/>
      <c r="C851" s="8"/>
    </row>
    <row r="852">
      <c r="B852" s="8"/>
      <c r="C852" s="8"/>
    </row>
    <row r="853">
      <c r="B853" s="8"/>
      <c r="C853" s="8"/>
    </row>
    <row r="854">
      <c r="B854" s="8"/>
      <c r="C854" s="8"/>
    </row>
    <row r="855">
      <c r="B855" s="8"/>
      <c r="C855" s="8"/>
    </row>
    <row r="856">
      <c r="B856" s="8"/>
      <c r="C856" s="8"/>
    </row>
    <row r="857">
      <c r="B857" s="8"/>
      <c r="C857" s="8"/>
    </row>
    <row r="858">
      <c r="B858" s="8"/>
      <c r="C858" s="8"/>
    </row>
    <row r="859">
      <c r="B859" s="8"/>
      <c r="C859" s="8"/>
    </row>
    <row r="860">
      <c r="B860" s="8"/>
      <c r="C860" s="8"/>
    </row>
    <row r="861">
      <c r="B861" s="8"/>
      <c r="C861" s="8"/>
    </row>
    <row r="862">
      <c r="B862" s="8"/>
      <c r="C862" s="8"/>
    </row>
    <row r="863">
      <c r="B863" s="8"/>
      <c r="C863" s="8"/>
    </row>
    <row r="864">
      <c r="B864" s="8"/>
      <c r="C864" s="8"/>
    </row>
    <row r="865">
      <c r="B865" s="8"/>
      <c r="C865" s="8"/>
    </row>
    <row r="866">
      <c r="B866" s="8"/>
      <c r="C866" s="8"/>
    </row>
    <row r="867">
      <c r="B867" s="8"/>
      <c r="C867" s="8"/>
    </row>
    <row r="868">
      <c r="B868" s="8"/>
      <c r="C868" s="8"/>
    </row>
    <row r="869">
      <c r="B869" s="8"/>
      <c r="C869" s="8"/>
    </row>
    <row r="870">
      <c r="B870" s="8"/>
      <c r="C870" s="8"/>
    </row>
    <row r="871">
      <c r="B871" s="8"/>
      <c r="C871" s="8"/>
    </row>
    <row r="872">
      <c r="B872" s="8"/>
      <c r="C872" s="8"/>
    </row>
    <row r="873">
      <c r="B873" s="8"/>
      <c r="C873" s="8"/>
    </row>
    <row r="874">
      <c r="B874" s="8"/>
      <c r="C874" s="8"/>
    </row>
    <row r="875">
      <c r="B875" s="8"/>
      <c r="C875" s="8"/>
    </row>
    <row r="876">
      <c r="B876" s="8"/>
      <c r="C876" s="8"/>
    </row>
    <row r="877">
      <c r="B877" s="8"/>
      <c r="C877" s="8"/>
    </row>
    <row r="878">
      <c r="B878" s="8"/>
      <c r="C878" s="8"/>
    </row>
    <row r="879">
      <c r="B879" s="8"/>
      <c r="C879" s="8"/>
    </row>
    <row r="880">
      <c r="B880" s="8"/>
      <c r="C880" s="8"/>
    </row>
    <row r="881">
      <c r="B881" s="8"/>
      <c r="C881" s="8"/>
    </row>
    <row r="882">
      <c r="B882" s="8"/>
      <c r="C882" s="8"/>
    </row>
    <row r="883">
      <c r="B883" s="8"/>
      <c r="C883" s="8"/>
    </row>
    <row r="884">
      <c r="B884" s="8"/>
      <c r="C884" s="8"/>
    </row>
    <row r="885">
      <c r="B885" s="8"/>
      <c r="C885" s="8"/>
    </row>
    <row r="886">
      <c r="B886" s="8"/>
      <c r="C886" s="8"/>
    </row>
    <row r="887">
      <c r="B887" s="8"/>
      <c r="C887" s="8"/>
    </row>
    <row r="888">
      <c r="B888" s="8"/>
      <c r="C888" s="8"/>
    </row>
    <row r="889">
      <c r="B889" s="8"/>
      <c r="C889" s="8"/>
    </row>
    <row r="890">
      <c r="B890" s="8"/>
      <c r="C890" s="8"/>
    </row>
    <row r="891">
      <c r="B891" s="8"/>
      <c r="C891" s="8"/>
    </row>
    <row r="892">
      <c r="B892" s="8"/>
      <c r="C892" s="8"/>
    </row>
    <row r="893">
      <c r="B893" s="8"/>
      <c r="C893" s="8"/>
    </row>
    <row r="894">
      <c r="B894" s="8"/>
      <c r="C894" s="8"/>
    </row>
    <row r="895">
      <c r="B895" s="8"/>
      <c r="C895" s="8"/>
    </row>
    <row r="896">
      <c r="B896" s="8"/>
      <c r="C896" s="8"/>
    </row>
    <row r="897">
      <c r="B897" s="8"/>
      <c r="C897" s="8"/>
    </row>
    <row r="898">
      <c r="B898" s="8"/>
      <c r="C898" s="8"/>
    </row>
    <row r="899">
      <c r="B899" s="8"/>
      <c r="C899" s="8"/>
    </row>
    <row r="900">
      <c r="B900" s="8"/>
      <c r="C900" s="8"/>
    </row>
    <row r="901">
      <c r="B901" s="8"/>
      <c r="C901" s="8"/>
    </row>
    <row r="902">
      <c r="B902" s="8"/>
      <c r="C902" s="8"/>
    </row>
    <row r="903">
      <c r="B903" s="8"/>
      <c r="C903" s="8"/>
    </row>
    <row r="904">
      <c r="B904" s="8"/>
      <c r="C904" s="8"/>
    </row>
    <row r="905">
      <c r="B905" s="8"/>
      <c r="C905" s="8"/>
    </row>
    <row r="906">
      <c r="B906" s="8"/>
      <c r="C906" s="8"/>
    </row>
    <row r="907">
      <c r="B907" s="8"/>
      <c r="C907" s="8"/>
    </row>
    <row r="908">
      <c r="B908" s="8"/>
      <c r="C908" s="8"/>
    </row>
    <row r="909">
      <c r="B909" s="8"/>
      <c r="C909" s="8"/>
    </row>
    <row r="910">
      <c r="B910" s="8"/>
      <c r="C910" s="8"/>
    </row>
    <row r="911">
      <c r="B911" s="8"/>
      <c r="C911" s="8"/>
    </row>
    <row r="912">
      <c r="B912" s="8"/>
      <c r="C912" s="8"/>
    </row>
    <row r="913">
      <c r="B913" s="8"/>
      <c r="C913" s="8"/>
    </row>
    <row r="914">
      <c r="B914" s="8"/>
      <c r="C914" s="8"/>
    </row>
    <row r="915">
      <c r="B915" s="8"/>
      <c r="C915" s="8"/>
    </row>
    <row r="916">
      <c r="B916" s="8"/>
      <c r="C916" s="8"/>
    </row>
    <row r="917">
      <c r="B917" s="8"/>
      <c r="C917" s="8"/>
    </row>
    <row r="918">
      <c r="B918" s="8"/>
      <c r="C918" s="8"/>
    </row>
    <row r="919">
      <c r="B919" s="8"/>
      <c r="C919" s="8"/>
    </row>
    <row r="920">
      <c r="B920" s="8"/>
      <c r="C920" s="8"/>
    </row>
    <row r="921">
      <c r="B921" s="8"/>
      <c r="C921" s="8"/>
    </row>
    <row r="922">
      <c r="B922" s="8"/>
      <c r="C922" s="8"/>
    </row>
    <row r="923">
      <c r="B923" s="8"/>
      <c r="C923" s="8"/>
    </row>
    <row r="924">
      <c r="B924" s="8"/>
      <c r="C924" s="8"/>
    </row>
    <row r="925">
      <c r="B925" s="8"/>
      <c r="C925" s="8"/>
    </row>
    <row r="926">
      <c r="B926" s="8"/>
      <c r="C926" s="8"/>
    </row>
    <row r="927">
      <c r="B927" s="8"/>
      <c r="C927" s="8"/>
    </row>
    <row r="928">
      <c r="B928" s="8"/>
      <c r="C928" s="8"/>
    </row>
    <row r="929">
      <c r="B929" s="8"/>
      <c r="C929" s="8"/>
    </row>
    <row r="930">
      <c r="B930" s="8"/>
      <c r="C930" s="8"/>
    </row>
    <row r="931">
      <c r="B931" s="8"/>
      <c r="C931" s="8"/>
    </row>
    <row r="932">
      <c r="B932" s="8"/>
      <c r="C932" s="8"/>
    </row>
    <row r="933">
      <c r="B933" s="8"/>
      <c r="C933" s="8"/>
    </row>
    <row r="934">
      <c r="B934" s="8"/>
      <c r="C934" s="8"/>
    </row>
    <row r="935">
      <c r="B935" s="8"/>
      <c r="C935" s="8"/>
    </row>
    <row r="936">
      <c r="B936" s="8"/>
      <c r="C936" s="8"/>
    </row>
    <row r="937">
      <c r="B937" s="8"/>
      <c r="C937" s="8"/>
    </row>
    <row r="938">
      <c r="B938" s="8"/>
      <c r="C938" s="8"/>
    </row>
    <row r="939">
      <c r="B939" s="8"/>
      <c r="C939" s="8"/>
    </row>
    <row r="940">
      <c r="B940" s="8"/>
      <c r="C940" s="8"/>
    </row>
    <row r="941">
      <c r="B941" s="8"/>
      <c r="C941" s="8"/>
    </row>
    <row r="942">
      <c r="B942" s="8"/>
      <c r="C942" s="8"/>
    </row>
    <row r="943">
      <c r="B943" s="8"/>
      <c r="C943" s="8"/>
    </row>
    <row r="944">
      <c r="B944" s="8"/>
      <c r="C944" s="8"/>
    </row>
    <row r="945">
      <c r="B945" s="8"/>
      <c r="C945" s="8"/>
    </row>
    <row r="946">
      <c r="B946" s="8"/>
      <c r="C946" s="8"/>
    </row>
    <row r="947">
      <c r="B947" s="8"/>
      <c r="C947" s="8"/>
    </row>
    <row r="948">
      <c r="B948" s="8"/>
      <c r="C948" s="8"/>
    </row>
    <row r="949">
      <c r="B949" s="8"/>
      <c r="C949" s="8"/>
    </row>
    <row r="950">
      <c r="B950" s="8"/>
      <c r="C950" s="8"/>
    </row>
    <row r="951">
      <c r="B951" s="8"/>
      <c r="C951" s="8"/>
    </row>
    <row r="952">
      <c r="B952" s="8"/>
      <c r="C952" s="8"/>
    </row>
    <row r="953">
      <c r="B953" s="8"/>
      <c r="C953" s="8"/>
    </row>
    <row r="954">
      <c r="B954" s="8"/>
      <c r="C954" s="8"/>
    </row>
    <row r="955">
      <c r="B955" s="8"/>
      <c r="C955" s="8"/>
    </row>
    <row r="956">
      <c r="B956" s="8"/>
      <c r="C956" s="8"/>
    </row>
    <row r="957">
      <c r="B957" s="8"/>
      <c r="C957" s="8"/>
    </row>
    <row r="958">
      <c r="B958" s="8"/>
      <c r="C958" s="8"/>
    </row>
    <row r="959">
      <c r="B959" s="8"/>
      <c r="C959" s="8"/>
    </row>
    <row r="960">
      <c r="B960" s="8"/>
      <c r="C960" s="8"/>
    </row>
    <row r="961">
      <c r="B961" s="8"/>
      <c r="C961" s="8"/>
    </row>
    <row r="962">
      <c r="B962" s="8"/>
      <c r="C962" s="8"/>
    </row>
    <row r="963">
      <c r="B963" s="8"/>
      <c r="C963" s="8"/>
    </row>
    <row r="964">
      <c r="B964" s="8"/>
      <c r="C964" s="8"/>
    </row>
    <row r="965">
      <c r="B965" s="8"/>
      <c r="C965" s="8"/>
    </row>
    <row r="966">
      <c r="B966" s="8"/>
      <c r="C966" s="8"/>
    </row>
    <row r="967">
      <c r="B967" s="8"/>
      <c r="C967" s="8"/>
    </row>
    <row r="968">
      <c r="B968" s="8"/>
      <c r="C968" s="8"/>
    </row>
    <row r="969">
      <c r="B969" s="8"/>
      <c r="C969" s="8"/>
    </row>
    <row r="970">
      <c r="B970" s="8"/>
      <c r="C970" s="8"/>
    </row>
    <row r="971">
      <c r="B971" s="8"/>
      <c r="C971" s="8"/>
    </row>
    <row r="972">
      <c r="B972" s="8"/>
      <c r="C972" s="8"/>
    </row>
    <row r="973">
      <c r="B973" s="8"/>
      <c r="C973" s="8"/>
    </row>
    <row r="974">
      <c r="B974" s="8"/>
      <c r="C974" s="8"/>
    </row>
    <row r="975">
      <c r="B975" s="8"/>
      <c r="C975" s="8"/>
    </row>
    <row r="976">
      <c r="B976" s="8"/>
      <c r="C976" s="8"/>
    </row>
    <row r="977">
      <c r="B977" s="8"/>
      <c r="C977" s="8"/>
    </row>
    <row r="978">
      <c r="B978" s="8"/>
      <c r="C978" s="8"/>
    </row>
    <row r="979">
      <c r="B979" s="8"/>
      <c r="C979" s="8"/>
    </row>
    <row r="980">
      <c r="B980" s="8"/>
      <c r="C980" s="8"/>
    </row>
    <row r="981">
      <c r="B981" s="8"/>
      <c r="C981" s="8"/>
    </row>
    <row r="982">
      <c r="B982" s="8"/>
      <c r="C982" s="8"/>
    </row>
    <row r="983">
      <c r="B983" s="8"/>
      <c r="C983" s="8"/>
    </row>
    <row r="984">
      <c r="B984" s="8"/>
      <c r="C984" s="8"/>
    </row>
    <row r="985">
      <c r="B985" s="8"/>
      <c r="C985" s="8"/>
    </row>
    <row r="986">
      <c r="B986" s="8"/>
      <c r="C986" s="8"/>
    </row>
    <row r="987">
      <c r="B987" s="8"/>
      <c r="C987" s="8"/>
    </row>
    <row r="988">
      <c r="B988" s="8"/>
      <c r="C988" s="8"/>
    </row>
    <row r="989">
      <c r="B989" s="8"/>
      <c r="C989" s="8"/>
    </row>
    <row r="990">
      <c r="B990" s="8"/>
      <c r="C990" s="8"/>
    </row>
    <row r="991">
      <c r="B991" s="8"/>
      <c r="C991" s="8"/>
    </row>
    <row r="992">
      <c r="B992" s="8"/>
      <c r="C992" s="8"/>
    </row>
    <row r="993">
      <c r="B993" s="8"/>
      <c r="C993" s="8"/>
    </row>
    <row r="994">
      <c r="B994" s="8"/>
      <c r="C994" s="8"/>
    </row>
    <row r="995">
      <c r="B995" s="8"/>
      <c r="C995" s="8"/>
    </row>
    <row r="996">
      <c r="B996" s="8"/>
      <c r="C996" s="8"/>
    </row>
    <row r="997">
      <c r="B997" s="8"/>
      <c r="C997" s="8"/>
    </row>
    <row r="998">
      <c r="B998" s="8"/>
      <c r="C998" s="8"/>
    </row>
    <row r="999">
      <c r="B999" s="8"/>
      <c r="C999" s="8"/>
    </row>
    <row r="1000">
      <c r="B1000" s="8"/>
      <c r="C1000" s="8"/>
    </row>
  </sheetData>
  <drawing r:id="rId1"/>
</worksheet>
</file>