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y\Dropbox\Research Ouput\EMA A Cost Benefit Analysis of retrospectively identifying missed compensable billings in the Emergency Department\"/>
    </mc:Choice>
  </mc:AlternateContent>
  <xr:revisionPtr revIDLastSave="0" documentId="13_ncr:1_{C16C3912-B632-40D4-B7B0-4A9B70FDB280}" xr6:coauthVersionLast="45" xr6:coauthVersionMax="45" xr10:uidLastSave="{00000000-0000-0000-0000-000000000000}"/>
  <bookViews>
    <workbookView xWindow="47880" yWindow="-120" windowWidth="29040" windowHeight="18240" xr2:uid="{00000000-000D-0000-FFFF-FFFF00000000}"/>
  </bookViews>
  <sheets>
    <sheet name="30yr Model" sheetId="3" r:id="rId1"/>
    <sheet name="5yr Model" sheetId="5" r:id="rId2"/>
    <sheet name="Rough working" sheetId="4" r:id="rId3"/>
    <sheet name="ModelRiskSYS1" sheetId="2" state="hidden" r:id="rId4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0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50000</definedName>
    <definedName name="SimOpt_Seed0" hidden="1">1</definedName>
    <definedName name="SimOpt_SeedFixed" hidden="1">0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5" l="1"/>
  <c r="J10" i="3"/>
  <c r="J21" i="5"/>
  <c r="J3" i="5"/>
  <c r="K8" i="3"/>
  <c r="F28" i="5"/>
  <c r="I25" i="5" l="1"/>
  <c r="D25" i="5"/>
  <c r="E25" i="5" s="1"/>
  <c r="C25" i="5"/>
  <c r="I24" i="5"/>
  <c r="I26" i="5" s="1"/>
  <c r="K21" i="5"/>
  <c r="J22" i="5"/>
  <c r="J4" i="5"/>
  <c r="K3" i="5"/>
  <c r="F25" i="5"/>
  <c r="F24" i="5"/>
  <c r="E23" i="5" l="1"/>
  <c r="C23" i="5"/>
  <c r="K22" i="5"/>
  <c r="L21" i="5"/>
  <c r="J23" i="5"/>
  <c r="J5" i="5"/>
  <c r="K4" i="5"/>
  <c r="L3" i="5"/>
  <c r="F23" i="5"/>
  <c r="F22" i="5"/>
  <c r="F21" i="5"/>
  <c r="F10" i="5"/>
  <c r="J25" i="5"/>
  <c r="I7" i="5" l="1"/>
  <c r="L22" i="5"/>
  <c r="M21" i="5"/>
  <c r="K23" i="5"/>
  <c r="K25" i="5"/>
  <c r="J24" i="5"/>
  <c r="J6" i="5"/>
  <c r="K5" i="5"/>
  <c r="L4" i="5"/>
  <c r="M3" i="5"/>
  <c r="D7" i="5" l="1"/>
  <c r="E7" i="5" s="1"/>
  <c r="K24" i="5"/>
  <c r="M22" i="5"/>
  <c r="N21" i="5"/>
  <c r="L23" i="5"/>
  <c r="L25" i="5"/>
  <c r="K6" i="5"/>
  <c r="L5" i="5"/>
  <c r="M4" i="5"/>
  <c r="N3" i="5"/>
  <c r="F6" i="5"/>
  <c r="C7" i="5" l="1"/>
  <c r="J26" i="5"/>
  <c r="I6" i="5"/>
  <c r="I8" i="5" s="1"/>
  <c r="F7" i="5"/>
  <c r="J7" i="5"/>
  <c r="L24" i="5"/>
  <c r="M23" i="5"/>
  <c r="M25" i="5"/>
  <c r="N22" i="5"/>
  <c r="L6" i="5"/>
  <c r="M5" i="5"/>
  <c r="N4" i="5"/>
  <c r="F5" i="5"/>
  <c r="K26" i="5" l="1"/>
  <c r="N23" i="5"/>
  <c r="M24" i="5"/>
  <c r="N25" i="5"/>
  <c r="M6" i="5"/>
  <c r="N5" i="5"/>
  <c r="F4" i="5"/>
  <c r="L26" i="5" l="1"/>
  <c r="N24" i="5"/>
  <c r="N6" i="5"/>
  <c r="F3" i="5"/>
  <c r="M26" i="5" l="1"/>
  <c r="N26" i="5" l="1"/>
  <c r="K7" i="5"/>
  <c r="O26" i="5"/>
  <c r="L7" i="5"/>
  <c r="J8" i="5" l="1"/>
  <c r="M7" i="5"/>
  <c r="K8" i="5" l="1"/>
  <c r="N7" i="5"/>
  <c r="L8" i="5" l="1"/>
  <c r="M8" i="5" l="1"/>
  <c r="N8" i="5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C11" i="4"/>
  <c r="G4" i="4"/>
  <c r="C10" i="4"/>
  <c r="C9" i="4"/>
  <c r="O8" i="5"/>
  <c r="C13" i="4" l="1"/>
  <c r="C12" i="4"/>
  <c r="J12" i="3"/>
  <c r="J19" i="3" s="1"/>
  <c r="J30" i="3" l="1"/>
  <c r="F28" i="3" l="1"/>
  <c r="D28" i="3"/>
  <c r="E30" i="3"/>
  <c r="D30" i="3" s="1"/>
  <c r="J29" i="3"/>
  <c r="G33" i="3"/>
  <c r="G28" i="3"/>
  <c r="G27" i="3"/>
  <c r="G29" i="3"/>
  <c r="K26" i="3"/>
  <c r="G26" i="3"/>
  <c r="J31" i="3" l="1"/>
  <c r="F30" i="3"/>
  <c r="J18" i="3"/>
  <c r="E12" i="3"/>
  <c r="E3" i="3" s="1"/>
  <c r="G8" i="3"/>
  <c r="K27" i="3"/>
  <c r="G15" i="3"/>
  <c r="G30" i="3"/>
  <c r="G10" i="3"/>
  <c r="L26" i="3"/>
  <c r="G9" i="3"/>
  <c r="L8" i="3"/>
  <c r="K9" i="3"/>
  <c r="G11" i="3"/>
  <c r="J11" i="3" l="1"/>
  <c r="J13" i="3" s="1"/>
  <c r="J20" i="3"/>
  <c r="F12" i="3"/>
  <c r="F3" i="3" s="1"/>
  <c r="D12" i="3"/>
  <c r="D3" i="3" s="1"/>
  <c r="K12" i="3"/>
  <c r="K30" i="3"/>
  <c r="G12" i="3"/>
  <c r="K28" i="3"/>
  <c r="K10" i="3"/>
  <c r="M8" i="3"/>
  <c r="L27" i="3"/>
  <c r="L9" i="3"/>
  <c r="M26" i="3"/>
  <c r="N26" i="3"/>
  <c r="K29" i="3"/>
  <c r="M27" i="3"/>
  <c r="K11" i="3"/>
  <c r="L30" i="3"/>
  <c r="L10" i="3"/>
  <c r="M9" i="3"/>
  <c r="L12" i="3"/>
  <c r="L28" i="3"/>
  <c r="N8" i="3"/>
  <c r="K13" i="3" l="1"/>
  <c r="K31" i="3"/>
  <c r="O8" i="3"/>
  <c r="M10" i="3"/>
  <c r="M28" i="3"/>
  <c r="L29" i="3"/>
  <c r="N9" i="3"/>
  <c r="L11" i="3"/>
  <c r="O26" i="3"/>
  <c r="M12" i="3"/>
  <c r="M30" i="3"/>
  <c r="N27" i="3"/>
  <c r="L13" i="3" l="1"/>
  <c r="L31" i="3"/>
  <c r="N28" i="3"/>
  <c r="M29" i="3"/>
  <c r="O9" i="3"/>
  <c r="P8" i="3"/>
  <c r="N30" i="3"/>
  <c r="N10" i="3"/>
  <c r="M11" i="3"/>
  <c r="O27" i="3"/>
  <c r="N12" i="3"/>
  <c r="P26" i="3"/>
  <c r="M13" i="3" l="1"/>
  <c r="M31" i="3"/>
  <c r="Q26" i="3"/>
  <c r="P27" i="3"/>
  <c r="N11" i="3"/>
  <c r="O12" i="3"/>
  <c r="P9" i="3"/>
  <c r="O30" i="3"/>
  <c r="N29" i="3"/>
  <c r="O28" i="3"/>
  <c r="Q8" i="3"/>
  <c r="O10" i="3"/>
  <c r="N31" i="3" l="1"/>
  <c r="N13" i="3"/>
  <c r="O11" i="3"/>
  <c r="Q9" i="3"/>
  <c r="P10" i="3"/>
  <c r="P28" i="3"/>
  <c r="P30" i="3"/>
  <c r="R8" i="3"/>
  <c r="P12" i="3"/>
  <c r="R26" i="3"/>
  <c r="O29" i="3"/>
  <c r="Q27" i="3"/>
  <c r="O31" i="3" l="1"/>
  <c r="O13" i="3"/>
  <c r="Q28" i="3"/>
  <c r="R27" i="3"/>
  <c r="P11" i="3"/>
  <c r="Q30" i="3"/>
  <c r="S8" i="3"/>
  <c r="Q12" i="3"/>
  <c r="S26" i="3"/>
  <c r="R9" i="3"/>
  <c r="Q10" i="3"/>
  <c r="P29" i="3"/>
  <c r="P31" i="3" l="1"/>
  <c r="P13" i="3"/>
  <c r="S27" i="3"/>
  <c r="Q11" i="3"/>
  <c r="T26" i="3"/>
  <c r="R30" i="3"/>
  <c r="R12" i="3"/>
  <c r="Q29" i="3"/>
  <c r="R10" i="3"/>
  <c r="T8" i="3"/>
  <c r="R28" i="3"/>
  <c r="S9" i="3"/>
  <c r="Q31" i="3" l="1"/>
  <c r="Q13" i="3"/>
  <c r="S12" i="3"/>
  <c r="T9" i="3"/>
  <c r="U26" i="3"/>
  <c r="S28" i="3"/>
  <c r="S10" i="3"/>
  <c r="R11" i="3"/>
  <c r="R29" i="3"/>
  <c r="S30" i="3"/>
  <c r="U8" i="3"/>
  <c r="T27" i="3"/>
  <c r="R31" i="3" l="1"/>
  <c r="R13" i="3"/>
  <c r="T30" i="3"/>
  <c r="U27" i="3"/>
  <c r="V26" i="3"/>
  <c r="S29" i="3"/>
  <c r="T28" i="3"/>
  <c r="T10" i="3"/>
  <c r="T12" i="3"/>
  <c r="V8" i="3"/>
  <c r="S11" i="3"/>
  <c r="U9" i="3"/>
  <c r="S13" i="3" l="1"/>
  <c r="S31" i="3"/>
  <c r="U10" i="3"/>
  <c r="W8" i="3"/>
  <c r="V27" i="3"/>
  <c r="U12" i="3"/>
  <c r="T11" i="3"/>
  <c r="W26" i="3"/>
  <c r="T29" i="3"/>
  <c r="U30" i="3"/>
  <c r="V9" i="3"/>
  <c r="U28" i="3"/>
  <c r="T31" i="3" l="1"/>
  <c r="T13" i="3"/>
  <c r="U29" i="3"/>
  <c r="X26" i="3"/>
  <c r="V30" i="3"/>
  <c r="W9" i="3"/>
  <c r="X8" i="3"/>
  <c r="U11" i="3"/>
  <c r="V12" i="3"/>
  <c r="W27" i="3"/>
  <c r="V10" i="3"/>
  <c r="V28" i="3"/>
  <c r="U13" i="3" l="1"/>
  <c r="U31" i="3"/>
  <c r="V29" i="3"/>
  <c r="W12" i="3"/>
  <c r="V11" i="3"/>
  <c r="Y8" i="3"/>
  <c r="X27" i="3"/>
  <c r="W30" i="3"/>
  <c r="X9" i="3"/>
  <c r="Y26" i="3"/>
  <c r="W28" i="3"/>
  <c r="W10" i="3"/>
  <c r="V13" i="3" l="1"/>
  <c r="V31" i="3"/>
  <c r="W11" i="3"/>
  <c r="X10" i="3"/>
  <c r="Y9" i="3"/>
  <c r="W29" i="3"/>
  <c r="X12" i="3"/>
  <c r="Z8" i="3"/>
  <c r="Y27" i="3"/>
  <c r="X28" i="3"/>
  <c r="Z26" i="3"/>
  <c r="X30" i="3"/>
  <c r="W31" i="3" l="1"/>
  <c r="W13" i="3"/>
  <c r="AA26" i="3"/>
  <c r="Y30" i="3"/>
  <c r="Y12" i="3"/>
  <c r="AA8" i="3"/>
  <c r="Y28" i="3"/>
  <c r="Z27" i="3"/>
  <c r="Z9" i="3"/>
  <c r="Y10" i="3"/>
  <c r="X29" i="3"/>
  <c r="X11" i="3"/>
  <c r="X13" i="3" l="1"/>
  <c r="X31" i="3"/>
  <c r="Z10" i="3"/>
  <c r="AB8" i="3"/>
  <c r="Y11" i="3"/>
  <c r="AB26" i="3"/>
  <c r="Y29" i="3"/>
  <c r="Z30" i="3"/>
  <c r="AA9" i="3"/>
  <c r="Z28" i="3"/>
  <c r="Z12" i="3"/>
  <c r="AA27" i="3"/>
  <c r="Y31" i="3" l="1"/>
  <c r="Y13" i="3"/>
  <c r="AA28" i="3"/>
  <c r="AA12" i="3"/>
  <c r="Z29" i="3"/>
  <c r="AC26" i="3"/>
  <c r="AA10" i="3"/>
  <c r="Z11" i="3"/>
  <c r="AA30" i="3"/>
  <c r="AB9" i="3"/>
  <c r="AC8" i="3"/>
  <c r="AB27" i="3"/>
  <c r="Z13" i="3" l="1"/>
  <c r="Z31" i="3"/>
  <c r="AB30" i="3"/>
  <c r="AB12" i="3"/>
  <c r="AD26" i="3"/>
  <c r="AD8" i="3"/>
  <c r="AA11" i="3"/>
  <c r="AB28" i="3"/>
  <c r="AB10" i="3"/>
  <c r="AC27" i="3"/>
  <c r="AC9" i="3"/>
  <c r="AA29" i="3"/>
  <c r="AA31" i="3" l="1"/>
  <c r="AA13" i="3"/>
  <c r="AC30" i="3"/>
  <c r="AE8" i="3"/>
  <c r="AC12" i="3"/>
  <c r="AD27" i="3"/>
  <c r="AC10" i="3"/>
  <c r="AB11" i="3"/>
  <c r="AD9" i="3"/>
  <c r="AB29" i="3"/>
  <c r="AC28" i="3"/>
  <c r="AE26" i="3"/>
  <c r="AB31" i="3" l="1"/>
  <c r="AB13" i="3"/>
  <c r="AF26" i="3"/>
  <c r="AD12" i="3"/>
  <c r="AD28" i="3"/>
  <c r="AD30" i="3"/>
  <c r="AC11" i="3"/>
  <c r="AE27" i="3"/>
  <c r="AD10" i="3"/>
  <c r="AC29" i="3"/>
  <c r="AE9" i="3"/>
  <c r="AF8" i="3"/>
  <c r="AC31" i="3" l="1"/>
  <c r="AC13" i="3"/>
  <c r="AG8" i="3"/>
  <c r="AE10" i="3"/>
  <c r="AE12" i="3"/>
  <c r="AG26" i="3"/>
  <c r="AF9" i="3"/>
  <c r="AD11" i="3"/>
  <c r="AD29" i="3"/>
  <c r="AE30" i="3"/>
  <c r="AF27" i="3"/>
  <c r="AE28" i="3"/>
  <c r="AD31" i="3" l="1"/>
  <c r="AD13" i="3"/>
  <c r="AE29" i="3"/>
  <c r="AG27" i="3"/>
  <c r="AF12" i="3"/>
  <c r="AH26" i="3"/>
  <c r="AF30" i="3"/>
  <c r="AF10" i="3"/>
  <c r="AE11" i="3"/>
  <c r="AF28" i="3"/>
  <c r="AG9" i="3"/>
  <c r="AH8" i="3"/>
  <c r="AE13" i="3" l="1"/>
  <c r="AE31" i="3"/>
  <c r="AH9" i="3"/>
  <c r="AF29" i="3"/>
  <c r="AI26" i="3"/>
  <c r="AI8" i="3"/>
  <c r="AG28" i="3"/>
  <c r="AH27" i="3"/>
  <c r="AG10" i="3"/>
  <c r="AF11" i="3"/>
  <c r="AG30" i="3"/>
  <c r="AG12" i="3"/>
  <c r="AF13" i="3" l="1"/>
  <c r="AF31" i="3"/>
  <c r="AG29" i="3"/>
  <c r="AI27" i="3"/>
  <c r="AJ8" i="3"/>
  <c r="AI9" i="3"/>
  <c r="AJ26" i="3"/>
  <c r="AG11" i="3"/>
  <c r="AH10" i="3"/>
  <c r="AH30" i="3"/>
  <c r="AH28" i="3"/>
  <c r="AH12" i="3"/>
  <c r="AG13" i="3" l="1"/>
  <c r="AG31" i="3"/>
  <c r="AH29" i="3"/>
  <c r="AK26" i="3"/>
  <c r="AK8" i="3"/>
  <c r="AH11" i="3"/>
  <c r="AI10" i="3"/>
  <c r="AI30" i="3"/>
  <c r="AJ9" i="3"/>
  <c r="AI12" i="3"/>
  <c r="AI28" i="3"/>
  <c r="AJ27" i="3"/>
  <c r="AH13" i="3" l="1"/>
  <c r="AH31" i="3"/>
  <c r="AJ28" i="3"/>
  <c r="AJ10" i="3"/>
  <c r="AK9" i="3"/>
  <c r="AI11" i="3"/>
  <c r="AJ12" i="3"/>
  <c r="AJ30" i="3"/>
  <c r="AK27" i="3"/>
  <c r="AL8" i="3"/>
  <c r="AI29" i="3"/>
  <c r="AL26" i="3"/>
  <c r="AI31" i="3" l="1"/>
  <c r="AI13" i="3"/>
  <c r="AM26" i="3"/>
  <c r="AL9" i="3"/>
  <c r="AK12" i="3"/>
  <c r="AL27" i="3"/>
  <c r="AK30" i="3"/>
  <c r="AK10" i="3"/>
  <c r="AK28" i="3"/>
  <c r="AJ11" i="3"/>
  <c r="AM8" i="3"/>
  <c r="AJ29" i="3"/>
  <c r="AJ31" i="3" l="1"/>
  <c r="AJ13" i="3"/>
  <c r="AK29" i="3"/>
  <c r="AL10" i="3"/>
  <c r="AL12" i="3"/>
  <c r="AN8" i="3"/>
  <c r="AK11" i="3"/>
  <c r="AN26" i="3"/>
  <c r="AM27" i="3"/>
  <c r="AM9" i="3"/>
  <c r="AL28" i="3"/>
  <c r="AL30" i="3"/>
  <c r="AK13" i="3" l="1"/>
  <c r="AK31" i="3"/>
  <c r="AL29" i="3"/>
  <c r="AM28" i="3"/>
  <c r="AL11" i="3"/>
  <c r="AM10" i="3"/>
  <c r="AN27" i="3"/>
  <c r="AM12" i="3"/>
  <c r="AM30" i="3"/>
  <c r="AN9" i="3"/>
  <c r="AL13" i="3" l="1"/>
  <c r="AL31" i="3"/>
  <c r="AN10" i="3"/>
  <c r="AM11" i="3"/>
  <c r="AN12" i="3"/>
  <c r="AM29" i="3"/>
  <c r="AN28" i="3"/>
  <c r="AN30" i="3"/>
  <c r="AM31" i="3" l="1"/>
  <c r="AM13" i="3"/>
  <c r="AN29" i="3"/>
  <c r="AN11" i="3"/>
  <c r="AN13" i="3" l="1"/>
  <c r="AN31" i="3"/>
  <c r="AO13" i="3"/>
  <c r="AO31" i="3"/>
</calcChain>
</file>

<file path=xl/sharedStrings.xml><?xml version="1.0" encoding="utf-8"?>
<sst xmlns="http://schemas.openxmlformats.org/spreadsheetml/2006/main" count="98" uniqueCount="36">
  <si>
    <t>Weeks</t>
  </si>
  <si>
    <t>Task</t>
  </si>
  <si>
    <t>M L</t>
  </si>
  <si>
    <t>Distribution</t>
  </si>
  <si>
    <t>Min</t>
  </si>
  <si>
    <t>Max</t>
  </si>
  <si>
    <t>Variation in Schedule Indexation</t>
  </si>
  <si>
    <t>Variation in Presentation Growth Rate</t>
  </si>
  <si>
    <t>Year</t>
  </si>
  <si>
    <t>Annual presentations</t>
  </si>
  <si>
    <t>Variation in Percentage Compensable</t>
  </si>
  <si>
    <t>Annual compensable</t>
  </si>
  <si>
    <t xml:space="preserve">Variation in $ per patient </t>
  </si>
  <si>
    <t>Variation in % recoverable</t>
  </si>
  <si>
    <t>NPV</t>
  </si>
  <si>
    <t>Variation in hours taken</t>
  </si>
  <si>
    <t>Cost of recovery</t>
  </si>
  <si>
    <t>Total $ recovered</t>
  </si>
  <si>
    <t>$ potentially recoverable</t>
  </si>
  <si>
    <t>$ actually recoverable</t>
  </si>
  <si>
    <t>80-100%</t>
  </si>
  <si>
    <t>$ recovered per patient</t>
  </si>
  <si>
    <t>$ cost per patient</t>
  </si>
  <si>
    <t>Net revenue per patient</t>
  </si>
  <si>
    <t>Patients</t>
  </si>
  <si>
    <t>MBS</t>
  </si>
  <si>
    <t>AMA</t>
  </si>
  <si>
    <t>Hours</t>
  </si>
  <si>
    <t>Wage rate</t>
  </si>
  <si>
    <t>Per patient MBS</t>
  </si>
  <si>
    <t>Per patient AMA</t>
  </si>
  <si>
    <t>Cost per patient</t>
  </si>
  <si>
    <t>Net revenue MBS</t>
  </si>
  <si>
    <t>Net revenue AMA</t>
  </si>
  <si>
    <t>Value of $100</t>
  </si>
  <si>
    <t>Rough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</si>
</sst>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0000000"/>
    <numFmt numFmtId="166" formatCode="0.000000000"/>
  </numFmts>
  <fonts count="9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D9E1F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6" fillId="2" borderId="10" xfId="0" applyFont="1" applyFill="1" applyBorder="1"/>
    <xf numFmtId="0" fontId="6" fillId="2" borderId="3" xfId="0" applyFont="1" applyFill="1" applyBorder="1"/>
    <xf numFmtId="164" fontId="4" fillId="0" borderId="9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1" fontId="0" fillId="0" borderId="0" xfId="0" applyNumberFormat="1"/>
    <xf numFmtId="44" fontId="0" fillId="0" borderId="0" xfId="1" applyFont="1"/>
    <xf numFmtId="166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distributed" wrapText="1"/>
    </xf>
    <xf numFmtId="0" fontId="5" fillId="2" borderId="6" xfId="0" applyFont="1" applyFill="1" applyBorder="1" applyAlignment="1">
      <alignment horizontal="center" vertical="distributed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 applyBorder="1" applyAlignment="1">
      <alignment horizontal="center" wrapText="1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628650</xdr:colOff>
          <xdr:row>3</xdr:row>
          <xdr:rowOff>38100</xdr:rowOff>
        </xdr:to>
        <xdr:sp macro="" textlink="">
          <xdr:nvSpPr>
            <xdr:cNvPr id="2053" name="SIMXXXCACHE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85725</xdr:colOff>
          <xdr:row>3</xdr:row>
          <xdr:rowOff>38100</xdr:rowOff>
        </xdr:to>
        <xdr:sp macro="" textlink="">
          <xdr:nvSpPr>
            <xdr:cNvPr id="2149" name="PAGEOPTIONS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457C7522-7554-4B86-AA34-A7A2DB319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B7C3-BB08-4C90-A1C7-1CECAE72C311}">
  <sheetPr codeName="Sheet3"/>
  <dimension ref="B3:AO41"/>
  <sheetViews>
    <sheetView tabSelected="1" topLeftCell="AN29" zoomScale="85" zoomScaleNormal="85" workbookViewId="0">
      <selection activeCell="AO31" sqref="AO31"/>
    </sheetView>
  </sheetViews>
  <sheetFormatPr defaultRowHeight="12.75" x14ac:dyDescent="0.35"/>
  <cols>
    <col min="2" max="2" width="7.9296875" bestFit="1" customWidth="1"/>
    <col min="3" max="3" width="31.46484375" bestFit="1" customWidth="1"/>
    <col min="7" max="7" width="24.06640625" bestFit="1" customWidth="1"/>
    <col min="8" max="8" width="9.06640625" customWidth="1"/>
    <col min="9" max="9" width="20.53125" bestFit="1" customWidth="1"/>
    <col min="10" max="10" width="12.19921875" bestFit="1" customWidth="1"/>
    <col min="11" max="15" width="12" bestFit="1" customWidth="1"/>
    <col min="16" max="16" width="13.59765625" bestFit="1" customWidth="1"/>
    <col min="17" max="40" width="12" bestFit="1" customWidth="1"/>
    <col min="41" max="41" width="13.59765625" bestFit="1" customWidth="1"/>
    <col min="42" max="42" width="9.06640625" customWidth="1"/>
  </cols>
  <sheetData>
    <row r="3" spans="2:41" x14ac:dyDescent="0.35">
      <c r="D3">
        <f>D12*60</f>
        <v>1.4008037997807818</v>
      </c>
      <c r="E3">
        <f t="shared" ref="E3:F3" si="0">E12*60</f>
        <v>1.556448666423091</v>
      </c>
      <c r="F3">
        <f t="shared" si="0"/>
        <v>1.7120935330654001</v>
      </c>
    </row>
    <row r="5" spans="2:41" ht="13.15" thickBot="1" x14ac:dyDescent="0.4"/>
    <row r="6" spans="2:41" ht="13.15" x14ac:dyDescent="0.4">
      <c r="C6" s="27" t="s">
        <v>1</v>
      </c>
      <c r="D6" s="29" t="s">
        <v>0</v>
      </c>
      <c r="E6" s="29"/>
      <c r="F6" s="29"/>
      <c r="G6" s="30"/>
    </row>
    <row r="7" spans="2:41" ht="13.15" x14ac:dyDescent="0.4">
      <c r="C7" s="28"/>
      <c r="D7" s="3" t="s">
        <v>4</v>
      </c>
      <c r="E7" s="4" t="s">
        <v>2</v>
      </c>
      <c r="F7" s="4" t="s">
        <v>5</v>
      </c>
      <c r="G7" s="5" t="s">
        <v>3</v>
      </c>
      <c r="I7" s="17" t="s">
        <v>8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 t="s">
        <v>14</v>
      </c>
    </row>
    <row r="8" spans="2:41" x14ac:dyDescent="0.35">
      <c r="B8" s="22">
        <v>1</v>
      </c>
      <c r="C8" s="6" t="s">
        <v>7</v>
      </c>
      <c r="D8" s="11">
        <v>1</v>
      </c>
      <c r="E8" s="12">
        <v>1.0274000000000001</v>
      </c>
      <c r="F8" s="12">
        <v>1.0548</v>
      </c>
      <c r="G8" s="8">
        <f ca="1">_xll.VoseInput('30yr Model'!C8)+_xll.VosePERT($D8,$E8,$F8)</f>
        <v>1.0166990650543004</v>
      </c>
      <c r="I8" t="s">
        <v>9</v>
      </c>
      <c r="J8" s="18">
        <v>91828</v>
      </c>
      <c r="K8" s="18">
        <f ca="1">J8*_xll.VosePERT($D$8,$E$8,$F$8)</f>
        <v>93576.555959683858</v>
      </c>
      <c r="L8" s="18">
        <f ca="1">K8*_xll.VosePERT($D$8,$E$8,$F$8)</f>
        <v>97506.963009634259</v>
      </c>
      <c r="M8" s="18">
        <f ca="1">L8*_xll.VosePERT($D$8,$E$8,$F$8)</f>
        <v>101244.98245590026</v>
      </c>
      <c r="N8" s="18">
        <f ca="1">M8*_xll.VosePERT($D$8,$E$8,$F$8)</f>
        <v>105555.22151220756</v>
      </c>
      <c r="O8" s="18">
        <f ca="1">N8*_xll.VosePERT($D$8,$E$8,$F$8)</f>
        <v>109159.40476358525</v>
      </c>
      <c r="P8" s="18">
        <f ca="1">O8*_xll.VosePERT($D$8,$E$8,$F$8)</f>
        <v>113898.74298832858</v>
      </c>
      <c r="Q8" s="18">
        <f ca="1">P8*_xll.VosePERT($D$8,$E$8,$F$8)</f>
        <v>117791.37609246637</v>
      </c>
      <c r="R8" s="18">
        <f ca="1">Q8*_xll.VosePERT($D$8,$E$8,$F$8)</f>
        <v>121059.99906865366</v>
      </c>
      <c r="S8" s="18">
        <f ca="1">R8*_xll.VosePERT($D$8,$E$8,$F$8)</f>
        <v>122386.88520975194</v>
      </c>
      <c r="T8" s="18">
        <f ca="1">S8*_xll.VosePERT($D$8,$E$8,$F$8)</f>
        <v>123410.97935359894</v>
      </c>
      <c r="U8" s="18">
        <f ca="1">T8*_xll.VosePERT($D$8,$E$8,$F$8)</f>
        <v>128985.16661767896</v>
      </c>
      <c r="V8" s="18">
        <f ca="1">U8*_xll.VosePERT($D$8,$E$8,$F$8)</f>
        <v>131934.57769678859</v>
      </c>
      <c r="W8" s="18">
        <f ca="1">V8*_xll.VosePERT($D$8,$E$8,$F$8)</f>
        <v>134719.11519734346</v>
      </c>
      <c r="X8" s="18">
        <f ca="1">W8*_xll.VosePERT($D$8,$E$8,$F$8)</f>
        <v>138314.92110541352</v>
      </c>
      <c r="Y8" s="18">
        <f ca="1">X8*_xll.VosePERT($D$8,$E$8,$F$8)</f>
        <v>142939.65535197602</v>
      </c>
      <c r="Z8" s="18">
        <f ca="1">Y8*_xll.VosePERT($D$8,$E$8,$F$8)</f>
        <v>148496.45769485808</v>
      </c>
      <c r="AA8" s="18">
        <f ca="1">Z8*_xll.VosePERT($D$8,$E$8,$F$8)</f>
        <v>154477.23608461316</v>
      </c>
      <c r="AB8" s="18">
        <f ca="1">AA8*_xll.VosePERT($D$8,$E$8,$F$8)</f>
        <v>156079.45274556486</v>
      </c>
      <c r="AC8" s="18">
        <f ca="1">AB8*_xll.VosePERT($D$8,$E$8,$F$8)</f>
        <v>162338.13030462986</v>
      </c>
      <c r="AD8" s="18">
        <f ca="1">AC8*_xll.VosePERT($D$8,$E$8,$F$8)</f>
        <v>167598.88283004222</v>
      </c>
      <c r="AE8" s="18">
        <f ca="1">AD8*_xll.VosePERT($D$8,$E$8,$F$8)</f>
        <v>171759.90014152814</v>
      </c>
      <c r="AF8" s="18">
        <f ca="1">AE8*_xll.VosePERT($D$8,$E$8,$F$8)</f>
        <v>174208.52491650364</v>
      </c>
      <c r="AG8" s="18">
        <f ca="1">AF8*_xll.VosePERT($D$8,$E$8,$F$8)</f>
        <v>179334.67276204261</v>
      </c>
      <c r="AH8" s="18">
        <f ca="1">AG8*_xll.VosePERT($D$8,$E$8,$F$8)</f>
        <v>186558.02036385628</v>
      </c>
      <c r="AI8" s="18">
        <f ca="1">AH8*_xll.VosePERT($D$8,$E$8,$F$8)</f>
        <v>191227.74290407871</v>
      </c>
      <c r="AJ8" s="18">
        <f ca="1">AI8*_xll.VosePERT($D$8,$E$8,$F$8)</f>
        <v>198604.41237804567</v>
      </c>
      <c r="AK8" s="18">
        <f ca="1">AJ8*_xll.VosePERT($D$8,$E$8,$F$8)</f>
        <v>202000.11425959744</v>
      </c>
      <c r="AL8" s="18">
        <f ca="1">AK8*_xll.VosePERT($D$8,$E$8,$F$8)</f>
        <v>202495.16658065945</v>
      </c>
      <c r="AM8" s="18">
        <f ca="1">AL8*_xll.VosePERT($D$8,$E$8,$F$8)</f>
        <v>208777.62429912249</v>
      </c>
      <c r="AN8" s="18">
        <f ca="1">AM8*_xll.VosePERT($D$8,$E$8,$F$8)</f>
        <v>212505.34287666148</v>
      </c>
    </row>
    <row r="9" spans="2:41" x14ac:dyDescent="0.35">
      <c r="B9" s="22">
        <v>0.1</v>
      </c>
      <c r="C9" s="6" t="s">
        <v>10</v>
      </c>
      <c r="D9" s="11">
        <v>3.2219999999999999E-2</v>
      </c>
      <c r="E9" s="12">
        <v>3.5799999999999998E-2</v>
      </c>
      <c r="F9" s="12">
        <v>3.9379999999999998E-2</v>
      </c>
      <c r="G9" s="8">
        <f ca="1">_xll.VoseInput('30yr Model'!C9)+_xll.VosePERT($D9,$E9,$F9)</f>
        <v>3.4479763524236262E-2</v>
      </c>
      <c r="I9" t="s">
        <v>11</v>
      </c>
      <c r="J9" s="18">
        <v>3287</v>
      </c>
      <c r="K9" s="18">
        <f ca="1">K8*_xll.VosePERT($D$9,$E$9,$F$9)</f>
        <v>3232.3484602540739</v>
      </c>
      <c r="L9" s="18">
        <f ca="1">L8*_xll.VosePERT($D$9,$E$9,$F$9)</f>
        <v>3394.2623813220403</v>
      </c>
      <c r="M9" s="18">
        <f ca="1">M8*_xll.VosePERT($D$9,$E$9,$F$9)</f>
        <v>3475.0284420022062</v>
      </c>
      <c r="N9" s="18">
        <f ca="1">N8*_xll.VosePERT($D$9,$E$9,$F$9)</f>
        <v>3876.4525299176771</v>
      </c>
      <c r="O9" s="18">
        <f ca="1">O8*_xll.VosePERT($D$9,$E$9,$F$9)</f>
        <v>3920.8085380148968</v>
      </c>
      <c r="P9" s="18">
        <f ca="1">P8*_xll.VosePERT($D$9,$E$9,$F$9)</f>
        <v>4024.9714607942497</v>
      </c>
      <c r="Q9" s="18">
        <f ca="1">Q8*_xll.VosePERT($D$9,$E$9,$F$9)</f>
        <v>4334.120809943618</v>
      </c>
      <c r="R9" s="18">
        <f ca="1">R8*_xll.VosePERT($D$9,$E$9,$F$9)</f>
        <v>4173.9022536062148</v>
      </c>
      <c r="S9" s="18">
        <f ca="1">S8*_xll.VosePERT($D$9,$E$9,$F$9)</f>
        <v>4470.4769037057295</v>
      </c>
      <c r="T9" s="18">
        <f ca="1">T8*_xll.VosePERT($D$9,$E$9,$F$9)</f>
        <v>4567.9896613728552</v>
      </c>
      <c r="U9" s="18">
        <f ca="1">U8*_xll.VosePERT($D$9,$E$9,$F$9)</f>
        <v>4589.6475778619733</v>
      </c>
      <c r="V9" s="18">
        <f ca="1">V8*_xll.VosePERT($D$9,$E$9,$F$9)</f>
        <v>5008.1614207225794</v>
      </c>
      <c r="W9" s="18">
        <f ca="1">W8*_xll.VosePERT($D$9,$E$9,$F$9)</f>
        <v>4599.9027667181017</v>
      </c>
      <c r="X9" s="18">
        <f ca="1">X8*_xll.VosePERT($D$9,$E$9,$F$9)</f>
        <v>4790.8626377386672</v>
      </c>
      <c r="Y9" s="18">
        <f ca="1">Y8*_xll.VosePERT($D$9,$E$9,$F$9)</f>
        <v>5258.8119323313149</v>
      </c>
      <c r="Z9" s="18">
        <f ca="1">Z8*_xll.VosePERT($D$9,$E$9,$F$9)</f>
        <v>5421.2227380435288</v>
      </c>
      <c r="AA9" s="18">
        <f ca="1">AA8*_xll.VosePERT($D$9,$E$9,$F$9)</f>
        <v>5416.2591538537599</v>
      </c>
      <c r="AB9" s="18">
        <f ca="1">AB8*_xll.VosePERT($D$9,$E$9,$F$9)</f>
        <v>5804.643258724519</v>
      </c>
      <c r="AC9" s="18">
        <f ca="1">AC8*_xll.VosePERT($D$9,$E$9,$F$9)</f>
        <v>5805.8464996925686</v>
      </c>
      <c r="AD9" s="18">
        <f ca="1">AD8*_xll.VosePERT($D$9,$E$9,$F$9)</f>
        <v>5594.2453484739444</v>
      </c>
      <c r="AE9" s="18">
        <f ca="1">AE8*_xll.VosePERT($D$9,$E$9,$F$9)</f>
        <v>6550.893630816704</v>
      </c>
      <c r="AF9" s="18">
        <f ca="1">AF8*_xll.VosePERT($D$9,$E$9,$F$9)</f>
        <v>5877.802832577122</v>
      </c>
      <c r="AG9" s="18">
        <f ca="1">AG8*_xll.VosePERT($D$9,$E$9,$F$9)</f>
        <v>6613.8507445928681</v>
      </c>
      <c r="AH9" s="18">
        <f ca="1">AH8*_xll.VosePERT($D$9,$E$9,$F$9)</f>
        <v>6772.2114481037261</v>
      </c>
      <c r="AI9" s="18">
        <f ca="1">AI8*_xll.VosePERT($D$9,$E$9,$F$9)</f>
        <v>7133.5847386073237</v>
      </c>
      <c r="AJ9" s="18">
        <f ca="1">AJ8*_xll.VosePERT($D$9,$E$9,$F$9)</f>
        <v>7295.2684573051374</v>
      </c>
      <c r="AK9" s="18">
        <f ca="1">AK8*_xll.VosePERT($D$9,$E$9,$F$9)</f>
        <v>6845.8010914229371</v>
      </c>
      <c r="AL9" s="18">
        <f ca="1">AL8*_xll.VosePERT($D$9,$E$9,$F$9)</f>
        <v>7031.3412324023011</v>
      </c>
      <c r="AM9" s="18">
        <f ca="1">AM8*_xll.VosePERT($D$9,$E$9,$F$9)</f>
        <v>7971.9107209088043</v>
      </c>
      <c r="AN9" s="18">
        <f ca="1">AN8*_xll.VosePERT($D$9,$E$9,$F$9)</f>
        <v>7224.2157482089669</v>
      </c>
    </row>
    <row r="10" spans="2:41" x14ac:dyDescent="0.35">
      <c r="B10" s="22">
        <v>0.1</v>
      </c>
      <c r="C10" s="6" t="s">
        <v>12</v>
      </c>
      <c r="D10" s="11">
        <v>19.68</v>
      </c>
      <c r="E10" s="12">
        <v>21.87</v>
      </c>
      <c r="F10" s="12">
        <v>24.06</v>
      </c>
      <c r="G10" s="8">
        <f ca="1">_xll.VoseInput('30yr Model'!C10)+_xll.VosePERT($D10,$E10,$F10)</f>
        <v>21.721395094541549</v>
      </c>
      <c r="I10" t="s">
        <v>18</v>
      </c>
      <c r="J10" s="19">
        <f>21.87*J9</f>
        <v>71886.69</v>
      </c>
      <c r="K10" s="19">
        <f ca="1">K9*_xll.VosePERT($D$10,$E$10,$F$10)</f>
        <v>67125.969361783777</v>
      </c>
      <c r="L10" s="19">
        <f ca="1">L9*_xll.VosePERT($D$10,$E$10,$F$10)</f>
        <v>71880.052544897262</v>
      </c>
      <c r="M10" s="19">
        <f ca="1">M9*_xll.VosePERT($D$10,$E$10,$F$10)</f>
        <v>77728.761452164486</v>
      </c>
      <c r="N10" s="19">
        <f ca="1">N9*_xll.VosePERT($D$10,$E$10,$F$10)</f>
        <v>85072.755327884282</v>
      </c>
      <c r="O10" s="19">
        <f ca="1">O9*_xll.VosePERT($D$10,$E$10,$F$10)</f>
        <v>87269.832170945112</v>
      </c>
      <c r="P10" s="19">
        <f ca="1">P9*_xll.VosePERT($D$10,$E$10,$F$10)</f>
        <v>89045.190512721892</v>
      </c>
      <c r="Q10" s="19">
        <f ca="1">Q9*_xll.VosePERT($D$10,$E$10,$F$10)</f>
        <v>96287.334842419237</v>
      </c>
      <c r="R10" s="19">
        <f ca="1">R9*_xll.VosePERT($D$10,$E$10,$F$10)</f>
        <v>87462.402685706038</v>
      </c>
      <c r="S10" s="19">
        <f ca="1">S9*_xll.VosePERT($D$10,$E$10,$F$10)</f>
        <v>102431.18352039694</v>
      </c>
      <c r="T10" s="19">
        <f ca="1">T9*_xll.VosePERT($D$10,$E$10,$F$10)</f>
        <v>101428.34336393436</v>
      </c>
      <c r="U10" s="19">
        <f ca="1">U9*_xll.VosePERT($D$10,$E$10,$F$10)</f>
        <v>103274.28477271339</v>
      </c>
      <c r="V10" s="19">
        <f ca="1">V9*_xll.VosePERT($D$10,$E$10,$F$10)</f>
        <v>111115.59344493189</v>
      </c>
      <c r="W10" s="19">
        <f ca="1">W9*_xll.VosePERT($D$10,$E$10,$F$10)</f>
        <v>98247.816601222512</v>
      </c>
      <c r="X10" s="19">
        <f ca="1">X9*_xll.VosePERT($D$10,$E$10,$F$10)</f>
        <v>98383.582346982585</v>
      </c>
      <c r="Y10" s="19">
        <f ca="1">Y9*_xll.VosePERT($D$10,$E$10,$F$10)</f>
        <v>106977.3342902407</v>
      </c>
      <c r="Z10" s="19">
        <f ca="1">Z9*_xll.VosePERT($D$10,$E$10,$F$10)</f>
        <v>114966.93990638028</v>
      </c>
      <c r="AA10" s="19">
        <f ca="1">AA9*_xll.VosePERT($D$10,$E$10,$F$10)</f>
        <v>118045.23751006545</v>
      </c>
      <c r="AB10" s="19">
        <f ca="1">AB9*_xll.VosePERT($D$10,$E$10,$F$10)</f>
        <v>130702.52464508821</v>
      </c>
      <c r="AC10" s="19">
        <f ca="1">AC9*_xll.VosePERT($D$10,$E$10,$F$10)</f>
        <v>136536.51924274009</v>
      </c>
      <c r="AD10" s="19">
        <f ca="1">AD9*_xll.VosePERT($D$10,$E$10,$F$10)</f>
        <v>120701.13198917909</v>
      </c>
      <c r="AE10" s="19">
        <f ca="1">AE9*_xll.VosePERT($D$10,$E$10,$F$10)</f>
        <v>146904.36470765449</v>
      </c>
      <c r="AF10" s="19">
        <f ca="1">AF9*_xll.VosePERT($D$10,$E$10,$F$10)</f>
        <v>124933.08669430648</v>
      </c>
      <c r="AG10" s="19">
        <f ca="1">AG9*_xll.VosePERT($D$10,$E$10,$F$10)</f>
        <v>140419.49420954852</v>
      </c>
      <c r="AH10" s="19">
        <f ca="1">AH9*_xll.VosePERT($D$10,$E$10,$F$10)</f>
        <v>141756.64837451454</v>
      </c>
      <c r="AI10" s="19">
        <f ca="1">AI9*_xll.VosePERT($D$10,$E$10,$F$10)</f>
        <v>150477.30550276456</v>
      </c>
      <c r="AJ10" s="19">
        <f ca="1">AJ9*_xll.VosePERT($D$10,$E$10,$F$10)</f>
        <v>156476.92652384585</v>
      </c>
      <c r="AK10" s="19">
        <f ca="1">AK9*_xll.VosePERT($D$10,$E$10,$F$10)</f>
        <v>154384.31200915689</v>
      </c>
      <c r="AL10" s="19">
        <f ca="1">AL9*_xll.VosePERT($D$10,$E$10,$F$10)</f>
        <v>155561.35913292906</v>
      </c>
      <c r="AM10" s="19">
        <f ca="1">AM9*_xll.VosePERT($D$10,$E$10,$F$10)</f>
        <v>165502.57159655247</v>
      </c>
      <c r="AN10" s="19">
        <f ca="1">AN9*_xll.VosePERT($D$10,$E$10,$F$10)</f>
        <v>160754.29936989699</v>
      </c>
      <c r="AO10" s="20"/>
    </row>
    <row r="11" spans="2:41" x14ac:dyDescent="0.35">
      <c r="B11" t="s">
        <v>20</v>
      </c>
      <c r="C11" s="6" t="s">
        <v>13</v>
      </c>
      <c r="D11" s="11">
        <v>80</v>
      </c>
      <c r="E11" s="12">
        <v>90</v>
      </c>
      <c r="F11" s="12">
        <v>100</v>
      </c>
      <c r="G11" s="8">
        <f ca="1">_xll.VoseInput('30yr Model'!C11)+_xll.VosePERT($D11,$E11,$F11)</f>
        <v>90.892996522026948</v>
      </c>
      <c r="I11" t="s">
        <v>19</v>
      </c>
      <c r="J11" s="21">
        <f>J10</f>
        <v>71886.69</v>
      </c>
      <c r="K11" s="21">
        <f ca="1">K10*_xll.VosePERT($D$11,$E$11,$F$11)/100</f>
        <v>59883.100329304449</v>
      </c>
      <c r="L11" s="21">
        <f ca="1">L10*_xll.VosePERT($D$11,$E$11,$F$11)/100</f>
        <v>63594.214061087951</v>
      </c>
      <c r="M11" s="21">
        <f ca="1">M10*_xll.VosePERT($D$11,$E$11,$F$11)/100</f>
        <v>68533.917663739092</v>
      </c>
      <c r="N11" s="21">
        <f ca="1">N10*_xll.VosePERT($D$11,$E$11,$F$11)/100</f>
        <v>81155.905812946774</v>
      </c>
      <c r="O11" s="21">
        <f ca="1">O10*_xll.VosePERT($D$11,$E$11,$F$11)/100</f>
        <v>81480.991387987422</v>
      </c>
      <c r="P11" s="21">
        <f ca="1">P10*_xll.VosePERT($D$11,$E$11,$F$11)/100</f>
        <v>81914.61013066853</v>
      </c>
      <c r="Q11" s="21">
        <f ca="1">Q10*_xll.VosePERT($D$11,$E$11,$F$11)/100</f>
        <v>85498.441036075965</v>
      </c>
      <c r="R11" s="21">
        <f ca="1">R10*_xll.VosePERT($D$11,$E$11,$F$11)/100</f>
        <v>84775.814593967705</v>
      </c>
      <c r="S11" s="21">
        <f ca="1">S10*_xll.VosePERT($D$11,$E$11,$F$11)/100</f>
        <v>89667.614977182035</v>
      </c>
      <c r="T11" s="21">
        <f ca="1">T10*_xll.VosePERT($D$11,$E$11,$F$11)/100</f>
        <v>87990.060341169083</v>
      </c>
      <c r="U11" s="21">
        <f ca="1">U10*_xll.VosePERT($D$11,$E$11,$F$11)/100</f>
        <v>94849.525871644641</v>
      </c>
      <c r="V11" s="21">
        <f ca="1">V10*_xll.VosePERT($D$11,$E$11,$F$11)/100</f>
        <v>99577.790088946727</v>
      </c>
      <c r="W11" s="21">
        <f ca="1">W10*_xll.VosePERT($D$11,$E$11,$F$11)/100</f>
        <v>89672.880969571881</v>
      </c>
      <c r="X11" s="21">
        <f ca="1">X10*_xll.VosePERT($D$11,$E$11,$F$11)/100</f>
        <v>87358.702722039365</v>
      </c>
      <c r="Y11" s="21">
        <f ca="1">Y10*_xll.VosePERT($D$11,$E$11,$F$11)/100</f>
        <v>101733.48560157936</v>
      </c>
      <c r="Z11" s="21">
        <f ca="1">Z10*_xll.VosePERT($D$11,$E$11,$F$11)/100</f>
        <v>103195.05364058168</v>
      </c>
      <c r="AA11" s="21">
        <f ca="1">AA10*_xll.VosePERT($D$11,$E$11,$F$11)/100</f>
        <v>103651.34425192028</v>
      </c>
      <c r="AB11" s="21">
        <f ca="1">AB10*_xll.VosePERT($D$11,$E$11,$F$11)/100</f>
        <v>120743.10092415049</v>
      </c>
      <c r="AC11" s="21">
        <f ca="1">AC10*_xll.VosePERT($D$11,$E$11,$F$11)/100</f>
        <v>129064.81058681976</v>
      </c>
      <c r="AD11" s="21">
        <f ca="1">AD10*_xll.VosePERT($D$11,$E$11,$F$11)/100</f>
        <v>101291.48009076227</v>
      </c>
      <c r="AE11" s="21">
        <f ca="1">AE10*_xll.VosePERT($D$11,$E$11,$F$11)/100</f>
        <v>127365.59196185163</v>
      </c>
      <c r="AF11" s="21">
        <f ca="1">AF10*_xll.VosePERT($D$11,$E$11,$F$11)/100</f>
        <v>108815.82899990948</v>
      </c>
      <c r="AG11" s="21">
        <f ca="1">AG10*_xll.VosePERT($D$11,$E$11,$F$11)/100</f>
        <v>120596.33206268199</v>
      </c>
      <c r="AH11" s="21">
        <f ca="1">AH10*_xll.VosePERT($D$11,$E$11,$F$11)/100</f>
        <v>123452.13834230516</v>
      </c>
      <c r="AI11" s="21">
        <f ca="1">AI10*_xll.VosePERT($D$11,$E$11,$F$11)/100</f>
        <v>128008.62894160229</v>
      </c>
      <c r="AJ11" s="21">
        <f ca="1">AJ10*_xll.VosePERT($D$11,$E$11,$F$11)/100</f>
        <v>135516.8939032653</v>
      </c>
      <c r="AK11" s="21">
        <f ca="1">AK10*_xll.VosePERT($D$11,$E$11,$F$11)/100</f>
        <v>136742.90175505431</v>
      </c>
      <c r="AL11" s="21">
        <f ca="1">AL10*_xll.VosePERT($D$11,$E$11,$F$11)/100</f>
        <v>131216.46624134152</v>
      </c>
      <c r="AM11" s="21">
        <f ca="1">AM10*_xll.VosePERT($D$11,$E$11,$F$11)/100</f>
        <v>150782.89823520172</v>
      </c>
      <c r="AN11" s="21">
        <f ca="1">AN10*_xll.VosePERT($D$11,$E$11,$F$11)/100</f>
        <v>141924.69446991221</v>
      </c>
      <c r="AO11" s="20"/>
    </row>
    <row r="12" spans="2:41" x14ac:dyDescent="0.35">
      <c r="B12" s="22">
        <v>0.1</v>
      </c>
      <c r="C12" s="6" t="s">
        <v>15</v>
      </c>
      <c r="D12" s="13">
        <f>0.9*E12</f>
        <v>2.3346729996346363E-2</v>
      </c>
      <c r="E12" s="14">
        <f>71/2737</f>
        <v>2.5940811107051515E-2</v>
      </c>
      <c r="F12" s="14">
        <f>1.1*E12</f>
        <v>2.853489221775667E-2</v>
      </c>
      <c r="G12" s="8">
        <f ca="1">_xll.VoseInput('30yr Model'!C12)+_xll.VosePERT($D12,$E12,$F12)</f>
        <v>2.5045797096016825E-2</v>
      </c>
      <c r="I12" t="s">
        <v>16</v>
      </c>
      <c r="J12" s="19">
        <f>71*30</f>
        <v>2130</v>
      </c>
      <c r="K12" s="19">
        <f ca="1">K9*_xll.VosePERT($D12,$E12,$F12)*30</f>
        <v>2422.6878007859668</v>
      </c>
      <c r="L12" s="19">
        <f ca="1">L9*_xll.VosePERT($D12,$E12,$F12)*30</f>
        <v>2672.5066040333613</v>
      </c>
      <c r="M12" s="19">
        <f ca="1">M9*_xll.VosePERT($D12,$E12,$F12)*30</f>
        <v>2637.2151000360659</v>
      </c>
      <c r="N12" s="19">
        <f ca="1">N9*_xll.VosePERT($D12,$E12,$F12)*30</f>
        <v>2929.8795615536251</v>
      </c>
      <c r="O12" s="19">
        <f ca="1">O9*_xll.VosePERT($D12,$E12,$F12)*30</f>
        <v>3288.3216487869536</v>
      </c>
      <c r="P12" s="19">
        <f ca="1">P9*_xll.VosePERT($D12,$E12,$F12)*30</f>
        <v>3225.7395165460375</v>
      </c>
      <c r="Q12" s="19">
        <f ca="1">Q9*_xll.VosePERT($D12,$E12,$F12)*30</f>
        <v>3151.8597184778664</v>
      </c>
      <c r="R12" s="19">
        <f ca="1">R9*_xll.VosePERT($D12,$E12,$F12)*30</f>
        <v>3078.3258804985053</v>
      </c>
      <c r="S12" s="19">
        <f ca="1">S9*_xll.VosePERT($D12,$E12,$F12)*30</f>
        <v>3665.2605847092836</v>
      </c>
      <c r="T12" s="19">
        <f ca="1">T9*_xll.VosePERT($D12,$E12,$F12)*30</f>
        <v>3427.5191039999418</v>
      </c>
      <c r="U12" s="19">
        <f ca="1">U9*_xll.VosePERT($D12,$E12,$F12)*30</f>
        <v>3458.8784787584691</v>
      </c>
      <c r="V12" s="19">
        <f ca="1">V9*_xll.VosePERT($D12,$E12,$F12)*30</f>
        <v>3868.0610240939886</v>
      </c>
      <c r="W12" s="19">
        <f ca="1">W9*_xll.VosePERT($D12,$E12,$F12)*30</f>
        <v>3480.08430244904</v>
      </c>
      <c r="X12" s="19">
        <f ca="1">X9*_xll.VosePERT($D12,$E12,$F12)*30</f>
        <v>3847.8012201279157</v>
      </c>
      <c r="Y12" s="19">
        <f ca="1">Y9*_xll.VosePERT($D12,$E12,$F12)*30</f>
        <v>4161.981512865148</v>
      </c>
      <c r="Z12" s="19">
        <f ca="1">Z9*_xll.VosePERT($D12,$E12,$F12)*30</f>
        <v>4077.9401161560513</v>
      </c>
      <c r="AA12" s="19">
        <f ca="1">AA9*_xll.VosePERT($D12,$E12,$F12)*30</f>
        <v>4375.9585990378419</v>
      </c>
      <c r="AB12" s="19">
        <f ca="1">AB9*_xll.VosePERT($D12,$E12,$F12)*30</f>
        <v>4771.8091688381292</v>
      </c>
      <c r="AC12" s="19">
        <f ca="1">AC9*_xll.VosePERT($D12,$E12,$F12)*30</f>
        <v>4205.0813124576562</v>
      </c>
      <c r="AD12" s="19">
        <f ca="1">AD9*_xll.VosePERT($D12,$E12,$F12)*30</f>
        <v>4135.9626405078689</v>
      </c>
      <c r="AE12" s="19">
        <f ca="1">AE9*_xll.VosePERT($D12,$E12,$F12)*30</f>
        <v>5042.0697935854687</v>
      </c>
      <c r="AF12" s="19">
        <f ca="1">AF9*_xll.VosePERT($D12,$E12,$F12)*30</f>
        <v>4428.8630313401372</v>
      </c>
      <c r="AG12" s="19">
        <f ca="1">AG9*_xll.VosePERT($D12,$E12,$F12)*30</f>
        <v>5294.6761343088892</v>
      </c>
      <c r="AH12" s="19">
        <f ca="1">AH9*_xll.VosePERT($D12,$E12,$F12)*30</f>
        <v>5096.9012921849235</v>
      </c>
      <c r="AI12" s="19">
        <f ca="1">AI9*_xll.VosePERT($D12,$E12,$F12)*30</f>
        <v>5342.6272421002577</v>
      </c>
      <c r="AJ12" s="19">
        <f ca="1">AJ9*_xll.VosePERT($D12,$E12,$F12)*30</f>
        <v>5738.6853539270096</v>
      </c>
      <c r="AK12" s="19">
        <f ca="1">AK9*_xll.VosePERT($D12,$E12,$F12)*30</f>
        <v>5267.6793827383899</v>
      </c>
      <c r="AL12" s="19">
        <f ca="1">AL9*_xll.VosePERT($D12,$E12,$F12)*30</f>
        <v>5555.4794087473474</v>
      </c>
      <c r="AM12" s="19">
        <f ca="1">AM9*_xll.VosePERT($D12,$E12,$F12)*30</f>
        <v>6280.9784325473065</v>
      </c>
      <c r="AN12" s="19">
        <f ca="1">AN9*_xll.VosePERT($D12,$E12,$F12)*30</f>
        <v>5746.1389183904867</v>
      </c>
      <c r="AO12" s="20"/>
    </row>
    <row r="13" spans="2:41" x14ac:dyDescent="0.35">
      <c r="C13" s="6"/>
      <c r="D13" s="11"/>
      <c r="E13" s="12"/>
      <c r="F13" s="12"/>
      <c r="G13" s="8"/>
      <c r="I13" t="s">
        <v>17</v>
      </c>
      <c r="J13" s="21">
        <f>J11-J12</f>
        <v>69756.69</v>
      </c>
      <c r="K13" s="21">
        <f ca="1">K11-K12</f>
        <v>57460.412528518485</v>
      </c>
      <c r="L13" s="21">
        <f ca="1">L11-L12</f>
        <v>60921.707457054588</v>
      </c>
      <c r="M13" s="21">
        <f ca="1">M11-M12</f>
        <v>65896.702563703031</v>
      </c>
      <c r="N13" s="21">
        <f ca="1">N11-N12</f>
        <v>78226.026251393152</v>
      </c>
      <c r="O13" s="21">
        <f ca="1">O11-O12</f>
        <v>78192.669739200472</v>
      </c>
      <c r="P13" s="21">
        <f ca="1">P11-P12</f>
        <v>78688.870614122497</v>
      </c>
      <c r="Q13" s="21">
        <f ca="1">Q11-Q12</f>
        <v>82346.581317598102</v>
      </c>
      <c r="R13" s="21">
        <f ca="1">R11-R12</f>
        <v>81697.488713469196</v>
      </c>
      <c r="S13" s="21">
        <f ca="1">S11-S12</f>
        <v>86002.354392472756</v>
      </c>
      <c r="T13" s="21">
        <f ca="1">T11-T12</f>
        <v>84562.541237169135</v>
      </c>
      <c r="U13" s="21">
        <f ca="1">U11-U12</f>
        <v>91390.647392886167</v>
      </c>
      <c r="V13" s="21">
        <f ca="1">V11-V12</f>
        <v>95709.729064852741</v>
      </c>
      <c r="W13" s="21">
        <f ca="1">W11-W12</f>
        <v>86192.796667122835</v>
      </c>
      <c r="X13" s="21">
        <f ca="1">X11-X12</f>
        <v>83510.901501911445</v>
      </c>
      <c r="Y13" s="21">
        <f ca="1">Y11-Y12</f>
        <v>97571.50408871421</v>
      </c>
      <c r="Z13" s="21">
        <f ca="1">Z11-Z12</f>
        <v>99117.113524425629</v>
      </c>
      <c r="AA13" s="21">
        <f ca="1">AA11-AA12</f>
        <v>99275.38565288244</v>
      </c>
      <c r="AB13" s="21">
        <f ca="1">AB11-AB12</f>
        <v>115971.29175531237</v>
      </c>
      <c r="AC13" s="21">
        <f ca="1">AC11-AC12</f>
        <v>124859.72927436211</v>
      </c>
      <c r="AD13" s="21">
        <f ca="1">AD11-AD12</f>
        <v>97155.517450254396</v>
      </c>
      <c r="AE13" s="21">
        <f ca="1">AE11-AE12</f>
        <v>122323.52216826616</v>
      </c>
      <c r="AF13" s="21">
        <f ca="1">AF11-AF12</f>
        <v>104386.96596856935</v>
      </c>
      <c r="AG13" s="21">
        <f ca="1">AG11-AG12</f>
        <v>115301.6559283731</v>
      </c>
      <c r="AH13" s="21">
        <f ca="1">AH11-AH12</f>
        <v>118355.23705012024</v>
      </c>
      <c r="AI13" s="21">
        <f ca="1">AI11-AI12</f>
        <v>122666.00169950203</v>
      </c>
      <c r="AJ13" s="21">
        <f ca="1">AJ11-AJ12</f>
        <v>129778.20854933829</v>
      </c>
      <c r="AK13" s="21">
        <f ca="1">AK11-AK12</f>
        <v>131475.22237231591</v>
      </c>
      <c r="AL13" s="21">
        <f ca="1">AL11-AL12</f>
        <v>125660.98683259418</v>
      </c>
      <c r="AM13" s="21">
        <f ca="1">AM11-AM12</f>
        <v>144501.91980265442</v>
      </c>
      <c r="AN13" s="21">
        <f ca="1">AN11-AN12</f>
        <v>136178.55555152171</v>
      </c>
      <c r="AO13" s="19">
        <f ca="1">_xll.VoseOutput()+J13+NPV(0.03,K13:AN13)</f>
        <v>1918219.0998498593</v>
      </c>
    </row>
    <row r="14" spans="2:41" x14ac:dyDescent="0.35">
      <c r="C14" s="6"/>
      <c r="D14" s="11"/>
      <c r="E14" s="12"/>
      <c r="F14" s="12"/>
      <c r="G14" s="8"/>
    </row>
    <row r="15" spans="2:41" x14ac:dyDescent="0.35">
      <c r="C15" s="6" t="s">
        <v>6</v>
      </c>
      <c r="D15" s="13">
        <v>0</v>
      </c>
      <c r="E15" s="14">
        <v>0.02</v>
      </c>
      <c r="F15" s="14">
        <v>0.04</v>
      </c>
      <c r="G15" s="8">
        <f ca="1">_xll.VosePERT(D15,E15,F15)</f>
        <v>1.3289622200823891E-2</v>
      </c>
    </row>
    <row r="16" spans="2:41" x14ac:dyDescent="0.35">
      <c r="C16" s="6"/>
      <c r="D16" s="13"/>
      <c r="E16" s="14"/>
      <c r="F16" s="14"/>
      <c r="G16" s="9"/>
      <c r="I16" s="21"/>
    </row>
    <row r="17" spans="2:41" x14ac:dyDescent="0.35">
      <c r="C17" s="6"/>
      <c r="D17" s="13"/>
      <c r="E17" s="14"/>
      <c r="F17" s="14"/>
      <c r="G17" s="9"/>
    </row>
    <row r="18" spans="2:41" x14ac:dyDescent="0.35">
      <c r="C18" s="6"/>
      <c r="D18" s="13"/>
      <c r="E18" s="14"/>
      <c r="F18" s="14"/>
      <c r="G18" s="9"/>
      <c r="I18" t="s">
        <v>21</v>
      </c>
      <c r="J18" s="21">
        <f>J10/J9</f>
        <v>21.87</v>
      </c>
      <c r="K18" s="21"/>
    </row>
    <row r="19" spans="2:41" ht="13.15" thickBot="1" x14ac:dyDescent="0.4">
      <c r="C19" s="7"/>
      <c r="D19" s="15"/>
      <c r="E19" s="16"/>
      <c r="F19" s="16"/>
      <c r="G19" s="10"/>
      <c r="I19" t="s">
        <v>22</v>
      </c>
      <c r="J19" s="21">
        <f>J12/J9</f>
        <v>0.64800730149072105</v>
      </c>
    </row>
    <row r="20" spans="2:41" x14ac:dyDescent="0.35">
      <c r="C20" s="1"/>
      <c r="D20" s="1"/>
      <c r="E20" s="1"/>
      <c r="F20" s="1"/>
      <c r="G20" s="2"/>
      <c r="I20" t="s">
        <v>23</v>
      </c>
      <c r="J20" s="21">
        <f>J18-J19</f>
        <v>21.221992698509279</v>
      </c>
    </row>
    <row r="21" spans="2:41" ht="13.15" x14ac:dyDescent="0.4">
      <c r="B21" s="23"/>
      <c r="C21" s="24"/>
      <c r="D21" s="25"/>
      <c r="E21" s="25"/>
      <c r="F21" s="25"/>
      <c r="G21" s="26"/>
    </row>
    <row r="23" spans="2:41" ht="13.15" thickBot="1" x14ac:dyDescent="0.4"/>
    <row r="24" spans="2:41" ht="13.15" x14ac:dyDescent="0.4">
      <c r="C24" s="27" t="s">
        <v>1</v>
      </c>
      <c r="D24" s="29" t="s">
        <v>0</v>
      </c>
      <c r="E24" s="29"/>
      <c r="F24" s="29"/>
      <c r="G24" s="30"/>
    </row>
    <row r="25" spans="2:41" ht="13.15" x14ac:dyDescent="0.4">
      <c r="C25" s="28"/>
      <c r="D25" s="3" t="s">
        <v>4</v>
      </c>
      <c r="E25" s="4" t="s">
        <v>2</v>
      </c>
      <c r="F25" s="4" t="s">
        <v>5</v>
      </c>
      <c r="G25" s="5" t="s">
        <v>3</v>
      </c>
      <c r="I25" s="17" t="s">
        <v>8</v>
      </c>
      <c r="J25">
        <v>0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>
        <v>7</v>
      </c>
      <c r="R25">
        <v>8</v>
      </c>
      <c r="S25">
        <v>9</v>
      </c>
      <c r="T25">
        <v>10</v>
      </c>
      <c r="U25">
        <v>11</v>
      </c>
      <c r="V25">
        <v>12</v>
      </c>
      <c r="W25">
        <v>13</v>
      </c>
      <c r="X25">
        <v>14</v>
      </c>
      <c r="Y25">
        <v>15</v>
      </c>
      <c r="Z25">
        <v>16</v>
      </c>
      <c r="AA25">
        <v>17</v>
      </c>
      <c r="AB25">
        <v>18</v>
      </c>
      <c r="AC25">
        <v>19</v>
      </c>
      <c r="AD25">
        <v>20</v>
      </c>
      <c r="AE25">
        <v>21</v>
      </c>
      <c r="AF25">
        <v>22</v>
      </c>
      <c r="AG25">
        <v>23</v>
      </c>
      <c r="AH25">
        <v>24</v>
      </c>
      <c r="AI25">
        <v>25</v>
      </c>
      <c r="AJ25">
        <v>26</v>
      </c>
      <c r="AK25">
        <v>27</v>
      </c>
      <c r="AL25">
        <v>28</v>
      </c>
      <c r="AM25">
        <v>29</v>
      </c>
      <c r="AN25">
        <v>30</v>
      </c>
      <c r="AO25" t="s">
        <v>14</v>
      </c>
    </row>
    <row r="26" spans="2:41" x14ac:dyDescent="0.35">
      <c r="B26" s="22">
        <v>1</v>
      </c>
      <c r="C26" s="6" t="s">
        <v>7</v>
      </c>
      <c r="D26" s="11">
        <v>1</v>
      </c>
      <c r="E26" s="12">
        <v>1.0274000000000001</v>
      </c>
      <c r="F26" s="12">
        <v>1.0548</v>
      </c>
      <c r="G26" s="8">
        <f ca="1">_xll.VoseInput('30yr Model'!C26)+_xll.VosePERT($D26,$E26,$F26)</f>
        <v>1.0103876392097033</v>
      </c>
      <c r="I26" t="s">
        <v>9</v>
      </c>
      <c r="J26" s="18">
        <v>91828</v>
      </c>
      <c r="K26" s="18">
        <f ca="1">J26*_xll.VosePERT($D$26,$E$26,$F$26)</f>
        <v>95464.160820311692</v>
      </c>
      <c r="L26" s="18">
        <f ca="1">K26*_xll.VosePERT($D$26,$E$26,$F$26)</f>
        <v>99079.380402596202</v>
      </c>
      <c r="M26" s="18">
        <f ca="1">L26*_xll.VosePERT($D$26,$E$26,$F$26)</f>
        <v>102507.42094863157</v>
      </c>
      <c r="N26" s="18">
        <f ca="1">M26*_xll.VosePERT($D$26,$E$26,$F$26)</f>
        <v>106652.20618429675</v>
      </c>
      <c r="O26" s="18">
        <f ca="1">N26*_xll.VosePERT($D$26,$E$26,$F$26)</f>
        <v>110863.50318084947</v>
      </c>
      <c r="P26" s="18">
        <f ca="1">O26*_xll.VosePERT($D$26,$E$26,$F$26)</f>
        <v>112870.0145226126</v>
      </c>
      <c r="Q26" s="18">
        <f ca="1">P26*_xll.VosePERT($D$26,$E$26,$F$26)</f>
        <v>115238.58916095825</v>
      </c>
      <c r="R26" s="18">
        <f ca="1">Q26*_xll.VosePERT($D$26,$E$26,$F$26)</f>
        <v>117032.19957581254</v>
      </c>
      <c r="S26" s="18">
        <f ca="1">R26*_xll.VosePERT($D$26,$E$26,$F$26)</f>
        <v>121141.0613366287</v>
      </c>
      <c r="T26" s="18">
        <f ca="1">S26*_xll.VosePERT($D$26,$E$26,$F$26)</f>
        <v>124250.37090096733</v>
      </c>
      <c r="U26" s="18">
        <f ca="1">T26*_xll.VosePERT($D$26,$E$26,$F$26)</f>
        <v>128810.44539027433</v>
      </c>
      <c r="V26" s="18">
        <f ca="1">U26*_xll.VosePERT($D$26,$E$26,$F$26)</f>
        <v>132927.72129999098</v>
      </c>
      <c r="W26" s="18">
        <f ca="1">V26*_xll.VosePERT($D$26,$E$26,$F$26)</f>
        <v>135158.26433823249</v>
      </c>
      <c r="X26" s="18">
        <f ca="1">W26*_xll.VosePERT($D$26,$E$26,$F$26)</f>
        <v>139490.31402574209</v>
      </c>
      <c r="Y26" s="18">
        <f ca="1">X26*_xll.VosePERT($D$26,$E$26,$F$26)</f>
        <v>142862.20868545739</v>
      </c>
      <c r="Z26" s="18">
        <f ca="1">Y26*_xll.VosePERT($D$26,$E$26,$F$26)</f>
        <v>147554.9291339519</v>
      </c>
      <c r="AA26" s="18">
        <f ca="1">Z26*_xll.VosePERT($D$26,$E$26,$F$26)</f>
        <v>152750.45774430232</v>
      </c>
      <c r="AB26" s="18">
        <f ca="1">AA26*_xll.VosePERT($D$26,$E$26,$F$26)</f>
        <v>156117.4761035371</v>
      </c>
      <c r="AC26" s="18">
        <f ca="1">AB26*_xll.VosePERT($D$26,$E$26,$F$26)</f>
        <v>161363.42483280989</v>
      </c>
      <c r="AD26" s="18">
        <f ca="1">AC26*_xll.VosePERT($D$26,$E$26,$F$26)</f>
        <v>163477.15246832414</v>
      </c>
      <c r="AE26" s="18">
        <f ca="1">AD26*_xll.VosePERT($D$26,$E$26,$F$26)</f>
        <v>169368.42072099785</v>
      </c>
      <c r="AF26" s="18">
        <f ca="1">AE26*_xll.VosePERT($D$26,$E$26,$F$26)</f>
        <v>176186.53008607554</v>
      </c>
      <c r="AG26" s="18">
        <f ca="1">AF26*_xll.VosePERT($D$26,$E$26,$F$26)</f>
        <v>179069.87094792136</v>
      </c>
      <c r="AH26" s="18">
        <f ca="1">AG26*_xll.VosePERT($D$26,$E$26,$F$26)</f>
        <v>185526.07034467754</v>
      </c>
      <c r="AI26" s="18">
        <f ca="1">AH26*_xll.VosePERT($D$26,$E$26,$F$26)</f>
        <v>193202.72358363683</v>
      </c>
      <c r="AJ26" s="18">
        <f ca="1">AI26*_xll.VosePERT($D$26,$E$26,$F$26)</f>
        <v>198795.34317615689</v>
      </c>
      <c r="AK26" s="18">
        <f ca="1">AJ26*_xll.VosePERT($D$26,$E$26,$F$26)</f>
        <v>200622.23137831944</v>
      </c>
      <c r="AL26" s="18">
        <f ca="1">AK26*_xll.VosePERT($D$26,$E$26,$F$26)</f>
        <v>210017.52929033182</v>
      </c>
      <c r="AM26" s="18">
        <f ca="1">AL26*_xll.VosePERT($D$26,$E$26,$F$26)</f>
        <v>210962.52567752564</v>
      </c>
      <c r="AN26" s="18">
        <f ca="1">AM26*_xll.VosePERT($D$26,$E$26,$F$26)</f>
        <v>221753.35187265099</v>
      </c>
    </row>
    <row r="27" spans="2:41" x14ac:dyDescent="0.35">
      <c r="B27" s="22">
        <v>0.1</v>
      </c>
      <c r="C27" s="6" t="s">
        <v>10</v>
      </c>
      <c r="D27" s="11">
        <v>3.2219999999999999E-2</v>
      </c>
      <c r="E27" s="12">
        <v>3.5799999999999998E-2</v>
      </c>
      <c r="F27" s="12">
        <v>3.9379999999999998E-2</v>
      </c>
      <c r="G27" s="8">
        <f ca="1">_xll.VoseInput('30yr Model'!C27)+_xll.VosePERT($D27,$E27,$F27)</f>
        <v>3.6949395056217971E-2</v>
      </c>
      <c r="I27" t="s">
        <v>11</v>
      </c>
      <c r="J27" s="18">
        <v>3287</v>
      </c>
      <c r="K27" s="18">
        <f ca="1">K26*_xll.VosePERT($D$27,$E$27,$F$27)</f>
        <v>3277.2775316844723</v>
      </c>
      <c r="L27" s="18">
        <f ca="1">L26*_xll.VosePERT($D$27,$E$27,$F$27)</f>
        <v>3339.1114104881522</v>
      </c>
      <c r="M27" s="18">
        <f ca="1">M26*_xll.VosePERT($D$27,$E$27,$F$27)</f>
        <v>3658.3103201515814</v>
      </c>
      <c r="N27" s="18">
        <f ca="1">N26*_xll.VosePERT($D$27,$E$27,$F$27)</f>
        <v>3992.9704116759362</v>
      </c>
      <c r="O27" s="18">
        <f ca="1">O26*_xll.VosePERT($D$27,$E$27,$F$27)</f>
        <v>4077.1122926311909</v>
      </c>
      <c r="P27" s="18">
        <f ca="1">P26*_xll.VosePERT($D$27,$E$27,$F$27)</f>
        <v>3996.3997419216585</v>
      </c>
      <c r="Q27" s="18">
        <f ca="1">Q26*_xll.VosePERT($D$27,$E$27,$F$27)</f>
        <v>4144.2825291309919</v>
      </c>
      <c r="R27" s="18">
        <f ca="1">R26*_xll.VosePERT($D$27,$E$27,$F$27)</f>
        <v>4310.7271513471951</v>
      </c>
      <c r="S27" s="18">
        <f ca="1">S26*_xll.VosePERT($D$27,$E$27,$F$27)</f>
        <v>4349.0693940641013</v>
      </c>
      <c r="T27" s="18">
        <f ca="1">T26*_xll.VosePERT($D$27,$E$27,$F$27)</f>
        <v>4351.4178597776227</v>
      </c>
      <c r="U27" s="18">
        <f ca="1">U26*_xll.VosePERT($D$27,$E$27,$F$27)</f>
        <v>4384.546384261871</v>
      </c>
      <c r="V27" s="18">
        <f ca="1">V26*_xll.VosePERT($D$27,$E$27,$F$27)</f>
        <v>4831.9569039470489</v>
      </c>
      <c r="W27" s="18">
        <f ca="1">W26*_xll.VosePERT($D$27,$E$27,$F$27)</f>
        <v>4884.2883359186872</v>
      </c>
      <c r="X27" s="18">
        <f ca="1">X26*_xll.VosePERT($D$27,$E$27,$F$27)</f>
        <v>4890.4024083113909</v>
      </c>
      <c r="Y27" s="18">
        <f ca="1">Y26*_xll.VosePERT($D$27,$E$27,$F$27)</f>
        <v>5306.5054260846964</v>
      </c>
      <c r="Z27" s="18">
        <f ca="1">Z26*_xll.VosePERT($D$27,$E$27,$F$27)</f>
        <v>5499.2025701337143</v>
      </c>
      <c r="AA27" s="18">
        <f ca="1">AA26*_xll.VosePERT($D$27,$E$27,$F$27)</f>
        <v>5356.7626026055177</v>
      </c>
      <c r="AB27" s="18">
        <f ca="1">AB26*_xll.VosePERT($D$27,$E$27,$F$27)</f>
        <v>5847.6442676571423</v>
      </c>
      <c r="AC27" s="18">
        <f ca="1">AC26*_xll.VosePERT($D$27,$E$27,$F$27)</f>
        <v>6107.3103825416329</v>
      </c>
      <c r="AD27" s="18">
        <f ca="1">AD26*_xll.VosePERT($D$27,$E$27,$F$27)</f>
        <v>5916.5959740228382</v>
      </c>
      <c r="AE27" s="18">
        <f ca="1">AE26*_xll.VosePERT($D$27,$E$27,$F$27)</f>
        <v>5926.5559334090349</v>
      </c>
      <c r="AF27" s="18">
        <f ca="1">AF26*_xll.VosePERT($D$27,$E$27,$F$27)</f>
        <v>6294.7915034690905</v>
      </c>
      <c r="AG27" s="18">
        <f ca="1">AG26*_xll.VosePERT($D$27,$E$27,$F$27)</f>
        <v>6706.152907761395</v>
      </c>
      <c r="AH27" s="18">
        <f ca="1">AH26*_xll.VosePERT($D$27,$E$27,$F$27)</f>
        <v>6641.9614413705713</v>
      </c>
      <c r="AI27" s="18">
        <f ca="1">AI26*_xll.VosePERT($D$27,$E$27,$F$27)</f>
        <v>6628.8778875952476</v>
      </c>
      <c r="AJ27" s="18">
        <f ca="1">AJ26*_xll.VosePERT($D$27,$E$27,$F$27)</f>
        <v>7358.1579138159223</v>
      </c>
      <c r="AK27" s="18">
        <f ca="1">AK26*_xll.VosePERT($D$27,$E$27,$F$27)</f>
        <v>7322.2621004764851</v>
      </c>
      <c r="AL27" s="18">
        <f ca="1">AL26*_xll.VosePERT($D$27,$E$27,$F$27)</f>
        <v>7545.8881822549019</v>
      </c>
      <c r="AM27" s="18">
        <f ca="1">AM26*_xll.VosePERT($D$27,$E$27,$F$27)</f>
        <v>7591.182784994041</v>
      </c>
      <c r="AN27" s="18">
        <f ca="1">AN26*_xll.VosePERT($D$27,$E$27,$F$27)</f>
        <v>8052.5457578106616</v>
      </c>
    </row>
    <row r="28" spans="2:41" x14ac:dyDescent="0.35">
      <c r="B28" s="22">
        <v>0.1</v>
      </c>
      <c r="C28" s="6" t="s">
        <v>12</v>
      </c>
      <c r="D28" s="11">
        <f>E28*0.9</f>
        <v>60.137999999999998</v>
      </c>
      <c r="E28" s="12">
        <v>66.819999999999993</v>
      </c>
      <c r="F28" s="12">
        <f>E28*1.1</f>
        <v>73.501999999999995</v>
      </c>
      <c r="G28" s="8">
        <f ca="1">_xll.VoseInput('30yr Model'!C28)+_xll.VosePERT($D28,$E28,$F28)</f>
        <v>70.200612005770637</v>
      </c>
      <c r="I28" t="s">
        <v>18</v>
      </c>
      <c r="J28" s="19">
        <v>182880</v>
      </c>
      <c r="K28" s="19">
        <f ca="1">K27*_xll.VosePERT($D$28,$E$28,$F$28)</f>
        <v>224601.80225843034</v>
      </c>
      <c r="L28" s="19">
        <f ca="1">L27*_xll.VosePERT($D$28,$E$28,$F$28)</f>
        <v>224862.02292742458</v>
      </c>
      <c r="M28" s="19">
        <f ca="1">M27*_xll.VosePERT($D$28,$E$28,$F$28)</f>
        <v>237822.58758265554</v>
      </c>
      <c r="N28" s="19">
        <f ca="1">N27*_xll.VosePERT($D$28,$E$28,$F$28)</f>
        <v>257437.6228416363</v>
      </c>
      <c r="O28" s="19">
        <f ca="1">O27*_xll.VosePERT($D$28,$E$28,$F$28)</f>
        <v>277916.03177177132</v>
      </c>
      <c r="P28" s="19">
        <f ca="1">P27*_xll.VosePERT($D$28,$E$28,$F$28)</f>
        <v>277726.52247253159</v>
      </c>
      <c r="Q28" s="19">
        <f ca="1">Q27*_xll.VosePERT($D$28,$E$28,$F$28)</f>
        <v>281722.45963769575</v>
      </c>
      <c r="R28" s="19">
        <f ca="1">R27*_xll.VosePERT($D$28,$E$28,$F$28)</f>
        <v>277624.28257334389</v>
      </c>
      <c r="S28" s="19">
        <f ca="1">S27*_xll.VosePERT($D$28,$E$28,$F$28)</f>
        <v>289521.38488874352</v>
      </c>
      <c r="T28" s="19">
        <f ca="1">T27*_xll.VosePERT($D$28,$E$28,$F$28)</f>
        <v>286864.89939519326</v>
      </c>
      <c r="U28" s="19">
        <f ca="1">U27*_xll.VosePERT($D$28,$E$28,$F$28)</f>
        <v>296856.28905604483</v>
      </c>
      <c r="V28" s="19">
        <f ca="1">V27*_xll.VosePERT($D$28,$E$28,$F$28)</f>
        <v>344394.31019676785</v>
      </c>
      <c r="W28" s="19">
        <f ca="1">W27*_xll.VosePERT($D$28,$E$28,$F$28)</f>
        <v>341545.13681004703</v>
      </c>
      <c r="X28" s="19">
        <f ca="1">X27*_xll.VosePERT($D$28,$E$28,$F$28)</f>
        <v>331894.46676983288</v>
      </c>
      <c r="Y28" s="19">
        <f ca="1">Y27*_xll.VosePERT($D$28,$E$28,$F$28)</f>
        <v>338434.71585959074</v>
      </c>
      <c r="Z28" s="19">
        <f ca="1">Z27*_xll.VosePERT($D$28,$E$28,$F$28)</f>
        <v>366694.37171640474</v>
      </c>
      <c r="AA28" s="19">
        <f ca="1">AA27*_xll.VosePERT($D$28,$E$28,$F$28)</f>
        <v>378568.79389362619</v>
      </c>
      <c r="AB28" s="19">
        <f ca="1">AB27*_xll.VosePERT($D$28,$E$28,$F$28)</f>
        <v>366070.70908306458</v>
      </c>
      <c r="AC28" s="19">
        <f ca="1">AC27*_xll.VosePERT($D$28,$E$28,$F$28)</f>
        <v>390700.89949458564</v>
      </c>
      <c r="AD28" s="19">
        <f ca="1">AD27*_xll.VosePERT($D$28,$E$28,$F$28)</f>
        <v>418596.6724232937</v>
      </c>
      <c r="AE28" s="19">
        <f ca="1">AE27*_xll.VosePERT($D$28,$E$28,$F$28)</f>
        <v>402630.32336917525</v>
      </c>
      <c r="AF28" s="19">
        <f ca="1">AF27*_xll.VosePERT($D$28,$E$28,$F$28)</f>
        <v>407481.78892332554</v>
      </c>
      <c r="AG28" s="19">
        <f ca="1">AG27*_xll.VosePERT($D$28,$E$28,$F$28)</f>
        <v>476519.50854696619</v>
      </c>
      <c r="AH28" s="19">
        <f ca="1">AH27*_xll.VosePERT($D$28,$E$28,$F$28)</f>
        <v>435516.29212095647</v>
      </c>
      <c r="AI28" s="19">
        <f ca="1">AI27*_xll.VosePERT($D$28,$E$28,$F$28)</f>
        <v>445705.38820846967</v>
      </c>
      <c r="AJ28" s="19">
        <f ca="1">AJ27*_xll.VosePERT($D$28,$E$28,$F$28)</f>
        <v>509450.92527002632</v>
      </c>
      <c r="AK28" s="19">
        <f ca="1">AK27*_xll.VosePERT($D$28,$E$28,$F$28)</f>
        <v>527980.20342224801</v>
      </c>
      <c r="AL28" s="19">
        <f ca="1">AL27*_xll.VosePERT($D$28,$E$28,$F$28)</f>
        <v>503940.22184841457</v>
      </c>
      <c r="AM28" s="19">
        <f ca="1">AM27*_xll.VosePERT($D$28,$E$28,$F$28)</f>
        <v>514585.28252500144</v>
      </c>
      <c r="AN28" s="19">
        <f ca="1">AN27*_xll.VosePERT($D$28,$E$28,$F$28)</f>
        <v>537876.82039773045</v>
      </c>
      <c r="AO28" s="20"/>
    </row>
    <row r="29" spans="2:41" x14ac:dyDescent="0.35">
      <c r="B29" t="s">
        <v>20</v>
      </c>
      <c r="C29" s="6" t="s">
        <v>13</v>
      </c>
      <c r="D29" s="11">
        <v>80</v>
      </c>
      <c r="E29" s="12">
        <v>90</v>
      </c>
      <c r="F29" s="12">
        <v>100</v>
      </c>
      <c r="G29" s="8">
        <f ca="1">_xll.VoseInput('30yr Model'!C29)+_xll.VosePERT($D29,$E29,$F29)</f>
        <v>96.014528711655373</v>
      </c>
      <c r="I29" t="s">
        <v>19</v>
      </c>
      <c r="J29" s="21">
        <f>J28</f>
        <v>182880</v>
      </c>
      <c r="K29" s="21">
        <f ca="1">K28*_xll.VosePERT($D$29,$E$29,$F$29)/100</f>
        <v>195567.09342388238</v>
      </c>
      <c r="L29" s="21">
        <f ca="1">L28*_xll.VosePERT($D$29,$E$29,$F$29)/100</f>
        <v>199231.92876879123</v>
      </c>
      <c r="M29" s="21">
        <f ca="1">M28*_xll.VosePERT($D$29,$E$29,$F$29)/100</f>
        <v>220432.19009466912</v>
      </c>
      <c r="N29" s="21">
        <f ca="1">N28*_xll.VosePERT($D$29,$E$29,$F$29)/100</f>
        <v>237849.05747092672</v>
      </c>
      <c r="O29" s="21">
        <f ca="1">O28*_xll.VosePERT($D$29,$E$29,$F$29)/100</f>
        <v>256704.80479057456</v>
      </c>
      <c r="P29" s="21">
        <f ca="1">P28*_xll.VosePERT($D$29,$E$29,$F$29)/100</f>
        <v>245015.86798300798</v>
      </c>
      <c r="Q29" s="21">
        <f ca="1">Q28*_xll.VosePERT($D$29,$E$29,$F$29)/100</f>
        <v>249341.61567453711</v>
      </c>
      <c r="R29" s="21">
        <f ca="1">R28*_xll.VosePERT($D$29,$E$29,$F$29)/100</f>
        <v>248885.88602259208</v>
      </c>
      <c r="S29" s="21">
        <f ca="1">S28*_xll.VosePERT($D$29,$E$29,$F$29)/100</f>
        <v>258840.98286950559</v>
      </c>
      <c r="T29" s="21">
        <f ca="1">T28*_xll.VosePERT($D$29,$E$29,$F$29)/100</f>
        <v>248782.10727979935</v>
      </c>
      <c r="U29" s="21">
        <f ca="1">U28*_xll.VosePERT($D$29,$E$29,$F$29)/100</f>
        <v>265195.58500137227</v>
      </c>
      <c r="V29" s="21">
        <f ca="1">V28*_xll.VosePERT($D$29,$E$29,$F$29)/100</f>
        <v>310689.10100615135</v>
      </c>
      <c r="W29" s="21">
        <f ca="1">W28*_xll.VosePERT($D$29,$E$29,$F$29)/100</f>
        <v>311086.49753632327</v>
      </c>
      <c r="X29" s="21">
        <f ca="1">X28*_xll.VosePERT($D$29,$E$29,$F$29)/100</f>
        <v>281252.26243922493</v>
      </c>
      <c r="Y29" s="21">
        <f ca="1">Y28*_xll.VosePERT($D$29,$E$29,$F$29)/100</f>
        <v>291577.78329426493</v>
      </c>
      <c r="Z29" s="21">
        <f ca="1">Z28*_xll.VosePERT($D$29,$E$29,$F$29)/100</f>
        <v>347324.1251921833</v>
      </c>
      <c r="AA29" s="21">
        <f ca="1">AA28*_xll.VosePERT($D$29,$E$29,$F$29)/100</f>
        <v>357692.89263714018</v>
      </c>
      <c r="AB29" s="21">
        <f ca="1">AB28*_xll.VosePERT($D$29,$E$29,$F$29)/100</f>
        <v>346615.005205661</v>
      </c>
      <c r="AC29" s="21">
        <f ca="1">AC28*_xll.VosePERT($D$29,$E$29,$F$29)/100</f>
        <v>355240.02421413042</v>
      </c>
      <c r="AD29" s="21">
        <f ca="1">AD28*_xll.VosePERT($D$29,$E$29,$F$29)/100</f>
        <v>407834.71336784313</v>
      </c>
      <c r="AE29" s="21">
        <f ca="1">AE28*_xll.VosePERT($D$29,$E$29,$F$29)/100</f>
        <v>353235.16901285417</v>
      </c>
      <c r="AF29" s="21">
        <f ca="1">AF28*_xll.VosePERT($D$29,$E$29,$F$29)/100</f>
        <v>361143.7074616414</v>
      </c>
      <c r="AG29" s="21">
        <f ca="1">AG28*_xll.VosePERT($D$29,$E$29,$F$29)/100</f>
        <v>405082.66394320852</v>
      </c>
      <c r="AH29" s="21">
        <f ca="1">AH28*_xll.VosePERT($D$29,$E$29,$F$29)/100</f>
        <v>388324.80149878393</v>
      </c>
      <c r="AI29" s="21">
        <f ca="1">AI28*_xll.VosePERT($D$29,$E$29,$F$29)/100</f>
        <v>426575.81902412308</v>
      </c>
      <c r="AJ29" s="21">
        <f ca="1">AJ28*_xll.VosePERT($D$29,$E$29,$F$29)/100</f>
        <v>462050.44510905468</v>
      </c>
      <c r="AK29" s="21">
        <f ca="1">AK28*_xll.VosePERT($D$29,$E$29,$F$29)/100</f>
        <v>502773.29804427415</v>
      </c>
      <c r="AL29" s="21">
        <f ca="1">AL28*_xll.VosePERT($D$29,$E$29,$F$29)/100</f>
        <v>437637.18313616881</v>
      </c>
      <c r="AM29" s="21">
        <f ca="1">AM28*_xll.VosePERT($D$29,$E$29,$F$29)/100</f>
        <v>441007.07860614709</v>
      </c>
      <c r="AN29" s="21">
        <f ca="1">AN28*_xll.VosePERT($D$29,$E$29,$F$29)/100</f>
        <v>468479.35275180661</v>
      </c>
      <c r="AO29" s="20"/>
    </row>
    <row r="30" spans="2:41" x14ac:dyDescent="0.35">
      <c r="B30" s="22">
        <v>0.1</v>
      </c>
      <c r="C30" s="6" t="s">
        <v>15</v>
      </c>
      <c r="D30" s="13">
        <f>0.9*E30</f>
        <v>2.3346729996346363E-2</v>
      </c>
      <c r="E30" s="14">
        <f>71/2737</f>
        <v>2.5940811107051515E-2</v>
      </c>
      <c r="F30" s="14">
        <f>1.1*E30</f>
        <v>2.853489221775667E-2</v>
      </c>
      <c r="G30" s="8">
        <f ca="1">_xll.VoseInput('30yr Model'!C30)+_xll.VosePERT($D30,$E30,$F30)</f>
        <v>2.5682654478991138E-2</v>
      </c>
      <c r="I30" t="s">
        <v>16</v>
      </c>
      <c r="J30" s="19">
        <f>71*30</f>
        <v>2130</v>
      </c>
      <c r="K30" s="19">
        <f ca="1">K27*_xll.VosePERT($D30,$E30,$F30)*30</f>
        <v>2622.4255329821103</v>
      </c>
      <c r="L30" s="19">
        <f ca="1">L27*_xll.VosePERT($D30,$E30,$F30)*30</f>
        <v>2685.0758710092009</v>
      </c>
      <c r="M30" s="19">
        <f ca="1">M27*_xll.VosePERT($D30,$E30,$F30)*30</f>
        <v>2896.0650481180232</v>
      </c>
      <c r="N30" s="19">
        <f ca="1">N27*_xll.VosePERT($D30,$E30,$F30)*30</f>
        <v>3343.2534521682001</v>
      </c>
      <c r="O30" s="19">
        <f ca="1">O27*_xll.VosePERT($D30,$E30,$F30)*30</f>
        <v>3113.9308040199444</v>
      </c>
      <c r="P30" s="19">
        <f ca="1">P27*_xll.VosePERT($D30,$E30,$F30)*30</f>
        <v>3331.732386473936</v>
      </c>
      <c r="Q30" s="19">
        <f ca="1">Q27*_xll.VosePERT($D30,$E30,$F30)*30</f>
        <v>3073.7545393533501</v>
      </c>
      <c r="R30" s="19">
        <f ca="1">R27*_xll.VosePERT($D30,$E30,$F30)*30</f>
        <v>3346.520901453328</v>
      </c>
      <c r="S30" s="19">
        <f ca="1">S27*_xll.VosePERT($D30,$E30,$F30)*30</f>
        <v>3239.9352066475617</v>
      </c>
      <c r="T30" s="19">
        <f ca="1">T27*_xll.VosePERT($D30,$E30,$F30)*30</f>
        <v>3436.8710024511784</v>
      </c>
      <c r="U30" s="19">
        <f ca="1">U27*_xll.VosePERT($D30,$E30,$F30)*30</f>
        <v>3539.6244962655455</v>
      </c>
      <c r="V30" s="19">
        <f ca="1">V27*_xll.VosePERT($D30,$E30,$F30)*30</f>
        <v>3923.4118033198465</v>
      </c>
      <c r="W30" s="19">
        <f ca="1">W27*_xll.VosePERT($D30,$E30,$F30)*30</f>
        <v>3980.0636659254378</v>
      </c>
      <c r="X30" s="19">
        <f ca="1">X27*_xll.VosePERT($D30,$E30,$F30)*30</f>
        <v>4010.8428333809156</v>
      </c>
      <c r="Y30" s="19">
        <f ca="1">Y27*_xll.VosePERT($D30,$E30,$F30)*30</f>
        <v>4252.6489177526792</v>
      </c>
      <c r="Z30" s="19">
        <f ca="1">Z27*_xll.VosePERT($D30,$E30,$F30)*30</f>
        <v>4399.9898802746693</v>
      </c>
      <c r="AA30" s="19">
        <f ca="1">AA27*_xll.VosePERT($D30,$E30,$F30)*30</f>
        <v>4282.5955960769152</v>
      </c>
      <c r="AB30" s="19">
        <f ca="1">AB27*_xll.VosePERT($D30,$E30,$F30)*30</f>
        <v>4205.5230394415084</v>
      </c>
      <c r="AC30" s="19">
        <f ca="1">AC27*_xll.VosePERT($D30,$E30,$F30)*30</f>
        <v>4841.0975625124065</v>
      </c>
      <c r="AD30" s="19">
        <f ca="1">AD27*_xll.VosePERT($D30,$E30,$F30)*30</f>
        <v>4421.963796870501</v>
      </c>
      <c r="AE30" s="19">
        <f ca="1">AE27*_xll.VosePERT($D30,$E30,$F30)*30</f>
        <v>4740.4734014805654</v>
      </c>
      <c r="AF30" s="19">
        <f ca="1">AF27*_xll.VosePERT($D30,$E30,$F30)*30</f>
        <v>4942.2646502313146</v>
      </c>
      <c r="AG30" s="19">
        <f ca="1">AG27*_xll.VosePERT($D30,$E30,$F30)*30</f>
        <v>4879.2477633530898</v>
      </c>
      <c r="AH30" s="19">
        <f ca="1">AH27*_xll.VosePERT($D30,$E30,$F30)*30</f>
        <v>4999.5810520917112</v>
      </c>
      <c r="AI30" s="19">
        <f ca="1">AI27*_xll.VosePERT($D30,$E30,$F30)*30</f>
        <v>4961.5151302344993</v>
      </c>
      <c r="AJ30" s="19">
        <f ca="1">AJ27*_xll.VosePERT($D30,$E30,$F30)*30</f>
        <v>5824.8359867336067</v>
      </c>
      <c r="AK30" s="19">
        <f ca="1">AK27*_xll.VosePERT($D30,$E30,$F30)*30</f>
        <v>6139.7408227339365</v>
      </c>
      <c r="AL30" s="19">
        <f ca="1">AL27*_xll.VosePERT($D30,$E30,$F30)*30</f>
        <v>5799.6615713896272</v>
      </c>
      <c r="AM30" s="19">
        <f ca="1">AM27*_xll.VosePERT($D30,$E30,$F30)*30</f>
        <v>6003.3205135547023</v>
      </c>
      <c r="AN30" s="19">
        <f ca="1">AN27*_xll.VosePERT($D30,$E30,$F30)*30</f>
        <v>6121.6110957155615</v>
      </c>
      <c r="AO30" s="20"/>
    </row>
    <row r="31" spans="2:41" x14ac:dyDescent="0.35">
      <c r="C31" s="6"/>
      <c r="D31" s="11"/>
      <c r="E31" s="12"/>
      <c r="F31" s="12"/>
      <c r="G31" s="8"/>
      <c r="I31" t="s">
        <v>17</v>
      </c>
      <c r="J31" s="21">
        <f>J29-J30</f>
        <v>180750</v>
      </c>
      <c r="K31" s="21">
        <f ca="1">K29-K30</f>
        <v>192944.66789090028</v>
      </c>
      <c r="L31" s="21">
        <f ca="1">L29-L30</f>
        <v>196546.85289778202</v>
      </c>
      <c r="M31" s="21">
        <f ca="1">M29-M30</f>
        <v>217536.12504655108</v>
      </c>
      <c r="N31" s="21">
        <f ca="1">N29-N30</f>
        <v>234505.80401875853</v>
      </c>
      <c r="O31" s="21">
        <f ca="1">O29-O30</f>
        <v>253590.87398655462</v>
      </c>
      <c r="P31" s="21">
        <f ca="1">P29-P30</f>
        <v>241684.13559653403</v>
      </c>
      <c r="Q31" s="21">
        <f ca="1">Q29-Q30</f>
        <v>246267.86113518378</v>
      </c>
      <c r="R31" s="21">
        <f ca="1">R29-R30</f>
        <v>245539.36512113875</v>
      </c>
      <c r="S31" s="21">
        <f ca="1">S29-S30</f>
        <v>255601.04766285804</v>
      </c>
      <c r="T31" s="21">
        <f ca="1">T29-T30</f>
        <v>245345.23627734819</v>
      </c>
      <c r="U31" s="21">
        <f ca="1">U29-U30</f>
        <v>261655.96050510672</v>
      </c>
      <c r="V31" s="21">
        <f ca="1">V29-V30</f>
        <v>306765.68920283148</v>
      </c>
      <c r="W31" s="21">
        <f ca="1">W29-W30</f>
        <v>307106.43387039786</v>
      </c>
      <c r="X31" s="21">
        <f ca="1">X29-X30</f>
        <v>277241.41960584401</v>
      </c>
      <c r="Y31" s="21">
        <f ca="1">Y29-Y30</f>
        <v>287325.13437651226</v>
      </c>
      <c r="Z31" s="21">
        <f ca="1">Z29-Z30</f>
        <v>342924.13531190861</v>
      </c>
      <c r="AA31" s="21">
        <f ca="1">AA29-AA30</f>
        <v>353410.29704106326</v>
      </c>
      <c r="AB31" s="21">
        <f ca="1">AB29-AB30</f>
        <v>342409.4821662195</v>
      </c>
      <c r="AC31" s="21">
        <f ca="1">AC29-AC30</f>
        <v>350398.92665161804</v>
      </c>
      <c r="AD31" s="21">
        <f ca="1">AD29-AD30</f>
        <v>403412.74957097264</v>
      </c>
      <c r="AE31" s="21">
        <f ca="1">AE29-AE30</f>
        <v>348494.69561137358</v>
      </c>
      <c r="AF31" s="21">
        <f ca="1">AF29-AF30</f>
        <v>356201.44281141006</v>
      </c>
      <c r="AG31" s="21">
        <f ca="1">AG29-AG30</f>
        <v>400203.41617985541</v>
      </c>
      <c r="AH31" s="21">
        <f ca="1">AH29-AH30</f>
        <v>383325.2204466922</v>
      </c>
      <c r="AI31" s="21">
        <f ca="1">AI29-AI30</f>
        <v>421614.3038938886</v>
      </c>
      <c r="AJ31" s="21">
        <f ca="1">AJ29-AJ30</f>
        <v>456225.60912232107</v>
      </c>
      <c r="AK31" s="21">
        <f ca="1">AK29-AK30</f>
        <v>496633.55722154019</v>
      </c>
      <c r="AL31" s="21">
        <f ca="1">AL29-AL30</f>
        <v>431837.52156477916</v>
      </c>
      <c r="AM31" s="21">
        <f ca="1">AM29-AM30</f>
        <v>435003.75809259241</v>
      </c>
      <c r="AN31" s="21">
        <f ca="1">AN29-AN30</f>
        <v>462357.74165609106</v>
      </c>
      <c r="AO31" s="19">
        <f ca="1">_xll.VoseOutput()+J31+NPV(0.03,K31:AN31)</f>
        <v>6152210.1249271762</v>
      </c>
    </row>
    <row r="32" spans="2:41" x14ac:dyDescent="0.35">
      <c r="C32" s="6"/>
      <c r="D32" s="11"/>
      <c r="E32" s="12"/>
      <c r="F32" s="12"/>
      <c r="G32" s="8"/>
    </row>
    <row r="33" spans="3:15" x14ac:dyDescent="0.35">
      <c r="C33" s="6" t="s">
        <v>6</v>
      </c>
      <c r="D33" s="13">
        <v>0</v>
      </c>
      <c r="E33" s="14">
        <v>0.02</v>
      </c>
      <c r="F33" s="14">
        <v>0.04</v>
      </c>
      <c r="G33" s="8">
        <f ca="1">_xll.VosePERT(D33,E33,F33)</f>
        <v>2.0162733552427474E-2</v>
      </c>
    </row>
    <row r="34" spans="3:15" x14ac:dyDescent="0.35">
      <c r="C34" s="6"/>
      <c r="D34" s="13"/>
      <c r="E34" s="14"/>
      <c r="F34" s="14"/>
      <c r="G34" s="9"/>
    </row>
    <row r="35" spans="3:15" x14ac:dyDescent="0.35">
      <c r="C35" s="6"/>
      <c r="D35" s="13"/>
      <c r="E35" s="14"/>
      <c r="F35" s="14"/>
      <c r="G35" s="9"/>
    </row>
    <row r="36" spans="3:15" x14ac:dyDescent="0.35">
      <c r="C36" s="6"/>
      <c r="D36" s="13"/>
      <c r="E36" s="14"/>
      <c r="F36" s="14"/>
      <c r="G36" s="9"/>
      <c r="I36" s="31"/>
    </row>
    <row r="37" spans="3:15" ht="13.5" thickBot="1" x14ac:dyDescent="0.45">
      <c r="C37" s="7"/>
      <c r="D37" s="15"/>
      <c r="E37" s="16"/>
      <c r="F37" s="16"/>
      <c r="G37" s="10"/>
      <c r="I37" s="32"/>
    </row>
    <row r="38" spans="3:15" x14ac:dyDescent="0.35">
      <c r="I38" s="31"/>
      <c r="J38" s="18"/>
      <c r="K38" s="18"/>
      <c r="L38" s="18"/>
      <c r="M38" s="18"/>
      <c r="N38" s="18"/>
      <c r="O38" s="18"/>
    </row>
    <row r="39" spans="3:15" x14ac:dyDescent="0.35">
      <c r="I39" s="31"/>
      <c r="J39" s="18"/>
      <c r="K39" s="18"/>
      <c r="L39" s="18"/>
      <c r="M39" s="18"/>
      <c r="N39" s="18"/>
      <c r="O39" s="18"/>
    </row>
    <row r="40" spans="3:15" x14ac:dyDescent="0.35">
      <c r="I40" s="31"/>
      <c r="J40" s="19"/>
      <c r="K40" s="19"/>
      <c r="L40" s="19"/>
      <c r="M40" s="19"/>
      <c r="N40" s="19"/>
      <c r="O40" s="19"/>
    </row>
    <row r="41" spans="3:15" x14ac:dyDescent="0.35">
      <c r="I41" s="31"/>
      <c r="J41" s="21"/>
      <c r="K41" s="21"/>
      <c r="L41" s="21"/>
      <c r="M41" s="21"/>
      <c r="N41" s="21"/>
      <c r="O41" s="21"/>
    </row>
  </sheetData>
  <mergeCells count="4">
    <mergeCell ref="C6:C7"/>
    <mergeCell ref="D6:G6"/>
    <mergeCell ref="C24:C25"/>
    <mergeCell ref="D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56B3-ABDB-4414-81BC-2B6EC0131F30}">
  <dimension ref="A1:O32"/>
  <sheetViews>
    <sheetView workbookViewId="0">
      <selection activeCell="N34" sqref="N34"/>
    </sheetView>
  </sheetViews>
  <sheetFormatPr defaultRowHeight="12.75" x14ac:dyDescent="0.35"/>
  <cols>
    <col min="9" max="14" width="12" bestFit="1" customWidth="1"/>
    <col min="15" max="15" width="13.59765625" bestFit="1" customWidth="1"/>
  </cols>
  <sheetData>
    <row r="1" spans="1:15" ht="13.15" x14ac:dyDescent="0.4">
      <c r="B1" s="27" t="s">
        <v>1</v>
      </c>
      <c r="C1" s="29" t="s">
        <v>0</v>
      </c>
      <c r="D1" s="29"/>
      <c r="E1" s="29"/>
      <c r="F1" s="30"/>
    </row>
    <row r="2" spans="1:15" ht="26.25" x14ac:dyDescent="0.4">
      <c r="B2" s="28"/>
      <c r="C2" s="3" t="s">
        <v>4</v>
      </c>
      <c r="D2" s="4" t="s">
        <v>2</v>
      </c>
      <c r="E2" s="4" t="s">
        <v>5</v>
      </c>
      <c r="F2" s="5" t="s">
        <v>3</v>
      </c>
      <c r="H2" s="17" t="s">
        <v>8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</row>
    <row r="3" spans="1:15" x14ac:dyDescent="0.35">
      <c r="A3" s="22">
        <v>1</v>
      </c>
      <c r="B3" s="6" t="s">
        <v>7</v>
      </c>
      <c r="C3" s="11">
        <v>1</v>
      </c>
      <c r="D3" s="12">
        <v>1.0274000000000001</v>
      </c>
      <c r="E3" s="12">
        <v>1.0548</v>
      </c>
      <c r="F3" s="8">
        <f ca="1">_xll.VoseInput('5yr Model'!B3)+_xll.VosePERT($C3,$D3,$E3)</f>
        <v>1.0243646272656715</v>
      </c>
      <c r="H3" t="s">
        <v>9</v>
      </c>
      <c r="I3" s="18">
        <v>91828</v>
      </c>
      <c r="J3" s="18">
        <f ca="1">I3*_xll.VosePERT($C$3,$D$3,$E$3)</f>
        <v>93650.674605981214</v>
      </c>
      <c r="K3" s="18">
        <f ca="1">J3*_xll.VosePERT($C$3,$D$3,$E$3)</f>
        <v>94128.400666521615</v>
      </c>
      <c r="L3" s="18">
        <f ca="1">K3*_xll.VosePERT($C$3,$D$3,$E$3)</f>
        <v>96226.289487237678</v>
      </c>
      <c r="M3" s="18">
        <f ca="1">L3*_xll.VosePERT($C$3,$D$3,$E$3)</f>
        <v>97322.462915373893</v>
      </c>
      <c r="N3" s="18">
        <f ca="1">M3*_xll.VosePERT($C$3,$D$3,$E$3)</f>
        <v>100104.93915645736</v>
      </c>
    </row>
    <row r="4" spans="1:15" x14ac:dyDescent="0.35">
      <c r="A4" s="22">
        <v>0.1</v>
      </c>
      <c r="B4" s="6" t="s">
        <v>10</v>
      </c>
      <c r="C4" s="11">
        <v>3.2219999999999999E-2</v>
      </c>
      <c r="D4" s="12">
        <v>3.5799999999999998E-2</v>
      </c>
      <c r="E4" s="12">
        <v>3.9379999999999998E-2</v>
      </c>
      <c r="F4" s="8">
        <f ca="1">_xll.VoseInput('5yr Model'!B4)+_xll.VosePERT($C4,$D4,$E4)</f>
        <v>3.558004004228587E-2</v>
      </c>
      <c r="H4" t="s">
        <v>11</v>
      </c>
      <c r="I4" s="18">
        <v>3287</v>
      </c>
      <c r="J4" s="18">
        <f ca="1">J3*_xll.VosePERT($C$4,$D$4,$E$4)</f>
        <v>3274.5875783757006</v>
      </c>
      <c r="K4" s="18">
        <f ca="1">K3*_xll.VosePERT($C$4,$D$4,$E$4)</f>
        <v>3468.1458789069202</v>
      </c>
      <c r="L4" s="18">
        <f ca="1">L3*_xll.VosePERT($C$4,$D$4,$E$4)</f>
        <v>3289.7996697466474</v>
      </c>
      <c r="M4" s="18">
        <f ca="1">M3*_xll.VosePERT($C$4,$D$4,$E$4)</f>
        <v>3542.9564677286216</v>
      </c>
      <c r="N4" s="18">
        <f ca="1">N3*_xll.VosePERT($C$4,$D$4,$E$4)</f>
        <v>3443.0250804160487</v>
      </c>
    </row>
    <row r="5" spans="1:15" x14ac:dyDescent="0.35">
      <c r="A5" s="22">
        <v>0.1</v>
      </c>
      <c r="B5" s="6" t="s">
        <v>12</v>
      </c>
      <c r="C5" s="11">
        <v>19.68</v>
      </c>
      <c r="D5" s="12">
        <v>21.87</v>
      </c>
      <c r="E5" s="12">
        <v>24.06</v>
      </c>
      <c r="F5" s="8">
        <f ca="1">_xll.VoseInput('5yr Model'!B5)+_xll.VosePERT($C5,$D5,$E5)</f>
        <v>21.896686323652716</v>
      </c>
      <c r="H5" t="s">
        <v>18</v>
      </c>
      <c r="I5" s="19">
        <f>21.87*I4</f>
        <v>71886.69</v>
      </c>
      <c r="J5" s="19">
        <f ca="1">J4*_xll.VosePERT($C$5,$D$5,$E$5)</f>
        <v>74902.291685320728</v>
      </c>
      <c r="K5" s="19">
        <f ca="1">K4*_xll.VosePERT($C$5,$D$5,$E$5)</f>
        <v>81856.494224033682</v>
      </c>
      <c r="L5" s="19">
        <f ca="1">L4*_xll.VosePERT($C$5,$D$5,$E$5)</f>
        <v>74124.954431484599</v>
      </c>
      <c r="M5" s="19">
        <f ca="1">M4*_xll.VosePERT($C$5,$D$5,$E$5)</f>
        <v>80284.238316681731</v>
      </c>
      <c r="N5" s="19">
        <f ca="1">N4*_xll.VosePERT($C$5,$D$5,$E$5)</f>
        <v>75583.656494336654</v>
      </c>
    </row>
    <row r="6" spans="1:15" x14ac:dyDescent="0.35">
      <c r="A6" t="s">
        <v>20</v>
      </c>
      <c r="B6" s="6" t="s">
        <v>13</v>
      </c>
      <c r="C6" s="11">
        <v>80</v>
      </c>
      <c r="D6" s="12">
        <v>90</v>
      </c>
      <c r="E6" s="12">
        <v>100</v>
      </c>
      <c r="F6" s="8">
        <f ca="1">_xll.VoseInput('5yr Model'!B6)+_xll.VosePERT($C6,$D6,$E6)</f>
        <v>88.433035303145203</v>
      </c>
      <c r="H6" t="s">
        <v>19</v>
      </c>
      <c r="I6" s="21">
        <f>I5</f>
        <v>71886.69</v>
      </c>
      <c r="J6" s="21">
        <f ca="1">J5*_xll.VosePERT($C$6,$D$6,$E$6)/100</f>
        <v>69106.556473179269</v>
      </c>
      <c r="K6" s="21">
        <f ca="1">K5*_xll.VosePERT($C$6,$D$6,$E$6)/100</f>
        <v>70635.279762409933</v>
      </c>
      <c r="L6" s="21">
        <f ca="1">L5*_xll.VosePERT($C$6,$D$6,$E$6)/100</f>
        <v>72181.544548957783</v>
      </c>
      <c r="M6" s="21">
        <f ca="1">M5*_xll.VosePERT($C$6,$D$6,$E$6)/100</f>
        <v>73289.038104681807</v>
      </c>
      <c r="N6" s="21">
        <f ca="1">N5*_xll.VosePERT($C$6,$D$6,$E$6)/100</f>
        <v>70023.554886729602</v>
      </c>
    </row>
    <row r="7" spans="1:15" x14ac:dyDescent="0.35">
      <c r="A7" s="22">
        <v>0.1</v>
      </c>
      <c r="B7" s="6" t="s">
        <v>15</v>
      </c>
      <c r="C7" s="13">
        <f>0.9*D7</f>
        <v>2.3346729996346363E-2</v>
      </c>
      <c r="D7" s="14">
        <f>71/2737</f>
        <v>2.5940811107051515E-2</v>
      </c>
      <c r="E7" s="14">
        <f>1.1*D7</f>
        <v>2.853489221775667E-2</v>
      </c>
      <c r="F7" s="8">
        <f ca="1">_xll.VoseInput('5yr Model'!B7)+_xll.VosePERT($C7,$D7,$E7)</f>
        <v>2.5003954917687407E-2</v>
      </c>
      <c r="H7" t="s">
        <v>16</v>
      </c>
      <c r="I7" s="19">
        <f>71*30</f>
        <v>2130</v>
      </c>
      <c r="J7" s="19">
        <f ca="1">J4*_xll.VosePERT($C7,$D7,$E7)*30</f>
        <v>2608.4440357042736</v>
      </c>
      <c r="K7" s="19">
        <f ca="1">K4*_xll.VosePERT($C7,$D7,$E7)*30</f>
        <v>2515.2772110458063</v>
      </c>
      <c r="L7" s="19">
        <f ca="1">L4*_xll.VosePERT($C7,$D7,$E7)*30</f>
        <v>2544.8621014796618</v>
      </c>
      <c r="M7" s="19">
        <f ca="1">M4*_xll.VosePERT($C7,$D7,$E7)*30</f>
        <v>2783.140808228155</v>
      </c>
      <c r="N7" s="19">
        <f ca="1">N4*_xll.VosePERT($C7,$D7,$E7)*30</f>
        <v>2617.2077763809921</v>
      </c>
    </row>
    <row r="8" spans="1:15" x14ac:dyDescent="0.35">
      <c r="B8" s="6"/>
      <c r="C8" s="11"/>
      <c r="D8" s="12"/>
      <c r="E8" s="12"/>
      <c r="F8" s="8"/>
      <c r="H8" t="s">
        <v>17</v>
      </c>
      <c r="I8" s="21">
        <f>I6-I7</f>
        <v>69756.69</v>
      </c>
      <c r="J8" s="21">
        <f ca="1">J6-J7</f>
        <v>66498.112437474992</v>
      </c>
      <c r="K8" s="21">
        <f ca="1">K6-K7</f>
        <v>68120.00255136413</v>
      </c>
      <c r="L8" s="21">
        <f ca="1">L6-L7</f>
        <v>69636.682447478117</v>
      </c>
      <c r="M8" s="21">
        <f ca="1">M6-M7</f>
        <v>70505.897296453652</v>
      </c>
      <c r="N8" s="21">
        <f ca="1">N6-N7</f>
        <v>67406.347110348608</v>
      </c>
      <c r="O8" s="19">
        <f ca="1">_xll.VoseOutput()+I8+NPV(0.03,J8:N8)</f>
        <v>383043.91276327934</v>
      </c>
    </row>
    <row r="9" spans="1:15" x14ac:dyDescent="0.35">
      <c r="B9" s="6"/>
      <c r="C9" s="11"/>
      <c r="D9" s="12"/>
      <c r="E9" s="12"/>
      <c r="F9" s="8"/>
    </row>
    <row r="10" spans="1:15" x14ac:dyDescent="0.35">
      <c r="B10" s="6" t="s">
        <v>6</v>
      </c>
      <c r="C10" s="13">
        <v>0</v>
      </c>
      <c r="D10" s="14">
        <v>0.02</v>
      </c>
      <c r="E10" s="14">
        <v>0.04</v>
      </c>
      <c r="F10" s="8">
        <f ca="1">_xll.VosePERT(C10,D10,E10)</f>
        <v>1.7652424055315016E-2</v>
      </c>
    </row>
    <row r="11" spans="1:15" x14ac:dyDescent="0.35">
      <c r="B11" s="6"/>
      <c r="C11" s="13"/>
      <c r="D11" s="14"/>
      <c r="E11" s="14"/>
      <c r="F11" s="9"/>
      <c r="H11" s="21"/>
      <c r="O11" s="33"/>
    </row>
    <row r="12" spans="1:15" x14ac:dyDescent="0.35">
      <c r="B12" s="6"/>
      <c r="C12" s="13"/>
      <c r="D12" s="14"/>
      <c r="E12" s="14"/>
      <c r="F12" s="9"/>
    </row>
    <row r="13" spans="1:15" x14ac:dyDescent="0.35">
      <c r="B13" s="6"/>
      <c r="C13" s="13"/>
      <c r="D13" s="14"/>
      <c r="E13" s="14"/>
      <c r="F13" s="9"/>
      <c r="I13" s="21"/>
      <c r="J13" s="21"/>
      <c r="O13" s="21"/>
    </row>
    <row r="14" spans="1:15" ht="13.15" thickBot="1" x14ac:dyDescent="0.4">
      <c r="B14" s="7"/>
      <c r="C14" s="15"/>
      <c r="D14" s="16"/>
      <c r="E14" s="16"/>
      <c r="F14" s="10"/>
      <c r="I14" s="21"/>
    </row>
    <row r="15" spans="1:15" x14ac:dyDescent="0.35">
      <c r="B15" s="1"/>
      <c r="C15" s="1"/>
      <c r="D15" s="1"/>
      <c r="E15" s="1"/>
      <c r="F15" s="2"/>
      <c r="I15" s="21"/>
    </row>
    <row r="18" spans="1:15" ht="13.15" thickBot="1" x14ac:dyDescent="0.4"/>
    <row r="19" spans="1:15" ht="13.15" x14ac:dyDescent="0.4">
      <c r="B19" s="27" t="s">
        <v>1</v>
      </c>
      <c r="C19" s="29" t="s">
        <v>0</v>
      </c>
      <c r="D19" s="29"/>
      <c r="E19" s="29"/>
      <c r="F19" s="30"/>
    </row>
    <row r="20" spans="1:15" ht="26.25" x14ac:dyDescent="0.4">
      <c r="B20" s="28"/>
      <c r="C20" s="3" t="s">
        <v>4</v>
      </c>
      <c r="D20" s="4" t="s">
        <v>2</v>
      </c>
      <c r="E20" s="4" t="s">
        <v>5</v>
      </c>
      <c r="F20" s="5" t="s">
        <v>3</v>
      </c>
      <c r="H20" s="17" t="s">
        <v>8</v>
      </c>
      <c r="I20">
        <v>0</v>
      </c>
      <c r="J20">
        <v>1</v>
      </c>
      <c r="K20">
        <v>2</v>
      </c>
      <c r="L20">
        <v>3</v>
      </c>
      <c r="M20">
        <v>4</v>
      </c>
      <c r="N20">
        <v>5</v>
      </c>
    </row>
    <row r="21" spans="1:15" x14ac:dyDescent="0.35">
      <c r="A21" s="22">
        <v>1</v>
      </c>
      <c r="B21" s="6" t="s">
        <v>7</v>
      </c>
      <c r="C21" s="11">
        <v>1</v>
      </c>
      <c r="D21" s="12">
        <v>1.0274000000000001</v>
      </c>
      <c r="E21" s="12">
        <v>1.0548</v>
      </c>
      <c r="F21" s="8">
        <f ca="1">_xll.VoseInput('5yr Model'!B21)+_xll.VosePERT($C21,$D21,$E21)</f>
        <v>1.0160180021415448</v>
      </c>
      <c r="H21" t="s">
        <v>9</v>
      </c>
      <c r="I21" s="18">
        <v>91828</v>
      </c>
      <c r="J21" s="18">
        <f ca="1">I21*_xll.VosePERT($C$21,$D$21,$E$21)</f>
        <v>93685.716661015627</v>
      </c>
      <c r="K21" s="18">
        <f ca="1">J21*_xll.VosePERT($C$21,$D$21,$E$21)</f>
        <v>94708.253015237089</v>
      </c>
      <c r="L21" s="18">
        <f ca="1">K21*_xll.VosePERT($C$21,$D$21,$E$21)</f>
        <v>96202.928937885139</v>
      </c>
      <c r="M21" s="18">
        <f ca="1">L21*_xll.VosePERT($C$21,$D$21,$E$21)</f>
        <v>97822.133223693396</v>
      </c>
      <c r="N21" s="18">
        <f ca="1">M21*_xll.VosePERT($C$21,$D$21,$E$21)</f>
        <v>98877.086319501177</v>
      </c>
    </row>
    <row r="22" spans="1:15" x14ac:dyDescent="0.35">
      <c r="A22" s="22">
        <v>0.1</v>
      </c>
      <c r="B22" s="6" t="s">
        <v>10</v>
      </c>
      <c r="C22" s="11">
        <v>3.2219999999999999E-2</v>
      </c>
      <c r="D22" s="12">
        <v>3.5799999999999998E-2</v>
      </c>
      <c r="E22" s="12">
        <v>3.9379999999999998E-2</v>
      </c>
      <c r="F22" s="8">
        <f ca="1">_xll.VoseInput('5yr Model'!B22)+_xll.VosePERT($C22,$D22,$E22)</f>
        <v>3.4759284678028468E-2</v>
      </c>
      <c r="H22" t="s">
        <v>11</v>
      </c>
      <c r="I22" s="18">
        <v>3287</v>
      </c>
      <c r="J22" s="18">
        <f ca="1">J21*_xll.VosePERT($C$22,$D$22,$E$22)</f>
        <v>3501.8141271875852</v>
      </c>
      <c r="K22" s="18">
        <f ca="1">K21*_xll.VosePERT($C$22,$D$22,$E$22)</f>
        <v>3371.3229761973353</v>
      </c>
      <c r="L22" s="18">
        <f ca="1">L21*_xll.VosePERT($C$22,$D$22,$E$22)</f>
        <v>3402.0681565125005</v>
      </c>
      <c r="M22" s="18">
        <f ca="1">M21*_xll.VosePERT($C$22,$D$22,$E$22)</f>
        <v>3349.1038047681318</v>
      </c>
      <c r="N22" s="18">
        <f ca="1">N21*_xll.VosePERT($C$22,$D$22,$E$22)</f>
        <v>3698.4062117063909</v>
      </c>
    </row>
    <row r="23" spans="1:15" x14ac:dyDescent="0.35">
      <c r="A23" s="22">
        <v>0.1</v>
      </c>
      <c r="B23" s="6" t="s">
        <v>12</v>
      </c>
      <c r="C23" s="11">
        <f>D23*0.9</f>
        <v>60.137999999999998</v>
      </c>
      <c r="D23" s="12">
        <v>66.819999999999993</v>
      </c>
      <c r="E23" s="12">
        <f>D23*1.1</f>
        <v>73.501999999999995</v>
      </c>
      <c r="F23" s="8">
        <f ca="1">_xll.VoseInput('5yr Model'!B23)+_xll.VosePERT($C23,$D23,$E23)</f>
        <v>67.351069423067727</v>
      </c>
      <c r="H23" t="s">
        <v>18</v>
      </c>
      <c r="I23" s="19">
        <v>182880</v>
      </c>
      <c r="J23" s="19">
        <f ca="1">J22*_xll.VosePERT($C$23,$D$23,$E$23)</f>
        <v>229258.49365323797</v>
      </c>
      <c r="K23" s="19">
        <f ca="1">K22*_xll.VosePERT($C$23,$D$23,$E$23)</f>
        <v>231014.08811937223</v>
      </c>
      <c r="L23" s="19">
        <f ca="1">L22*_xll.VosePERT($C$23,$D$23,$E$23)</f>
        <v>230262.76495332192</v>
      </c>
      <c r="M23" s="19">
        <f ca="1">M22*_xll.VosePERT($C$23,$D$23,$E$23)</f>
        <v>237655.59206010855</v>
      </c>
      <c r="N23" s="19">
        <f ca="1">N22*_xll.VosePERT($C$23,$D$23,$E$23)</f>
        <v>230622.51195336148</v>
      </c>
    </row>
    <row r="24" spans="1:15" x14ac:dyDescent="0.35">
      <c r="A24" t="s">
        <v>20</v>
      </c>
      <c r="B24" s="6" t="s">
        <v>13</v>
      </c>
      <c r="C24" s="11">
        <v>80</v>
      </c>
      <c r="D24" s="12">
        <v>90</v>
      </c>
      <c r="E24" s="12">
        <v>100</v>
      </c>
      <c r="F24" s="8">
        <f ca="1">_xll.VoseInput('5yr Model'!B24)+_xll.VosePERT($C24,$D24,$E24)</f>
        <v>91.793903124467263</v>
      </c>
      <c r="H24" t="s">
        <v>19</v>
      </c>
      <c r="I24" s="21">
        <f>I23</f>
        <v>182880</v>
      </c>
      <c r="J24" s="21">
        <f ca="1">J23*_xll.VosePERT($C$24,$D$24,$E$24)/100</f>
        <v>210206.68484085315</v>
      </c>
      <c r="K24" s="21">
        <f ca="1">K23*_xll.VosePERT($C$24,$D$24,$E$24)/100</f>
        <v>221214.18587521825</v>
      </c>
      <c r="L24" s="21">
        <f ca="1">L23*_xll.VosePERT($C$24,$D$24,$E$24)/100</f>
        <v>223965.04749272286</v>
      </c>
      <c r="M24" s="21">
        <f ca="1">M23*_xll.VosePERT($C$24,$D$24,$E$24)/100</f>
        <v>224912.79599269491</v>
      </c>
      <c r="N24" s="21">
        <f ca="1">N23*_xll.VosePERT($C$24,$D$24,$E$24)/100</f>
        <v>201344.62242319592</v>
      </c>
    </row>
    <row r="25" spans="1:15" x14ac:dyDescent="0.35">
      <c r="A25" s="22">
        <v>0.1</v>
      </c>
      <c r="B25" s="6" t="s">
        <v>15</v>
      </c>
      <c r="C25" s="13">
        <f>0.9*D25</f>
        <v>2.3346729996346363E-2</v>
      </c>
      <c r="D25" s="14">
        <f>71/2737</f>
        <v>2.5940811107051515E-2</v>
      </c>
      <c r="E25" s="14">
        <f>1.1*D25</f>
        <v>2.853489221775667E-2</v>
      </c>
      <c r="F25" s="8">
        <f ca="1">_xll.VoseInput('5yr Model'!B25)+_xll.VosePERT($C25,$D25,$E25)</f>
        <v>2.6207201313254123E-2</v>
      </c>
      <c r="H25" t="s">
        <v>16</v>
      </c>
      <c r="I25" s="19">
        <f>71*30</f>
        <v>2130</v>
      </c>
      <c r="J25" s="19">
        <f ca="1">J22*_xll.VosePERT($C25,$D25,$E25)*30</f>
        <v>2512.9737706382598</v>
      </c>
      <c r="K25" s="19">
        <f ca="1">K22*_xll.VosePERT($C25,$D25,$E25)*30</f>
        <v>2753.3564683896375</v>
      </c>
      <c r="L25" s="19">
        <f ca="1">L22*_xll.VosePERT($C25,$D25,$E25)*30</f>
        <v>2496.9098751590209</v>
      </c>
      <c r="M25" s="19">
        <f ca="1">M22*_xll.VosePERT($C25,$D25,$E25)*30</f>
        <v>2624.1765656380067</v>
      </c>
      <c r="N25" s="19">
        <f ca="1">N22*_xll.VosePERT($C25,$D25,$E25)*30</f>
        <v>3001.698380298179</v>
      </c>
    </row>
    <row r="26" spans="1:15" x14ac:dyDescent="0.35">
      <c r="B26" s="6"/>
      <c r="C26" s="11"/>
      <c r="D26" s="12"/>
      <c r="E26" s="12"/>
      <c r="F26" s="8"/>
      <c r="H26" t="s">
        <v>17</v>
      </c>
      <c r="I26" s="21">
        <f>I24-I25</f>
        <v>180750</v>
      </c>
      <c r="J26" s="21">
        <f ca="1">J24-J25</f>
        <v>207693.71107021489</v>
      </c>
      <c r="K26" s="21">
        <f ca="1">K24-K25</f>
        <v>218460.82940682862</v>
      </c>
      <c r="L26" s="21">
        <f ca="1">L24-L25</f>
        <v>221468.13761756383</v>
      </c>
      <c r="M26" s="21">
        <f ca="1">M24-M25</f>
        <v>222288.6194270569</v>
      </c>
      <c r="N26" s="21">
        <f ca="1">N24-N25</f>
        <v>198342.92404289774</v>
      </c>
      <c r="O26" s="19">
        <f ca="1">_xll.VoseOutput()+I26+NPV(0.03,J26:N26)</f>
        <v>1159582.2905976996</v>
      </c>
    </row>
    <row r="27" spans="1:15" x14ac:dyDescent="0.35">
      <c r="B27" s="6"/>
      <c r="C27" s="11"/>
      <c r="D27" s="12"/>
      <c r="E27" s="12"/>
      <c r="F27" s="8"/>
    </row>
    <row r="28" spans="1:15" x14ac:dyDescent="0.35">
      <c r="B28" s="6" t="s">
        <v>6</v>
      </c>
      <c r="C28" s="13">
        <v>0</v>
      </c>
      <c r="D28" s="14">
        <v>0.02</v>
      </c>
      <c r="E28" s="14">
        <v>0.04</v>
      </c>
      <c r="F28" s="8">
        <f ca="1">_xll.VosePERT(C28,D28,E28)</f>
        <v>1.6991500530629405E-3</v>
      </c>
    </row>
    <row r="29" spans="1:15" x14ac:dyDescent="0.35">
      <c r="B29" s="6"/>
      <c r="C29" s="13"/>
      <c r="D29" s="14"/>
      <c r="E29" s="14"/>
      <c r="F29" s="9"/>
    </row>
    <row r="30" spans="1:15" x14ac:dyDescent="0.35">
      <c r="B30" s="6"/>
      <c r="C30" s="13"/>
      <c r="D30" s="14"/>
      <c r="E30" s="14"/>
      <c r="F30" s="9"/>
    </row>
    <row r="31" spans="1:15" x14ac:dyDescent="0.35">
      <c r="B31" s="6"/>
      <c r="C31" s="13"/>
      <c r="D31" s="14"/>
      <c r="E31" s="14"/>
      <c r="F31" s="9"/>
      <c r="H31" s="31"/>
    </row>
    <row r="32" spans="1:15" ht="13.5" thickBot="1" x14ac:dyDescent="0.45">
      <c r="B32" s="7"/>
      <c r="C32" s="15"/>
      <c r="D32" s="16"/>
      <c r="E32" s="16"/>
      <c r="F32" s="10"/>
      <c r="H32" s="32"/>
    </row>
  </sheetData>
  <mergeCells count="4">
    <mergeCell ref="B19:B20"/>
    <mergeCell ref="C19:F19"/>
    <mergeCell ref="B1:B2"/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7A29-7C1B-46B1-B1AD-B544A905EB1B}">
  <sheetPr codeName="Sheet1"/>
  <dimension ref="B1:G20"/>
  <sheetViews>
    <sheetView workbookViewId="0">
      <selection activeCell="G19" sqref="G19"/>
    </sheetView>
  </sheetViews>
  <sheetFormatPr defaultRowHeight="12.75" x14ac:dyDescent="0.35"/>
  <cols>
    <col min="2" max="2" width="15.06640625" bestFit="1" customWidth="1"/>
  </cols>
  <sheetData>
    <row r="1" spans="2:7" x14ac:dyDescent="0.35">
      <c r="B1" t="s">
        <v>35</v>
      </c>
    </row>
    <row r="3" spans="2:7" x14ac:dyDescent="0.35">
      <c r="B3">
        <v>2737</v>
      </c>
      <c r="C3" t="s">
        <v>24</v>
      </c>
      <c r="F3" t="s">
        <v>8</v>
      </c>
      <c r="G3" t="s">
        <v>34</v>
      </c>
    </row>
    <row r="4" spans="2:7" x14ac:dyDescent="0.35">
      <c r="B4">
        <v>59870.5</v>
      </c>
      <c r="C4" t="s">
        <v>25</v>
      </c>
      <c r="F4">
        <v>1</v>
      </c>
      <c r="G4">
        <f>100/(1+0.05)^F4</f>
        <v>95.238095238095241</v>
      </c>
    </row>
    <row r="5" spans="2:7" x14ac:dyDescent="0.35">
      <c r="B5">
        <v>152400</v>
      </c>
      <c r="C5" t="s">
        <v>26</v>
      </c>
      <c r="F5">
        <v>2</v>
      </c>
      <c r="G5">
        <f>100/(1+0.05)^F5</f>
        <v>90.702947845804985</v>
      </c>
    </row>
    <row r="6" spans="2:7" x14ac:dyDescent="0.35">
      <c r="B6">
        <v>71</v>
      </c>
      <c r="C6" t="s">
        <v>27</v>
      </c>
      <c r="F6">
        <v>3</v>
      </c>
      <c r="G6">
        <f>100/(1+0.05)^F6</f>
        <v>86.383759853147595</v>
      </c>
    </row>
    <row r="7" spans="2:7" x14ac:dyDescent="0.35">
      <c r="B7">
        <v>157</v>
      </c>
      <c r="C7" t="s">
        <v>28</v>
      </c>
      <c r="F7">
        <v>4</v>
      </c>
      <c r="G7">
        <f>100/(1+0.05)^F7</f>
        <v>82.2702474791882</v>
      </c>
    </row>
    <row r="8" spans="2:7" x14ac:dyDescent="0.35">
      <c r="F8">
        <v>5</v>
      </c>
      <c r="G8">
        <f>100/(1+0.05)^F8</f>
        <v>78.352616646845888</v>
      </c>
    </row>
    <row r="9" spans="2:7" x14ac:dyDescent="0.35">
      <c r="B9" t="s">
        <v>29</v>
      </c>
      <c r="C9">
        <f>B4/B3</f>
        <v>21.87449762513701</v>
      </c>
      <c r="F9">
        <v>6</v>
      </c>
      <c r="G9">
        <f>100/(1+0.05)^F9</f>
        <v>74.621539663662773</v>
      </c>
    </row>
    <row r="10" spans="2:7" x14ac:dyDescent="0.35">
      <c r="B10" t="s">
        <v>30</v>
      </c>
      <c r="C10">
        <f>B5/B3</f>
        <v>55.681402995981003</v>
      </c>
      <c r="F10">
        <v>7</v>
      </c>
      <c r="G10">
        <f>100/(1+0.05)^F10</f>
        <v>71.068133013012144</v>
      </c>
    </row>
    <row r="11" spans="2:7" x14ac:dyDescent="0.35">
      <c r="B11" t="s">
        <v>31</v>
      </c>
      <c r="C11">
        <f>B6*B7/B3</f>
        <v>4.072707343807088</v>
      </c>
      <c r="F11">
        <v>8</v>
      </c>
      <c r="G11">
        <f>100/(1+0.05)^F11</f>
        <v>67.683936202868722</v>
      </c>
    </row>
    <row r="12" spans="2:7" x14ac:dyDescent="0.35">
      <c r="B12" t="s">
        <v>32</v>
      </c>
      <c r="C12">
        <f>C9-C11</f>
        <v>17.801790281329922</v>
      </c>
      <c r="F12">
        <v>9</v>
      </c>
      <c r="G12">
        <f>100/(1+0.05)^F12</f>
        <v>64.460891621779723</v>
      </c>
    </row>
    <row r="13" spans="2:7" x14ac:dyDescent="0.35">
      <c r="B13" t="s">
        <v>33</v>
      </c>
      <c r="C13">
        <f>C10-C11</f>
        <v>51.608695652173914</v>
      </c>
      <c r="F13">
        <v>10</v>
      </c>
      <c r="G13">
        <f>100/(1+0.05)^F13</f>
        <v>61.391325354075931</v>
      </c>
    </row>
    <row r="14" spans="2:7" x14ac:dyDescent="0.35">
      <c r="F14">
        <v>20</v>
      </c>
      <c r="G14">
        <f>100/(1+0.05)^F14</f>
        <v>37.688948287300057</v>
      </c>
    </row>
    <row r="15" spans="2:7" x14ac:dyDescent="0.35">
      <c r="F15">
        <v>50</v>
      </c>
      <c r="G15">
        <f>100/(1+0.05)^F15</f>
        <v>8.7203726972380586</v>
      </c>
    </row>
    <row r="16" spans="2:7" x14ac:dyDescent="0.35">
      <c r="F16">
        <v>100</v>
      </c>
      <c r="G16">
        <f>100/(1+0.05)^F16</f>
        <v>0.76044899978735003</v>
      </c>
    </row>
    <row r="17" spans="6:7" x14ac:dyDescent="0.35">
      <c r="F17">
        <v>200</v>
      </c>
      <c r="G17">
        <f>100/(1+0.05)^F17</f>
        <v>5.7828268127758081E-3</v>
      </c>
    </row>
    <row r="18" spans="6:7" x14ac:dyDescent="0.35">
      <c r="F18">
        <v>500</v>
      </c>
      <c r="G18">
        <f>100/(1+0.05)^F18</f>
        <v>2.5430240359863447E-9</v>
      </c>
    </row>
    <row r="19" spans="6:7" x14ac:dyDescent="0.35">
      <c r="F19">
        <v>1000</v>
      </c>
      <c r="G19">
        <f>100/(1+0.05)^F19</f>
        <v>6.4669712476042833E-20</v>
      </c>
    </row>
    <row r="20" spans="6:7" x14ac:dyDescent="0.35">
      <c r="F20">
        <v>10000</v>
      </c>
      <c r="G20">
        <f>100/(1+0.05)^F20</f>
        <v>1.2794087029991974E-210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4119-5D66-4F49-8735-AA68A75F02B3}">
  <sheetPr codeName="Sheet2"/>
  <dimension ref="A1"/>
  <sheetViews>
    <sheetView workbookViewId="0"/>
  </sheetViews>
  <sheetFormatPr defaultRowHeight="12.75" x14ac:dyDescent="0.3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5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628650</xdr:colOff>
                <xdr:row>3</xdr:row>
                <xdr:rowOff>38100</xdr:rowOff>
              </to>
            </anchor>
          </objectPr>
        </oleObject>
      </mc:Choice>
      <mc:Fallback>
        <oleObject progId="Packager Shell Object" shapeId="2053" r:id="rId4"/>
      </mc:Fallback>
    </mc:AlternateContent>
    <mc:AlternateContent xmlns:mc="http://schemas.openxmlformats.org/markup-compatibility/2006">
      <mc:Choice Requires="x14">
        <oleObject progId="Packager Shell Object" shapeId="2149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85725</xdr:colOff>
                <xdr:row>3</xdr:row>
                <xdr:rowOff>38100</xdr:rowOff>
              </to>
            </anchor>
          </objectPr>
        </oleObject>
      </mc:Choice>
      <mc:Fallback>
        <oleObject progId="Packager Shell Object" shapeId="2149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30yr Model</vt:lpstr>
      <vt:lpstr>5yr Model</vt:lpstr>
      <vt:lpstr>Rough working</vt:lpstr>
      <vt:lpstr>ModelRiskSYS1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Vose Software</dc:creator>
  <cp:keywords/>
  <dc:description/>
  <cp:lastModifiedBy>Andy Lim</cp:lastModifiedBy>
  <dcterms:created xsi:type="dcterms:W3CDTF">2003-03-28T17:02:24Z</dcterms:created>
  <dcterms:modified xsi:type="dcterms:W3CDTF">2020-05-07T12:51:38Z</dcterms:modified>
  <cp:category/>
  <cp:contentStatus/>
</cp:coreProperties>
</file>