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2751\OneDrive - Cognizant\Room Budget\"/>
    </mc:Choice>
  </mc:AlternateContent>
  <bookViews>
    <workbookView xWindow="-120" yWindow="-120" windowWidth="20730" windowHeight="11160" firstSheet="53" activeTab="61"/>
  </bookViews>
  <sheets>
    <sheet name="Apr 15" sheetId="1" r:id="rId1"/>
    <sheet name="May 15" sheetId="2" r:id="rId2"/>
    <sheet name="June 15" sheetId="3" r:id="rId3"/>
    <sheet name="July 15" sheetId="4" r:id="rId4"/>
    <sheet name="Aug 15" sheetId="5" r:id="rId5"/>
    <sheet name="Sep 15" sheetId="6" r:id="rId6"/>
    <sheet name="Oct 15" sheetId="7" r:id="rId7"/>
    <sheet name="Nov-15" sheetId="8" r:id="rId8"/>
    <sheet name="Dec-15" sheetId="9" r:id="rId9"/>
    <sheet name="Jan-26" sheetId="10" r:id="rId10"/>
    <sheet name="Feb-16" sheetId="11" r:id="rId11"/>
    <sheet name="APR-16" sheetId="12" r:id="rId12"/>
    <sheet name="May-16" sheetId="13" r:id="rId13"/>
    <sheet name="June-16" sheetId="15" r:id="rId14"/>
    <sheet name="July-16" sheetId="14" r:id="rId15"/>
    <sheet name="Aug-16" sheetId="16" r:id="rId16"/>
    <sheet name="Sep-16" sheetId="17" r:id="rId17"/>
    <sheet name="Oct-16" sheetId="19" r:id="rId18"/>
    <sheet name="Temp" sheetId="20" state="hidden" r:id="rId19"/>
    <sheet name="Nov-16" sheetId="21" r:id="rId20"/>
    <sheet name="Nov_Expenses" sheetId="22" state="hidden" r:id="rId21"/>
    <sheet name="Dec-16" sheetId="23" r:id="rId22"/>
    <sheet name="Jan-17" sheetId="24" r:id="rId23"/>
    <sheet name="Feb-17" sheetId="25" r:id="rId24"/>
    <sheet name="Mar-17" sheetId="26" r:id="rId25"/>
    <sheet name="Apr-17" sheetId="27" r:id="rId26"/>
    <sheet name="May-17" sheetId="28" r:id="rId27"/>
    <sheet name="June-17" sheetId="29" r:id="rId28"/>
    <sheet name="working" sheetId="30" r:id="rId29"/>
    <sheet name="July-17" sheetId="31" r:id="rId30"/>
    <sheet name="Aug-17" sheetId="32" r:id="rId31"/>
    <sheet name="Sep-17" sheetId="34" r:id="rId32"/>
    <sheet name="Oct-17" sheetId="35" r:id="rId33"/>
    <sheet name="aug-workin" sheetId="33" r:id="rId34"/>
    <sheet name="Nov-17" sheetId="36" r:id="rId35"/>
    <sheet name="Dec-17" sheetId="37" r:id="rId36"/>
    <sheet name="Jan-18" sheetId="38" r:id="rId37"/>
    <sheet name="Feb-18" sheetId="39" r:id="rId38"/>
    <sheet name="Mar-18" sheetId="40" r:id="rId39"/>
    <sheet name="Apr-18" sheetId="41" r:id="rId40"/>
    <sheet name="May-18" sheetId="42" r:id="rId41"/>
    <sheet name="June-18" sheetId="43" r:id="rId42"/>
    <sheet name="July-18" sheetId="44" r:id="rId43"/>
    <sheet name="Aug-18" sheetId="45" r:id="rId44"/>
    <sheet name="Sep-18" sheetId="46" r:id="rId45"/>
    <sheet name="Oct-18" sheetId="47" r:id="rId46"/>
    <sheet name="Nov-18" sheetId="48" r:id="rId47"/>
    <sheet name="Dec-18" sheetId="49" r:id="rId48"/>
    <sheet name="Jan-19" sheetId="50" r:id="rId49"/>
    <sheet name="Feb-19" sheetId="51" r:id="rId50"/>
    <sheet name="Mar-19" sheetId="52" r:id="rId51"/>
    <sheet name="Apr-19" sheetId="53" r:id="rId52"/>
    <sheet name="apr19work" sheetId="54" state="hidden" r:id="rId53"/>
    <sheet name="May-19" sheetId="55" r:id="rId54"/>
    <sheet name="Jun-19" sheetId="56" r:id="rId55"/>
    <sheet name="Jul-19" sheetId="57" r:id="rId56"/>
    <sheet name="Aug-19" sheetId="58" r:id="rId57"/>
    <sheet name="Sep-19" sheetId="59" r:id="rId58"/>
    <sheet name="Oct-19" sheetId="60" r:id="rId59"/>
    <sheet name="Nov-19" sheetId="61" r:id="rId60"/>
    <sheet name="Dec-19" sheetId="62" r:id="rId61"/>
    <sheet name="Jan-20" sheetId="63" r:id="rId62"/>
  </sheets>
  <definedNames>
    <definedName name="_xlnm._FilterDatabase" localSheetId="52" hidden="1">apr19work!$A$5:$A$12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5" i="63" l="1"/>
  <c r="M37" i="63"/>
  <c r="J37" i="63"/>
  <c r="O37" i="63" s="1"/>
  <c r="O41" i="63" s="1"/>
  <c r="M25" i="63"/>
  <c r="I14" i="62"/>
  <c r="C3" i="62" l="1"/>
  <c r="D17" i="62"/>
  <c r="D16" i="62"/>
  <c r="D15" i="62"/>
  <c r="D14" i="62"/>
  <c r="D13" i="62"/>
  <c r="D12" i="62"/>
  <c r="D11" i="62"/>
  <c r="D10" i="62"/>
  <c r="D9" i="62"/>
  <c r="D8" i="62"/>
  <c r="C6" i="62"/>
  <c r="C5" i="62"/>
  <c r="C4" i="62"/>
  <c r="C7" i="62"/>
  <c r="C2" i="62"/>
  <c r="C19" i="62" s="1"/>
  <c r="D19" i="62" l="1"/>
  <c r="C20" i="62"/>
  <c r="B66" i="61"/>
  <c r="J27" i="61" l="1"/>
  <c r="E19" i="61" l="1"/>
  <c r="C2" i="61"/>
  <c r="C19" i="61"/>
  <c r="C17" i="61"/>
  <c r="D18" i="61"/>
  <c r="D16" i="61"/>
  <c r="D15" i="61"/>
  <c r="D14" i="61"/>
  <c r="D13" i="61"/>
  <c r="D19" i="61" s="1"/>
  <c r="F19" i="61" s="1"/>
  <c r="D12" i="61"/>
  <c r="D11" i="61"/>
  <c r="D10" i="61"/>
  <c r="D9" i="61"/>
  <c r="D8" i="61"/>
  <c r="C7" i="61"/>
  <c r="C6" i="61"/>
  <c r="C5" i="61"/>
  <c r="C4" i="61"/>
  <c r="C3" i="61"/>
  <c r="S27" i="61" l="1"/>
  <c r="R27" i="61"/>
  <c r="J37" i="61" l="1"/>
  <c r="B2" i="61" l="1"/>
  <c r="B65" i="60" l="1"/>
  <c r="B65" i="62" l="1"/>
  <c r="M37" i="62"/>
  <c r="O37" i="62" s="1"/>
  <c r="O41" i="62" s="1"/>
  <c r="J37" i="62"/>
  <c r="M25" i="62"/>
  <c r="B20" i="62"/>
  <c r="F19" i="62"/>
  <c r="B22" i="62" l="1"/>
  <c r="I10" i="62" s="1"/>
  <c r="K10" i="62" s="1"/>
  <c r="D20" i="62"/>
  <c r="I8" i="62" l="1"/>
  <c r="K8" i="62" s="1"/>
  <c r="I7" i="62"/>
  <c r="K7" i="62" s="1"/>
  <c r="I9" i="62"/>
  <c r="K9" i="62" s="1"/>
  <c r="F32" i="60"/>
  <c r="C24" i="62" l="1"/>
  <c r="B67" i="62" s="1"/>
  <c r="B2" i="63" s="1"/>
  <c r="K14" i="62"/>
  <c r="H16" i="60"/>
  <c r="G16" i="60"/>
  <c r="F16" i="60"/>
  <c r="J7" i="63" l="1"/>
  <c r="B20" i="63"/>
  <c r="B22" i="63" s="1"/>
  <c r="C20" i="61"/>
  <c r="B72" i="59"/>
  <c r="I7" i="63" l="1"/>
  <c r="I10" i="63"/>
  <c r="K10" i="63" s="1"/>
  <c r="I8" i="63"/>
  <c r="K8" i="63" s="1"/>
  <c r="I9" i="63"/>
  <c r="K9" i="63" s="1"/>
  <c r="I11" i="63"/>
  <c r="K11" i="63" s="1"/>
  <c r="J37" i="60"/>
  <c r="F19" i="60"/>
  <c r="B19" i="60" s="1"/>
  <c r="I14" i="63" l="1"/>
  <c r="K7" i="63"/>
  <c r="C20" i="60"/>
  <c r="K14" i="63" l="1"/>
  <c r="C24" i="63"/>
  <c r="B67" i="63" s="1"/>
  <c r="J37" i="59"/>
  <c r="C3" i="59"/>
  <c r="J8" i="59" l="1"/>
  <c r="C20" i="59" l="1"/>
  <c r="C22" i="59" s="1"/>
  <c r="B58" i="58" l="1"/>
  <c r="B71" i="58" s="1"/>
  <c r="K12" i="59" l="1"/>
  <c r="F13" i="59"/>
  <c r="F16" i="59"/>
  <c r="E16" i="59"/>
  <c r="F15" i="59"/>
  <c r="F14" i="59"/>
  <c r="F12" i="59"/>
  <c r="F11" i="59"/>
  <c r="F10" i="59"/>
  <c r="F9" i="59"/>
  <c r="F8" i="59"/>
  <c r="E10" i="59"/>
  <c r="E9" i="59"/>
  <c r="D6" i="59"/>
  <c r="D7" i="59"/>
  <c r="F18" i="59" l="1"/>
  <c r="I11" i="58"/>
  <c r="K11" i="57" l="1"/>
  <c r="B71" i="57" l="1"/>
  <c r="G63" i="57" l="1"/>
  <c r="E15" i="59" l="1"/>
  <c r="E14" i="59"/>
  <c r="E13" i="59"/>
  <c r="E12" i="59"/>
  <c r="E11" i="59"/>
  <c r="E8" i="59"/>
  <c r="D5" i="59"/>
  <c r="D4" i="59"/>
  <c r="D3" i="59"/>
  <c r="K11" i="58"/>
  <c r="D5" i="58"/>
  <c r="D4" i="58"/>
  <c r="D15" i="58"/>
  <c r="E15" i="58" s="1"/>
  <c r="D14" i="58"/>
  <c r="D13" i="58"/>
  <c r="D12" i="58"/>
  <c r="F12" i="58" s="1"/>
  <c r="D11" i="58"/>
  <c r="D10" i="58"/>
  <c r="D9" i="58"/>
  <c r="D8" i="58"/>
  <c r="F8" i="58" s="1"/>
  <c r="D7" i="58"/>
  <c r="E7" i="58" s="1"/>
  <c r="E13" i="57"/>
  <c r="E11" i="57"/>
  <c r="E10" i="57"/>
  <c r="E9" i="57"/>
  <c r="E4" i="57"/>
  <c r="F4" i="57" s="1"/>
  <c r="D4" i="57"/>
  <c r="D3" i="58"/>
  <c r="E9" i="58"/>
  <c r="F9" i="58" s="1"/>
  <c r="E3" i="58"/>
  <c r="F3" i="58" s="1"/>
  <c r="D6" i="58"/>
  <c r="E5" i="58"/>
  <c r="F5" i="58" s="1"/>
  <c r="E4" i="58"/>
  <c r="F4" i="58" s="1"/>
  <c r="I24" i="58"/>
  <c r="G24" i="58"/>
  <c r="I23" i="58"/>
  <c r="G23" i="58"/>
  <c r="K10" i="58"/>
  <c r="K9" i="58"/>
  <c r="K8" i="58"/>
  <c r="K7" i="58"/>
  <c r="E15" i="57"/>
  <c r="F15" i="57" s="1"/>
  <c r="E12" i="57"/>
  <c r="E8" i="57"/>
  <c r="F8" i="57" s="1"/>
  <c r="E7" i="57"/>
  <c r="F7" i="57" s="1"/>
  <c r="E6" i="57"/>
  <c r="F6" i="57" s="1"/>
  <c r="E5" i="57"/>
  <c r="F5" i="57" s="1"/>
  <c r="E18" i="59" l="1"/>
  <c r="E18" i="57"/>
  <c r="F12" i="57"/>
  <c r="F18" i="57" s="1"/>
  <c r="E6" i="58"/>
  <c r="F6" i="58"/>
  <c r="F10" i="58"/>
  <c r="E10" i="58"/>
  <c r="E11" i="58"/>
  <c r="F11" i="58"/>
  <c r="E13" i="58"/>
  <c r="F13" i="58"/>
  <c r="E14" i="58"/>
  <c r="F14" i="58"/>
  <c r="E8" i="58"/>
  <c r="F7" i="58"/>
  <c r="C24" i="58"/>
  <c r="B73" i="58" s="1"/>
  <c r="B2" i="59" s="1"/>
  <c r="E12" i="58"/>
  <c r="F15" i="58"/>
  <c r="G27" i="58"/>
  <c r="I27" i="58"/>
  <c r="B68" i="56"/>
  <c r="G54" i="58" l="1"/>
  <c r="D9" i="57"/>
  <c r="L26" i="56"/>
  <c r="N19" i="56"/>
  <c r="N26" i="56" s="1"/>
  <c r="D2" i="59" l="1"/>
  <c r="D18" i="59" s="1"/>
  <c r="B20" i="59"/>
  <c r="B22" i="59" s="1"/>
  <c r="N29" i="56"/>
  <c r="D15" i="57"/>
  <c r="K7" i="57"/>
  <c r="I24" i="57"/>
  <c r="G24" i="57"/>
  <c r="I23" i="57"/>
  <c r="G23" i="57"/>
  <c r="D14" i="57"/>
  <c r="D13" i="57"/>
  <c r="D12" i="57"/>
  <c r="D11" i="57"/>
  <c r="K10" i="57"/>
  <c r="D10" i="57"/>
  <c r="K9" i="57"/>
  <c r="K8" i="57"/>
  <c r="D8" i="57"/>
  <c r="D7" i="57"/>
  <c r="D6" i="57"/>
  <c r="D5" i="57"/>
  <c r="D3" i="57"/>
  <c r="K9" i="59" l="1"/>
  <c r="K11" i="59"/>
  <c r="K10" i="59"/>
  <c r="K8" i="59"/>
  <c r="G27" i="57"/>
  <c r="C24" i="57"/>
  <c r="B73" i="57" s="1"/>
  <c r="B2" i="58" s="1"/>
  <c r="I27" i="57"/>
  <c r="J22" i="56"/>
  <c r="G36" i="56"/>
  <c r="I14" i="59" l="1"/>
  <c r="K7" i="59"/>
  <c r="E2" i="58"/>
  <c r="D2" i="58"/>
  <c r="D18" i="58" s="1"/>
  <c r="D20" i="58" s="1"/>
  <c r="B20" i="58"/>
  <c r="G23" i="56"/>
  <c r="G22" i="56"/>
  <c r="G26" i="56" s="1"/>
  <c r="C24" i="59" l="1"/>
  <c r="B74" i="59" s="1"/>
  <c r="B22" i="58"/>
  <c r="F2" i="58"/>
  <c r="F18" i="58" s="1"/>
  <c r="H18" i="58" s="1"/>
  <c r="H20" i="58" s="1"/>
  <c r="E18" i="58"/>
  <c r="E20" i="58" s="1"/>
  <c r="J23" i="56"/>
  <c r="J26" i="56" s="1"/>
  <c r="J37" i="56" s="1"/>
  <c r="K11" i="56"/>
  <c r="K10" i="56"/>
  <c r="K9" i="56"/>
  <c r="K8" i="56"/>
  <c r="K7" i="56"/>
  <c r="C23" i="56" s="1"/>
  <c r="B70" i="56" s="1"/>
  <c r="B2" i="57" s="1"/>
  <c r="D14" i="56"/>
  <c r="D13" i="56"/>
  <c r="D12" i="56"/>
  <c r="D11" i="56"/>
  <c r="D10" i="56"/>
  <c r="D8" i="56"/>
  <c r="D7" i="56"/>
  <c r="D5" i="56"/>
  <c r="D4" i="56"/>
  <c r="D3" i="56"/>
  <c r="D2" i="56"/>
  <c r="M25" i="59" l="1"/>
  <c r="M37" i="59" s="1"/>
  <c r="O37" i="59" s="1"/>
  <c r="O41" i="59" s="1"/>
  <c r="B2" i="60"/>
  <c r="B20" i="60" s="1"/>
  <c r="J16" i="58"/>
  <c r="G20" i="58"/>
  <c r="B16" i="57"/>
  <c r="B18" i="57" s="1"/>
  <c r="D2" i="57"/>
  <c r="D18" i="57" s="1"/>
  <c r="G25" i="55"/>
  <c r="M14" i="55"/>
  <c r="B22" i="60" l="1"/>
  <c r="D20" i="60"/>
  <c r="B64" i="55"/>
  <c r="B65" i="55"/>
  <c r="I10" i="60" l="1"/>
  <c r="K10" i="60" s="1"/>
  <c r="I11" i="60"/>
  <c r="K11" i="60" s="1"/>
  <c r="I7" i="60"/>
  <c r="K7" i="60" s="1"/>
  <c r="I8" i="60"/>
  <c r="K8" i="60" s="1"/>
  <c r="I9" i="60"/>
  <c r="K9" i="60" s="1"/>
  <c r="B68" i="55"/>
  <c r="C24" i="60" l="1"/>
  <c r="B67" i="60" s="1"/>
  <c r="K14" i="60"/>
  <c r="D6" i="56"/>
  <c r="B15" i="56"/>
  <c r="B17" i="56" s="1"/>
  <c r="D9" i="56"/>
  <c r="M25" i="60" l="1"/>
  <c r="M37" i="60" s="1"/>
  <c r="O37" i="60" s="1"/>
  <c r="O41" i="60" s="1"/>
  <c r="D17" i="56"/>
  <c r="G24" i="55"/>
  <c r="M16" i="55" s="1"/>
  <c r="J7" i="61" l="1"/>
  <c r="B20" i="61"/>
  <c r="L7" i="55"/>
  <c r="L8" i="55"/>
  <c r="L9" i="55"/>
  <c r="L10" i="55"/>
  <c r="L6" i="55"/>
  <c r="E19" i="54"/>
  <c r="F19" i="54"/>
  <c r="G19" i="54"/>
  <c r="D19" i="54"/>
  <c r="I15" i="54"/>
  <c r="J11" i="54"/>
  <c r="P6" i="54"/>
  <c r="P7" i="54"/>
  <c r="P8" i="54"/>
  <c r="P5" i="54"/>
  <c r="B14" i="55"/>
  <c r="D14" i="55" s="1"/>
  <c r="D13" i="55"/>
  <c r="D12" i="55"/>
  <c r="D11" i="55"/>
  <c r="D10" i="55"/>
  <c r="D9" i="55"/>
  <c r="D8" i="55"/>
  <c r="D7" i="55"/>
  <c r="D6" i="55"/>
  <c r="D5" i="55"/>
  <c r="D4" i="55"/>
  <c r="D3" i="55"/>
  <c r="D2" i="55"/>
  <c r="D4" i="53"/>
  <c r="B15" i="53"/>
  <c r="D15" i="53" s="1"/>
  <c r="D14" i="53"/>
  <c r="D13" i="53"/>
  <c r="D12" i="53"/>
  <c r="K11" i="53"/>
  <c r="D11" i="53"/>
  <c r="K10" i="53"/>
  <c r="D10" i="53"/>
  <c r="K9" i="53"/>
  <c r="D9" i="53"/>
  <c r="K8" i="53"/>
  <c r="D8" i="53"/>
  <c r="K7" i="53"/>
  <c r="D7" i="53"/>
  <c r="D6" i="53"/>
  <c r="D5" i="53"/>
  <c r="D3" i="53"/>
  <c r="D2" i="53"/>
  <c r="B14" i="52"/>
  <c r="D14" i="52" s="1"/>
  <c r="D13" i="52"/>
  <c r="D12" i="52"/>
  <c r="D11" i="52"/>
  <c r="D10" i="52"/>
  <c r="K10" i="52"/>
  <c r="D9" i="52"/>
  <c r="K9" i="52"/>
  <c r="D8" i="52"/>
  <c r="K8" i="52"/>
  <c r="D7" i="52"/>
  <c r="K7" i="52"/>
  <c r="D6" i="52"/>
  <c r="K6" i="52"/>
  <c r="D5" i="52"/>
  <c r="D4" i="52"/>
  <c r="D3" i="52"/>
  <c r="D2" i="52"/>
  <c r="B16" i="51"/>
  <c r="B18" i="51" s="1"/>
  <c r="D15" i="51"/>
  <c r="D14" i="51"/>
  <c r="D13" i="51"/>
  <c r="D12" i="51"/>
  <c r="K11" i="51"/>
  <c r="D11" i="51"/>
  <c r="K10" i="51"/>
  <c r="D10" i="51"/>
  <c r="K9" i="51"/>
  <c r="D9" i="51"/>
  <c r="K8" i="51"/>
  <c r="D8" i="51"/>
  <c r="K7" i="51"/>
  <c r="D7" i="51"/>
  <c r="D6" i="51"/>
  <c r="D5" i="51"/>
  <c r="D4" i="51"/>
  <c r="D3" i="51"/>
  <c r="D2" i="51"/>
  <c r="D7" i="49"/>
  <c r="B16" i="49"/>
  <c r="D16" i="49" s="1"/>
  <c r="D15" i="49"/>
  <c r="D14" i="49"/>
  <c r="D13" i="49"/>
  <c r="K11" i="49"/>
  <c r="D12" i="49"/>
  <c r="K10" i="49"/>
  <c r="D11" i="49"/>
  <c r="K9" i="49"/>
  <c r="D10" i="49"/>
  <c r="K8" i="49"/>
  <c r="D9" i="49"/>
  <c r="K7" i="49"/>
  <c r="D8" i="49"/>
  <c r="D6" i="49"/>
  <c r="D5" i="49"/>
  <c r="D4" i="49"/>
  <c r="D3" i="49"/>
  <c r="D2" i="49"/>
  <c r="K9" i="48"/>
  <c r="K10" i="48"/>
  <c r="K11" i="48"/>
  <c r="K12" i="48"/>
  <c r="K8" i="48"/>
  <c r="D3" i="48"/>
  <c r="D4" i="48"/>
  <c r="D5" i="48"/>
  <c r="D6" i="48"/>
  <c r="D7" i="48"/>
  <c r="D8" i="48"/>
  <c r="D9" i="48"/>
  <c r="D10" i="48"/>
  <c r="D11" i="48"/>
  <c r="D12" i="48"/>
  <c r="D13" i="48"/>
  <c r="D14" i="48"/>
  <c r="D15" i="48"/>
  <c r="B16" i="48"/>
  <c r="D16" i="48" s="1"/>
  <c r="D2" i="48"/>
  <c r="B14" i="47"/>
  <c r="B16" i="47" s="1"/>
  <c r="D12" i="47"/>
  <c r="D8" i="47"/>
  <c r="D10" i="47"/>
  <c r="D9" i="47"/>
  <c r="D2" i="47"/>
  <c r="D3" i="47"/>
  <c r="D5" i="47"/>
  <c r="D6" i="47"/>
  <c r="D7" i="47"/>
  <c r="D11" i="47"/>
  <c r="D13" i="47"/>
  <c r="D4" i="47"/>
  <c r="K5" i="46"/>
  <c r="K6" i="46"/>
  <c r="K7" i="46"/>
  <c r="K4" i="46"/>
  <c r="D20" i="61" l="1"/>
  <c r="B22" i="61"/>
  <c r="O6" i="47"/>
  <c r="D22" i="54"/>
  <c r="G29" i="55"/>
  <c r="B16" i="55"/>
  <c r="B17" i="53"/>
  <c r="B16" i="52"/>
  <c r="D16" i="51"/>
  <c r="B18" i="49"/>
  <c r="B18" i="48"/>
  <c r="D14" i="47"/>
  <c r="O5" i="47" s="1"/>
  <c r="B15" i="46"/>
  <c r="B17" i="46" s="1"/>
  <c r="D3" i="45"/>
  <c r="D4" i="45"/>
  <c r="D5" i="45"/>
  <c r="D6" i="45"/>
  <c r="D7" i="45"/>
  <c r="D8" i="45"/>
  <c r="D9" i="45"/>
  <c r="D10" i="45"/>
  <c r="D11" i="45"/>
  <c r="D12" i="45"/>
  <c r="D2" i="45"/>
  <c r="B13" i="45"/>
  <c r="D13" i="45" s="1"/>
  <c r="D3" i="44"/>
  <c r="D4" i="44"/>
  <c r="D5" i="44"/>
  <c r="D6" i="44"/>
  <c r="D7" i="44"/>
  <c r="D8" i="44"/>
  <c r="D9" i="44"/>
  <c r="D10" i="44"/>
  <c r="D11" i="44"/>
  <c r="D12" i="44"/>
  <c r="D13" i="44"/>
  <c r="D2" i="44"/>
  <c r="B14" i="44"/>
  <c r="D14" i="44" s="1"/>
  <c r="O3" i="43"/>
  <c r="D3" i="43"/>
  <c r="D4" i="43"/>
  <c r="D5" i="43"/>
  <c r="D6" i="43"/>
  <c r="D7" i="43"/>
  <c r="D8" i="43"/>
  <c r="D9" i="43"/>
  <c r="D10" i="43"/>
  <c r="D11" i="43"/>
  <c r="D12" i="43"/>
  <c r="D13" i="43"/>
  <c r="D14" i="43"/>
  <c r="D2" i="43"/>
  <c r="L9" i="43"/>
  <c r="B15" i="43"/>
  <c r="D15" i="43" s="1"/>
  <c r="H8" i="43" s="1"/>
  <c r="B14" i="42"/>
  <c r="D14" i="42" s="1"/>
  <c r="D4" i="42"/>
  <c r="D5" i="42"/>
  <c r="D6" i="42"/>
  <c r="D7" i="42"/>
  <c r="D8" i="42"/>
  <c r="D9" i="42"/>
  <c r="D10" i="42"/>
  <c r="D11" i="42"/>
  <c r="D12" i="42"/>
  <c r="D13" i="42"/>
  <c r="D3" i="42"/>
  <c r="E9" i="41"/>
  <c r="E12" i="41"/>
  <c r="E11" i="41"/>
  <c r="E4" i="41"/>
  <c r="E5" i="41"/>
  <c r="E3" i="41"/>
  <c r="E2" i="41"/>
  <c r="B13" i="41"/>
  <c r="E10" i="41"/>
  <c r="E8" i="41"/>
  <c r="E7" i="41"/>
  <c r="E6" i="41"/>
  <c r="B15" i="40"/>
  <c r="E15" i="40" s="1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E10" i="39"/>
  <c r="I9" i="61" l="1"/>
  <c r="K9" i="61" s="1"/>
  <c r="I8" i="61"/>
  <c r="K8" i="61" s="1"/>
  <c r="I10" i="61"/>
  <c r="K10" i="61" s="1"/>
  <c r="I11" i="61"/>
  <c r="K11" i="61" s="1"/>
  <c r="I7" i="61"/>
  <c r="I9" i="41"/>
  <c r="E13" i="41"/>
  <c r="H9" i="43"/>
  <c r="B15" i="39"/>
  <c r="E15" i="39" s="1"/>
  <c r="E14" i="39"/>
  <c r="E13" i="39"/>
  <c r="E12" i="39"/>
  <c r="E11" i="39"/>
  <c r="E9" i="39"/>
  <c r="E8" i="39"/>
  <c r="E7" i="39"/>
  <c r="E6" i="39"/>
  <c r="E5" i="39"/>
  <c r="E4" i="39"/>
  <c r="E3" i="39"/>
  <c r="E2" i="39"/>
  <c r="E3" i="38"/>
  <c r="E4" i="38"/>
  <c r="E5" i="38"/>
  <c r="E6" i="38"/>
  <c r="E7" i="38"/>
  <c r="E8" i="38"/>
  <c r="E9" i="38"/>
  <c r="E10" i="38"/>
  <c r="E11" i="38"/>
  <c r="E12" i="38"/>
  <c r="E13" i="38"/>
  <c r="B14" i="38"/>
  <c r="E14" i="38" s="1"/>
  <c r="E2" i="38"/>
  <c r="J9" i="37"/>
  <c r="J8" i="37"/>
  <c r="J6" i="37"/>
  <c r="M16" i="37"/>
  <c r="P5" i="37"/>
  <c r="P4" i="37"/>
  <c r="E9" i="37"/>
  <c r="B14" i="37"/>
  <c r="E14" i="37" s="1"/>
  <c r="E13" i="37"/>
  <c r="E12" i="37"/>
  <c r="E11" i="37"/>
  <c r="E10" i="37"/>
  <c r="E8" i="37"/>
  <c r="E7" i="37"/>
  <c r="E6" i="37"/>
  <c r="E5" i="37"/>
  <c r="E4" i="37"/>
  <c r="E3" i="37"/>
  <c r="E2" i="37"/>
  <c r="B14" i="36"/>
  <c r="E14" i="36" s="1"/>
  <c r="E13" i="36"/>
  <c r="E12" i="36"/>
  <c r="E11" i="36"/>
  <c r="E10" i="36"/>
  <c r="E9" i="36"/>
  <c r="E8" i="36"/>
  <c r="E7" i="36"/>
  <c r="E6" i="36"/>
  <c r="E5" i="36"/>
  <c r="E4" i="36"/>
  <c r="E3" i="36"/>
  <c r="E2" i="36"/>
  <c r="N12" i="35"/>
  <c r="N15" i="35" s="1"/>
  <c r="J5" i="35"/>
  <c r="B15" i="35"/>
  <c r="E15" i="35" s="1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B15" i="34"/>
  <c r="E15" i="34" s="1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S6" i="33"/>
  <c r="S11" i="33" s="1"/>
  <c r="P4" i="33"/>
  <c r="P6" i="33" s="1"/>
  <c r="P10" i="33" s="1"/>
  <c r="C11" i="33"/>
  <c r="K9" i="33"/>
  <c r="L7" i="33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2" i="32"/>
  <c r="B16" i="32"/>
  <c r="E16" i="32" s="1"/>
  <c r="E2" i="31"/>
  <c r="E10" i="31"/>
  <c r="E7" i="31"/>
  <c r="E8" i="31"/>
  <c r="E5" i="31"/>
  <c r="B14" i="31"/>
  <c r="E13" i="31"/>
  <c r="E12" i="31"/>
  <c r="E11" i="31"/>
  <c r="E9" i="31"/>
  <c r="E6" i="31"/>
  <c r="E4" i="31"/>
  <c r="E3" i="31"/>
  <c r="N20" i="30"/>
  <c r="R20" i="30"/>
  <c r="L8" i="29"/>
  <c r="L7" i="29"/>
  <c r="L6" i="29"/>
  <c r="L5" i="29"/>
  <c r="L4" i="29"/>
  <c r="G10" i="30"/>
  <c r="F10" i="30"/>
  <c r="E10" i="30"/>
  <c r="D10" i="30"/>
  <c r="C10" i="30"/>
  <c r="B10" i="30"/>
  <c r="J10" i="30" s="1"/>
  <c r="E10" i="29"/>
  <c r="E12" i="29"/>
  <c r="E4" i="29"/>
  <c r="E3" i="29"/>
  <c r="B14" i="29"/>
  <c r="E13" i="29"/>
  <c r="E11" i="29"/>
  <c r="E9" i="29"/>
  <c r="E8" i="29"/>
  <c r="E7" i="29"/>
  <c r="E6" i="29"/>
  <c r="E5" i="29"/>
  <c r="E2" i="29"/>
  <c r="E2" i="28"/>
  <c r="B13" i="28"/>
  <c r="E12" i="28"/>
  <c r="E11" i="28"/>
  <c r="E10" i="28"/>
  <c r="E9" i="28"/>
  <c r="E8" i="28"/>
  <c r="E7" i="28"/>
  <c r="E6" i="28"/>
  <c r="E5" i="28"/>
  <c r="E4" i="28"/>
  <c r="E3" i="28"/>
  <c r="B13" i="27"/>
  <c r="E12" i="27"/>
  <c r="K7" i="61" l="1"/>
  <c r="I14" i="61"/>
  <c r="K14" i="61"/>
  <c r="C24" i="61"/>
  <c r="B68" i="61" s="1"/>
  <c r="M25" i="61" s="1"/>
  <c r="M37" i="61" s="1"/>
  <c r="O37" i="61" s="1"/>
  <c r="O41" i="61" s="1"/>
  <c r="J12" i="37"/>
  <c r="P18" i="33"/>
  <c r="E14" i="31"/>
  <c r="Q22" i="30"/>
  <c r="E14" i="29"/>
  <c r="E13" i="28"/>
  <c r="E9" i="27"/>
  <c r="E11" i="27"/>
  <c r="E10" i="27"/>
  <c r="E8" i="27"/>
  <c r="E7" i="27"/>
  <c r="E6" i="27"/>
  <c r="E5" i="27"/>
  <c r="E4" i="27"/>
  <c r="E3" i="27"/>
  <c r="E2" i="27"/>
  <c r="E13" i="27" s="1"/>
  <c r="E10" i="26"/>
  <c r="E2" i="26"/>
  <c r="J10" i="26" s="1"/>
  <c r="E12" i="26"/>
  <c r="E11" i="26"/>
  <c r="E9" i="26"/>
  <c r="E8" i="26"/>
  <c r="E7" i="26"/>
  <c r="E6" i="26"/>
  <c r="E5" i="26"/>
  <c r="E4" i="26"/>
  <c r="E3" i="26"/>
  <c r="B14" i="26"/>
  <c r="B14" i="25"/>
  <c r="E11" i="25"/>
  <c r="E10" i="25"/>
  <c r="E8" i="25"/>
  <c r="E7" i="25"/>
  <c r="E4" i="25"/>
  <c r="E5" i="25"/>
  <c r="E6" i="25"/>
  <c r="E9" i="25"/>
  <c r="E12" i="25"/>
  <c r="E3" i="25"/>
  <c r="F3" i="23"/>
  <c r="F4" i="23"/>
  <c r="F5" i="23"/>
  <c r="F6" i="23"/>
  <c r="F7" i="23"/>
  <c r="F8" i="23"/>
  <c r="F9" i="23"/>
  <c r="F10" i="23"/>
  <c r="F11" i="23"/>
  <c r="F12" i="23"/>
  <c r="F13" i="23"/>
  <c r="I10" i="23"/>
  <c r="F2" i="23"/>
  <c r="B15" i="23"/>
  <c r="F15" i="23" s="1"/>
  <c r="M9" i="22"/>
  <c r="G8" i="22"/>
  <c r="B15" i="22"/>
  <c r="B8" i="22"/>
  <c r="M5" i="22" s="1"/>
  <c r="M13" i="22" s="1"/>
  <c r="E18" i="21"/>
  <c r="E19" i="21"/>
  <c r="E20" i="21"/>
  <c r="E21" i="21"/>
  <c r="E22" i="21"/>
  <c r="E23" i="21"/>
  <c r="E17" i="21"/>
  <c r="E3" i="21"/>
  <c r="E4" i="21"/>
  <c r="E5" i="21"/>
  <c r="E6" i="21"/>
  <c r="E7" i="21"/>
  <c r="E8" i="21"/>
  <c r="E9" i="21"/>
  <c r="E10" i="21"/>
  <c r="E11" i="21"/>
  <c r="E12" i="21"/>
  <c r="E2" i="21"/>
  <c r="E14" i="21" s="1"/>
  <c r="B17" i="20"/>
  <c r="I10" i="20"/>
  <c r="C27" i="19"/>
  <c r="B27" i="19"/>
  <c r="D20" i="19"/>
  <c r="D21" i="19"/>
  <c r="D22" i="19"/>
  <c r="D23" i="19"/>
  <c r="D24" i="19"/>
  <c r="D25" i="19"/>
  <c r="D19" i="19"/>
  <c r="D27" i="19" s="1"/>
  <c r="I14" i="19"/>
  <c r="I16" i="19" s="1"/>
  <c r="D3" i="19"/>
  <c r="D4" i="19"/>
  <c r="D5" i="19"/>
  <c r="D6" i="19"/>
  <c r="D7" i="19"/>
  <c r="D8" i="19"/>
  <c r="D9" i="19"/>
  <c r="D10" i="19"/>
  <c r="D11" i="19"/>
  <c r="D12" i="19"/>
  <c r="D13" i="19"/>
  <c r="D2" i="19"/>
  <c r="D15" i="19" s="1"/>
  <c r="B16" i="19"/>
  <c r="O7" i="25" l="1"/>
  <c r="D16" i="19"/>
  <c r="B18" i="22"/>
  <c r="E14" i="26"/>
  <c r="O3" i="25"/>
  <c r="O6" i="25"/>
  <c r="F13" i="20"/>
  <c r="F19" i="20" s="1"/>
  <c r="I19" i="20" s="1"/>
  <c r="D7" i="17"/>
  <c r="D13" i="17"/>
  <c r="D12" i="17"/>
  <c r="D11" i="17"/>
  <c r="D10" i="17"/>
  <c r="D9" i="17"/>
  <c r="D8" i="17"/>
  <c r="D6" i="17"/>
  <c r="D5" i="17"/>
  <c r="D4" i="17"/>
  <c r="D3" i="17"/>
  <c r="D2" i="17"/>
  <c r="B14" i="17"/>
  <c r="H11" i="16"/>
  <c r="H10" i="16"/>
  <c r="H9" i="16"/>
  <c r="H8" i="16"/>
  <c r="H7" i="16"/>
  <c r="H6" i="16"/>
  <c r="B5" i="16"/>
  <c r="H5" i="16" s="1"/>
  <c r="H4" i="16"/>
  <c r="H3" i="16"/>
  <c r="H2" i="16"/>
  <c r="B17" i="15"/>
  <c r="K5" i="15"/>
  <c r="K6" i="15" s="1"/>
  <c r="J5" i="15"/>
  <c r="J6" i="15" s="1"/>
  <c r="F5" i="15"/>
  <c r="F6" i="15" s="1"/>
  <c r="E5" i="15"/>
  <c r="E6" i="15" s="1"/>
  <c r="H15" i="14"/>
  <c r="D14" i="14"/>
  <c r="D15" i="14" s="1"/>
  <c r="B23" i="14" s="1"/>
  <c r="H13" i="14"/>
  <c r="H12" i="14"/>
  <c r="H11" i="14"/>
  <c r="H10" i="14"/>
  <c r="H9" i="14"/>
  <c r="H8" i="14"/>
  <c r="H7" i="14"/>
  <c r="B6" i="14"/>
  <c r="F14" i="14" s="1"/>
  <c r="F15" i="14" s="1"/>
  <c r="H5" i="14"/>
  <c r="H4" i="14"/>
  <c r="E4" i="14"/>
  <c r="E5" i="14" s="1"/>
  <c r="H3" i="14"/>
  <c r="B2" i="14"/>
  <c r="B18" i="13"/>
  <c r="K6" i="13"/>
  <c r="K7" i="13" s="1"/>
  <c r="J6" i="13"/>
  <c r="J7" i="13" s="1"/>
  <c r="J12" i="13" s="1"/>
  <c r="J13" i="13" s="1"/>
  <c r="C10" i="12"/>
  <c r="C3" i="12"/>
  <c r="C4" i="12"/>
  <c r="C5" i="12"/>
  <c r="C6" i="12"/>
  <c r="C7" i="12"/>
  <c r="C8" i="12"/>
  <c r="C12" i="12"/>
  <c r="B16" i="12"/>
  <c r="C15" i="12"/>
  <c r="C14" i="12"/>
  <c r="C13" i="12"/>
  <c r="C11" i="12"/>
  <c r="C9" i="12"/>
  <c r="C2" i="12"/>
  <c r="C3" i="11"/>
  <c r="C4" i="11"/>
  <c r="C5" i="11"/>
  <c r="C6" i="11"/>
  <c r="C7" i="11"/>
  <c r="C8" i="11"/>
  <c r="C9" i="11"/>
  <c r="C10" i="11"/>
  <c r="C11" i="11"/>
  <c r="C12" i="11"/>
  <c r="B13" i="11"/>
  <c r="C2" i="11"/>
  <c r="C2" i="9"/>
  <c r="B14" i="9"/>
  <c r="C8" i="9"/>
  <c r="C13" i="9"/>
  <c r="C12" i="9"/>
  <c r="C11" i="9"/>
  <c r="C9" i="9"/>
  <c r="C6" i="9"/>
  <c r="C5" i="9"/>
  <c r="C4" i="9"/>
  <c r="C3" i="9"/>
  <c r="C10" i="9"/>
  <c r="C7" i="9"/>
  <c r="C13" i="8"/>
  <c r="J13" i="8" s="1"/>
  <c r="C6" i="8"/>
  <c r="J6" i="8" s="1"/>
  <c r="C5" i="8"/>
  <c r="J5" i="8" s="1"/>
  <c r="C3" i="8"/>
  <c r="J3" i="8" s="1"/>
  <c r="C10" i="8"/>
  <c r="C8" i="8"/>
  <c r="B19" i="17" l="1"/>
  <c r="B16" i="14"/>
  <c r="B20" i="17"/>
  <c r="C13" i="11"/>
  <c r="H2" i="14"/>
  <c r="C14" i="9"/>
  <c r="J6" i="17"/>
  <c r="J11" i="15"/>
  <c r="J12" i="15" s="1"/>
  <c r="B16" i="16"/>
  <c r="E8" i="14"/>
  <c r="E10" i="15"/>
  <c r="E9" i="15"/>
  <c r="E14" i="14"/>
  <c r="E15" i="14" s="1"/>
  <c r="F4" i="14"/>
  <c r="F5" i="14" s="1"/>
  <c r="E9" i="14" s="1"/>
  <c r="H6" i="14"/>
  <c r="C16" i="12"/>
  <c r="I5" i="9"/>
  <c r="I4" i="9"/>
  <c r="B7" i="8"/>
  <c r="C12" i="8"/>
  <c r="C11" i="8"/>
  <c r="C9" i="8"/>
  <c r="C4" i="8"/>
  <c r="C2" i="8"/>
  <c r="B21" i="7"/>
  <c r="B23" i="7"/>
  <c r="C22" i="7" s="1"/>
  <c r="B15" i="7"/>
  <c r="C15" i="7" s="1"/>
  <c r="E10" i="7" s="1"/>
  <c r="C2" i="7"/>
  <c r="C5" i="7"/>
  <c r="C4" i="7"/>
  <c r="C14" i="7"/>
  <c r="C13" i="7"/>
  <c r="C12" i="7"/>
  <c r="C11" i="7"/>
  <c r="C10" i="7"/>
  <c r="C9" i="7"/>
  <c r="C8" i="7"/>
  <c r="C7" i="7"/>
  <c r="C6" i="7"/>
  <c r="C3" i="7"/>
  <c r="B12" i="6"/>
  <c r="C12" i="6" s="1"/>
  <c r="C11" i="6"/>
  <c r="C10" i="6"/>
  <c r="C9" i="6"/>
  <c r="C8" i="6"/>
  <c r="C7" i="6"/>
  <c r="C6" i="6"/>
  <c r="C5" i="6"/>
  <c r="C4" i="6"/>
  <c r="C3" i="6"/>
  <c r="C2" i="6"/>
  <c r="C3" i="5"/>
  <c r="C4" i="5"/>
  <c r="C5" i="5"/>
  <c r="C6" i="5"/>
  <c r="C7" i="5"/>
  <c r="C8" i="5"/>
  <c r="C9" i="5"/>
  <c r="C10" i="5"/>
  <c r="C11" i="5"/>
  <c r="C12" i="5"/>
  <c r="C2" i="5"/>
  <c r="B13" i="5"/>
  <c r="C13" i="5" s="1"/>
  <c r="E8" i="5" s="1"/>
  <c r="C66" i="4"/>
  <c r="B66" i="4"/>
  <c r="C7" i="4"/>
  <c r="C12" i="4"/>
  <c r="C8" i="4"/>
  <c r="C5" i="4"/>
  <c r="C4" i="4"/>
  <c r="C3" i="4"/>
  <c r="C2" i="4"/>
  <c r="E2" i="4" s="1"/>
  <c r="B21" i="4" s="1"/>
  <c r="L9" i="4"/>
  <c r="B13" i="4"/>
  <c r="C11" i="4"/>
  <c r="C10" i="4"/>
  <c r="C9" i="4"/>
  <c r="C6" i="4"/>
  <c r="M8" i="3"/>
  <c r="D19" i="3"/>
  <c r="D20" i="3"/>
  <c r="D21" i="3"/>
  <c r="D22" i="3"/>
  <c r="C18" i="3"/>
  <c r="D18" i="3" s="1"/>
  <c r="C13" i="3"/>
  <c r="C12" i="3"/>
  <c r="C3" i="3"/>
  <c r="C4" i="3"/>
  <c r="C5" i="3"/>
  <c r="C6" i="3"/>
  <c r="C7" i="3"/>
  <c r="C8" i="3"/>
  <c r="C9" i="3"/>
  <c r="C10" i="3"/>
  <c r="C11" i="3"/>
  <c r="C14" i="3"/>
  <c r="C2" i="3"/>
  <c r="B15" i="3"/>
  <c r="H6" i="2"/>
  <c r="H5" i="2"/>
  <c r="H4" i="2"/>
  <c r="H3" i="2"/>
  <c r="H2" i="2"/>
  <c r="G5" i="2"/>
  <c r="H10" i="2"/>
  <c r="L12" i="2"/>
  <c r="C3" i="2"/>
  <c r="J14" i="2"/>
  <c r="I18" i="2" s="1"/>
  <c r="B13" i="2"/>
  <c r="C13" i="2" s="1"/>
  <c r="C4" i="2"/>
  <c r="C5" i="2"/>
  <c r="C6" i="2"/>
  <c r="C7" i="2"/>
  <c r="H9" i="2"/>
  <c r="C8" i="2"/>
  <c r="C9" i="2"/>
  <c r="C10" i="2"/>
  <c r="C11" i="2"/>
  <c r="C12" i="2"/>
  <c r="C2" i="2"/>
  <c r="C13" i="4" l="1"/>
  <c r="B16" i="4" s="1"/>
  <c r="B19" i="4"/>
  <c r="B14" i="8"/>
  <c r="C7" i="8"/>
  <c r="J7" i="8" s="1"/>
  <c r="J16" i="8" s="1"/>
  <c r="F3" i="8"/>
  <c r="E7" i="6"/>
  <c r="B19" i="5"/>
  <c r="B21" i="5"/>
  <c r="D66" i="4"/>
  <c r="E8" i="4" s="1"/>
  <c r="C15" i="3"/>
  <c r="K19" i="2"/>
  <c r="E16" i="1"/>
  <c r="C12" i="1"/>
  <c r="F16" i="1" s="1"/>
  <c r="F4" i="8" l="1"/>
  <c r="C14" i="8"/>
  <c r="B16" i="5"/>
</calcChain>
</file>

<file path=xl/sharedStrings.xml><?xml version="1.0" encoding="utf-8"?>
<sst xmlns="http://schemas.openxmlformats.org/spreadsheetml/2006/main" count="2043" uniqueCount="337">
  <si>
    <t>April</t>
  </si>
  <si>
    <t>shared by 5</t>
  </si>
  <si>
    <t>March expense</t>
  </si>
  <si>
    <t>Rupees</t>
  </si>
  <si>
    <t>yet to give</t>
  </si>
  <si>
    <t>bal from box</t>
  </si>
  <si>
    <t>Maligai and Rice</t>
  </si>
  <si>
    <t>Raja</t>
  </si>
  <si>
    <t>Vegetables</t>
  </si>
  <si>
    <t>Senthil</t>
  </si>
  <si>
    <t>Water 24 cans</t>
  </si>
  <si>
    <t>Alagiri</t>
  </si>
  <si>
    <t>Flour 24*30</t>
  </si>
  <si>
    <t>Siva</t>
  </si>
  <si>
    <t>Rent</t>
  </si>
  <si>
    <t>Paneer</t>
  </si>
  <si>
    <t>Gas</t>
  </si>
  <si>
    <t>Total</t>
  </si>
  <si>
    <t>Cook</t>
  </si>
  <si>
    <t>Maintenance</t>
  </si>
  <si>
    <t>Internet</t>
  </si>
  <si>
    <t>Caution deposit</t>
  </si>
  <si>
    <t>NOTE : THIS BUDGET IS EXCLUDING INTERNET BILL, WILL BE INCLUDED SOON ONCE WE GET THE WIFI BILL AMOUNT</t>
  </si>
  <si>
    <t>Final amount to be given</t>
  </si>
  <si>
    <t>Old</t>
  </si>
  <si>
    <t>New</t>
  </si>
  <si>
    <t>MAY</t>
  </si>
  <si>
    <t>Shared by 5</t>
  </si>
  <si>
    <t>Actual amount to give</t>
  </si>
  <si>
    <t>Previous month Balance</t>
  </si>
  <si>
    <t>Badri</t>
  </si>
  <si>
    <t>EB</t>
  </si>
  <si>
    <t>Previous Internet</t>
  </si>
  <si>
    <t>EB Advance</t>
  </si>
  <si>
    <t>Reserved</t>
  </si>
  <si>
    <t>Last month usage</t>
  </si>
  <si>
    <t>June</t>
  </si>
  <si>
    <t>Individual Contribution</t>
  </si>
  <si>
    <t>Wet Flour 24*30</t>
  </si>
  <si>
    <t xml:space="preserve">EB Bill </t>
  </si>
  <si>
    <t>Safety</t>
  </si>
  <si>
    <t>Plastic Items</t>
  </si>
  <si>
    <t>A/C Repair</t>
  </si>
  <si>
    <t>July</t>
  </si>
  <si>
    <t xml:space="preserve">Raja </t>
  </si>
  <si>
    <t>Panneer</t>
  </si>
  <si>
    <t>Manoj Anna</t>
  </si>
  <si>
    <t>Manoj</t>
  </si>
  <si>
    <t>Description</t>
  </si>
  <si>
    <t>Income</t>
  </si>
  <si>
    <t>Expense</t>
  </si>
  <si>
    <t>Total Balance</t>
  </si>
  <si>
    <t>Last month Balance Rs.1300 will be used for last month  Internet bill</t>
  </si>
  <si>
    <t>Cooker + Mixie Repair</t>
  </si>
  <si>
    <t>Wet Flour 25*30</t>
  </si>
  <si>
    <t>Last month shortage</t>
  </si>
  <si>
    <t>Vessels</t>
  </si>
  <si>
    <t>A/C &amp;Plumber works</t>
  </si>
  <si>
    <t>+380</t>
  </si>
  <si>
    <t>Remarks (If any)</t>
  </si>
  <si>
    <t>Last month balance</t>
  </si>
  <si>
    <t xml:space="preserve">A/C </t>
  </si>
  <si>
    <t>Vegetables &amp; Chicken</t>
  </si>
  <si>
    <t>Wet Flour 25*33</t>
  </si>
  <si>
    <t>Including Diwali Bonus</t>
  </si>
  <si>
    <t>December</t>
  </si>
  <si>
    <t>(Rent and Internet which was missed in last month Budget)</t>
  </si>
  <si>
    <t>Manoj anna</t>
  </si>
  <si>
    <t xml:space="preserve">Maligai and Vegetables Responsible Person </t>
  </si>
  <si>
    <t>1st week</t>
  </si>
  <si>
    <t>2nd week</t>
  </si>
  <si>
    <t>3rd week</t>
  </si>
  <si>
    <t>4th week</t>
  </si>
  <si>
    <t>Chicken</t>
  </si>
  <si>
    <t>Cable</t>
  </si>
  <si>
    <t>Iron box</t>
  </si>
  <si>
    <t>Shared</t>
  </si>
  <si>
    <t>Last month Balance</t>
  </si>
  <si>
    <t>EB Bill</t>
  </si>
  <si>
    <t xml:space="preserve">Cook </t>
  </si>
  <si>
    <t>Maintanance</t>
  </si>
  <si>
    <t>tv cabel</t>
  </si>
  <si>
    <t>Final Amount to be given</t>
  </si>
  <si>
    <t>All</t>
  </si>
  <si>
    <t>TV Cabel</t>
  </si>
  <si>
    <t>Include Manoj Anna</t>
  </si>
  <si>
    <t>Wet Flour 15*33</t>
  </si>
  <si>
    <t>If Manoj Anna Will Leave</t>
  </si>
  <si>
    <t>Water 20 cans</t>
  </si>
  <si>
    <t>Amount</t>
  </si>
  <si>
    <t>AC Maintenance</t>
  </si>
  <si>
    <t>Vegetables(including Chicken)</t>
  </si>
  <si>
    <t>Sweaping</t>
  </si>
  <si>
    <t>Sudhakar</t>
  </si>
  <si>
    <t>Manohar</t>
  </si>
  <si>
    <t>Wet flour</t>
  </si>
  <si>
    <t xml:space="preserve">Available amount at end of last month </t>
  </si>
  <si>
    <t>Cook Akka</t>
  </si>
  <si>
    <t>Cook Akka bonus</t>
  </si>
  <si>
    <t>Inv share</t>
  </si>
  <si>
    <t>Amount collected</t>
  </si>
  <si>
    <t>Actual Amount</t>
  </si>
  <si>
    <t>Balance</t>
  </si>
  <si>
    <t>Singam</t>
  </si>
  <si>
    <t>Kandha</t>
  </si>
  <si>
    <t>Cook akka</t>
  </si>
  <si>
    <t>Other Expenses from BOX in the first week</t>
  </si>
  <si>
    <t>Malligai</t>
  </si>
  <si>
    <t>Cook akka Diwali bonus</t>
  </si>
  <si>
    <t>Rice</t>
  </si>
  <si>
    <t>Received Maintenance</t>
  </si>
  <si>
    <t>Kept in Box</t>
  </si>
  <si>
    <t>Ambal Stores Plastics and needful</t>
  </si>
  <si>
    <t>Sudhakar expenses for Onion</t>
  </si>
  <si>
    <t>Maligai</t>
  </si>
  <si>
    <t>Curd</t>
  </si>
  <si>
    <t xml:space="preserve">Remaining </t>
  </si>
  <si>
    <t>Senthil expenses</t>
  </si>
  <si>
    <t>Cabel</t>
  </si>
  <si>
    <t>Paid in Advance</t>
  </si>
  <si>
    <t>To Pay</t>
  </si>
  <si>
    <t>Tube light</t>
  </si>
  <si>
    <t>Badri have</t>
  </si>
  <si>
    <t>Senthil have</t>
  </si>
  <si>
    <t>Reliance</t>
  </si>
  <si>
    <t>Details</t>
  </si>
  <si>
    <t>Share</t>
  </si>
  <si>
    <t>Gas Subsidy Refund</t>
  </si>
  <si>
    <t xml:space="preserve">2011(Maligai)+500(Reliance)+1000(Rice)+Oil &amp; Wheat flour </t>
  </si>
  <si>
    <t>2500Rs Veg &amp; 1000Rs Chicken (5 Weekends)</t>
  </si>
  <si>
    <t>Water 30 cans</t>
  </si>
  <si>
    <t xml:space="preserve">Total </t>
  </si>
  <si>
    <t>Cable TV</t>
  </si>
  <si>
    <t xml:space="preserve">Notes :
1) Gas we bought on 3rd week of November, so Gas need not to be included this month
2) Internet cost includes the cost of new modem (200Rs.)
3) Only 2 pockets of wheat flour and Groundnut oil we bought in the starting of this month. We have to buy later point of time too based on the requirement.
</t>
  </si>
  <si>
    <t>Cook akka &amp; Sweaping</t>
  </si>
  <si>
    <t>Including Pongal Bonus</t>
  </si>
  <si>
    <t>(Badri - 3200, Box - 640)</t>
  </si>
  <si>
    <t>Name</t>
  </si>
  <si>
    <t>Normal share</t>
  </si>
  <si>
    <t>Without food share</t>
  </si>
  <si>
    <t>Kanda</t>
  </si>
  <si>
    <t xml:space="preserve">EB </t>
  </si>
  <si>
    <t>Contributed</t>
  </si>
  <si>
    <t>To share</t>
  </si>
  <si>
    <t xml:space="preserve"> </t>
  </si>
  <si>
    <t>sudhakar</t>
  </si>
  <si>
    <t>senthil</t>
  </si>
  <si>
    <t>singam</t>
  </si>
  <si>
    <t>Mano</t>
  </si>
  <si>
    <t>House Rent</t>
  </si>
  <si>
    <t>Gas subsidy</t>
  </si>
  <si>
    <t>Mano balance</t>
  </si>
  <si>
    <t>Cleaning</t>
  </si>
  <si>
    <t>Sump water contribution</t>
  </si>
  <si>
    <t>Vegetables(29th June)</t>
  </si>
  <si>
    <t>For Sudhakar</t>
  </si>
  <si>
    <t>Sudhakar 29th June</t>
  </si>
  <si>
    <t>Common Sweeper salary</t>
  </si>
  <si>
    <t>Net Balance to keep</t>
  </si>
  <si>
    <t>Gas Subsidy</t>
  </si>
  <si>
    <t>Wet Flour</t>
  </si>
  <si>
    <t>P</t>
  </si>
  <si>
    <t>A</t>
  </si>
  <si>
    <t>T</t>
  </si>
  <si>
    <t>PY</t>
  </si>
  <si>
    <t>K</t>
  </si>
  <si>
    <t>Badri received</t>
  </si>
  <si>
    <t>Amount to keep back which utilised for sump water'</t>
  </si>
  <si>
    <t>My Share</t>
  </si>
  <si>
    <t>Tomato and Onion</t>
  </si>
  <si>
    <t>Amount kept on Sunday</t>
  </si>
  <si>
    <t>Total Amount I have</t>
  </si>
  <si>
    <t>Shared to Sudhakar</t>
  </si>
  <si>
    <t>Total Expense</t>
  </si>
  <si>
    <t>Net balance to keep</t>
  </si>
  <si>
    <t>Last monthend contribution details</t>
  </si>
  <si>
    <t>B</t>
  </si>
  <si>
    <t>NetShare</t>
  </si>
  <si>
    <t>Cleansing items</t>
  </si>
  <si>
    <t>Flour</t>
  </si>
  <si>
    <t>Water</t>
  </si>
  <si>
    <t>Wheat flour and tomato</t>
  </si>
  <si>
    <t>Water and Wet flour</t>
  </si>
  <si>
    <t>S</t>
  </si>
  <si>
    <t>Sweeper akka</t>
  </si>
  <si>
    <t>Previous month balance</t>
  </si>
  <si>
    <t>Washing machine</t>
  </si>
  <si>
    <t>This month share</t>
  </si>
  <si>
    <t>To Take</t>
  </si>
  <si>
    <t>Net Amount</t>
  </si>
  <si>
    <t>Per head</t>
  </si>
  <si>
    <t>Ex.Bo</t>
  </si>
  <si>
    <t>Boopathy</t>
  </si>
  <si>
    <t>Safety &amp; EB</t>
  </si>
  <si>
    <t>Chicken/Fish</t>
  </si>
  <si>
    <t>Bhoopathi</t>
  </si>
  <si>
    <t>Garbage bag</t>
  </si>
  <si>
    <t>Sweeper Salary</t>
  </si>
  <si>
    <t>Cooker Whistle</t>
  </si>
  <si>
    <t>Egg</t>
  </si>
  <si>
    <t>Cumins powder</t>
  </si>
  <si>
    <t>Gas stove service'</t>
  </si>
  <si>
    <t>Tomato &amp; cocunut</t>
  </si>
  <si>
    <t>Eggs</t>
  </si>
  <si>
    <t>Masala</t>
  </si>
  <si>
    <t>Mutton</t>
  </si>
  <si>
    <t>Mutton (last month)</t>
  </si>
  <si>
    <t>Boopathi</t>
  </si>
  <si>
    <t>Total I got</t>
  </si>
  <si>
    <t>Expance</t>
  </si>
  <si>
    <t>Date</t>
  </si>
  <si>
    <t>I spend</t>
  </si>
  <si>
    <t>ICICI</t>
  </si>
  <si>
    <t>I got</t>
  </si>
  <si>
    <t>CITI</t>
  </si>
  <si>
    <t>SCB</t>
  </si>
  <si>
    <t>Remaining</t>
  </si>
  <si>
    <t>Dhal</t>
  </si>
  <si>
    <t>Chilli</t>
  </si>
  <si>
    <t>Cocunut + Veg</t>
  </si>
  <si>
    <t>Onion</t>
  </si>
  <si>
    <t>Mushroom</t>
  </si>
  <si>
    <t>Mate</t>
  </si>
  <si>
    <t>Wet Flour+Lemon</t>
  </si>
  <si>
    <t>Harpic</t>
  </si>
  <si>
    <t>Fish</t>
  </si>
  <si>
    <t>Onion &amp; tomatoes</t>
  </si>
  <si>
    <t>water</t>
  </si>
  <si>
    <t>Amount Received</t>
  </si>
  <si>
    <t>This Month Share</t>
  </si>
  <si>
    <t>Water cans</t>
  </si>
  <si>
    <t>I Spend</t>
  </si>
  <si>
    <t>Spend</t>
  </si>
  <si>
    <t>Harpic, Lysol, brush, Rice</t>
  </si>
  <si>
    <t>s</t>
  </si>
  <si>
    <t>Gravy</t>
  </si>
  <si>
    <t>Si</t>
  </si>
  <si>
    <t>Dhall, Wet flour</t>
  </si>
  <si>
    <t>Tomatos</t>
  </si>
  <si>
    <t>Lyzol, Cleaning Items</t>
  </si>
  <si>
    <t>Airtel</t>
  </si>
  <si>
    <t>Gopi</t>
  </si>
  <si>
    <t>Safty</t>
  </si>
  <si>
    <t>Water, Wet Flour, Tomatos</t>
  </si>
  <si>
    <t>Moong Dhall</t>
  </si>
  <si>
    <t>Eb Bill</t>
  </si>
  <si>
    <t>Tomatos, Brinjal, Wet Flour</t>
  </si>
  <si>
    <t>Vegetables, Wet Flour, Eggs</t>
  </si>
  <si>
    <t>Toor Dhall</t>
  </si>
  <si>
    <t>Garlic</t>
  </si>
  <si>
    <t>Chana</t>
  </si>
  <si>
    <t>Previous Month Maintanance</t>
  </si>
  <si>
    <t>Forget to take</t>
  </si>
  <si>
    <t>Curd, Eggs</t>
  </si>
  <si>
    <t>Duplicate Key</t>
  </si>
  <si>
    <t>Curd, Pickle</t>
  </si>
  <si>
    <t>******</t>
  </si>
  <si>
    <t>Idly Power</t>
  </si>
  <si>
    <t>Mixi Jar</t>
  </si>
  <si>
    <t>Onions</t>
  </si>
  <si>
    <t>Vegetables + Wet Flour</t>
  </si>
  <si>
    <t>****</t>
  </si>
  <si>
    <t>Maggie</t>
  </si>
  <si>
    <t>Wet Flour, Idly Powder</t>
  </si>
  <si>
    <t>Singam(Last Month Bal)</t>
  </si>
  <si>
    <t>Sudhakar(Last Month Bal)</t>
  </si>
  <si>
    <t>Wet Flour, Vegetables, Eggs</t>
  </si>
  <si>
    <t>Ginger</t>
  </si>
  <si>
    <t>Sugar</t>
  </si>
  <si>
    <t>Good Night Liquid</t>
  </si>
  <si>
    <t>Tomato, Onion, Wet flour</t>
  </si>
  <si>
    <t>Wet Flour, Eggs</t>
  </si>
  <si>
    <t>Washing Machine Service</t>
  </si>
  <si>
    <t>Wet Flour, Vegetables</t>
  </si>
  <si>
    <t>Water, Eggs</t>
  </si>
  <si>
    <t>Mop</t>
  </si>
  <si>
    <t>Country Chicken</t>
  </si>
  <si>
    <t>Tomato</t>
  </si>
  <si>
    <t>Wet Flour, Cocunut</t>
  </si>
  <si>
    <t>Prithiv</t>
  </si>
  <si>
    <t>RWH</t>
  </si>
  <si>
    <t>HDFC</t>
  </si>
  <si>
    <t xml:space="preserve">B2 - M </t>
  </si>
  <si>
    <t>In Hand</t>
  </si>
  <si>
    <t>S2 - R</t>
  </si>
  <si>
    <t>G1</t>
  </si>
  <si>
    <t>Adv</t>
  </si>
  <si>
    <t>PayTM</t>
  </si>
  <si>
    <t>Amazon</t>
  </si>
  <si>
    <t>PayZap</t>
  </si>
  <si>
    <t>GuruSami</t>
  </si>
  <si>
    <t>Coconut</t>
  </si>
  <si>
    <t>Maligai &amp; Rice</t>
  </si>
  <si>
    <t>Wimbar Liquid</t>
  </si>
  <si>
    <t>Pepper</t>
  </si>
  <si>
    <t>Onion and Lemon</t>
  </si>
  <si>
    <t>Gas Delivery Person</t>
  </si>
  <si>
    <t>Mixi Jar &amp; Puli</t>
  </si>
  <si>
    <t>Onion, Tomato, Coconut</t>
  </si>
  <si>
    <t>Sweeper Akka</t>
  </si>
  <si>
    <t>Pirithiv</t>
  </si>
  <si>
    <t>Non Veg</t>
  </si>
  <si>
    <t xml:space="preserve">Diwali Bonus </t>
  </si>
  <si>
    <t>Chairs - 1st Month Due</t>
  </si>
  <si>
    <t>TV</t>
  </si>
  <si>
    <t>Citi</t>
  </si>
  <si>
    <t>Raman Uncle</t>
  </si>
  <si>
    <t>Chairs - 2nd Month Due</t>
  </si>
  <si>
    <t>Chicken Masala</t>
  </si>
  <si>
    <t>Food Card</t>
  </si>
  <si>
    <t>Groceries</t>
  </si>
  <si>
    <t>CC</t>
  </si>
  <si>
    <t>S2</t>
  </si>
  <si>
    <t>Chairs - 3nd Month Due</t>
  </si>
  <si>
    <t>WimBar</t>
  </si>
  <si>
    <t xml:space="preserve">Plumbing </t>
  </si>
  <si>
    <t>Sathya</t>
  </si>
  <si>
    <t>Dal</t>
  </si>
  <si>
    <t>Puli</t>
  </si>
  <si>
    <t>Onion, Potato</t>
  </si>
  <si>
    <t>Tamil</t>
  </si>
  <si>
    <t>Harpic &amp; Lysol</t>
  </si>
  <si>
    <t>Red Chilli Dhaniya</t>
  </si>
  <si>
    <t>S2 - B</t>
  </si>
  <si>
    <t>S1</t>
  </si>
  <si>
    <t>Eggs, Steel Scrubber</t>
  </si>
  <si>
    <t>Goodnight Liquid</t>
  </si>
  <si>
    <t>Eggs, Wet Flour</t>
  </si>
  <si>
    <t>Santharam</t>
  </si>
  <si>
    <t>Onion &amp; mushroom</t>
  </si>
  <si>
    <t>Vegetables &amp; Wet flour</t>
  </si>
  <si>
    <t>Fish &amp; Water</t>
  </si>
  <si>
    <t>Grosaries</t>
  </si>
  <si>
    <t>Eggs &amp; wet flour</t>
  </si>
  <si>
    <t>Wet Flour &amp; Scrubber</t>
  </si>
  <si>
    <t>Penoil &amp; Harpic</t>
  </si>
  <si>
    <t>Kept in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</si>
</sst>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48"/>
      <color theme="1"/>
      <name val="Arial Rounded MT Bold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3.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b/>
      <sz val="13.2"/>
      <color rgb="FF000000"/>
      <name val="Calibri"/>
      <family val="2"/>
      <scheme val="minor"/>
    </font>
    <font>
      <b/>
      <sz val="12.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.1"/>
      <color rgb="FF000000"/>
      <name val="Calibri"/>
      <family val="2"/>
    </font>
    <font>
      <sz val="10"/>
      <color theme="1"/>
      <name val="Arial"/>
      <family val="2"/>
    </font>
    <font>
      <sz val="12.1"/>
      <color theme="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0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3" fillId="2" borderId="2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/>
    <xf numFmtId="0" fontId="4" fillId="0" borderId="1" xfId="0" applyFont="1" applyBorder="1"/>
    <xf numFmtId="0" fontId="3" fillId="3" borderId="0" xfId="0" applyFont="1" applyFill="1"/>
    <xf numFmtId="0" fontId="3" fillId="0" borderId="0" xfId="0" applyFont="1" applyBorder="1"/>
    <xf numFmtId="0" fontId="4" fillId="0" borderId="0" xfId="0" applyFont="1" applyBorder="1"/>
    <xf numFmtId="0" fontId="3" fillId="2" borderId="0" xfId="0" applyFont="1" applyFill="1" applyBorder="1"/>
    <xf numFmtId="14" fontId="0" fillId="0" borderId="0" xfId="0" applyNumberFormat="1"/>
    <xf numFmtId="0" fontId="0" fillId="4" borderId="0" xfId="0" applyFill="1"/>
    <xf numFmtId="0" fontId="0" fillId="5" borderId="1" xfId="0" applyFill="1" applyBorder="1"/>
    <xf numFmtId="0" fontId="3" fillId="5" borderId="1" xfId="0" applyFont="1" applyFill="1" applyBorder="1"/>
    <xf numFmtId="2" fontId="3" fillId="0" borderId="0" xfId="0" applyNumberFormat="1" applyFont="1" applyBorder="1"/>
    <xf numFmtId="0" fontId="3" fillId="0" borderId="0" xfId="0" quotePrefix="1" applyFont="1" applyBorder="1" applyAlignment="1">
      <alignment horizontal="right"/>
    </xf>
    <xf numFmtId="0" fontId="3" fillId="2" borderId="11" xfId="0" applyFont="1" applyFill="1" applyBorder="1"/>
    <xf numFmtId="2" fontId="0" fillId="0" borderId="0" xfId="0" applyNumberFormat="1"/>
    <xf numFmtId="2" fontId="5" fillId="0" borderId="3" xfId="0" applyNumberFormat="1" applyFont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0" fontId="5" fillId="0" borderId="0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2" fontId="3" fillId="0" borderId="1" xfId="0" applyNumberFormat="1" applyFont="1" applyBorder="1"/>
    <xf numFmtId="17" fontId="6" fillId="6" borderId="0" xfId="1" applyNumberFormat="1" applyFont="1" applyFill="1" applyAlignment="1">
      <alignment horizontal="left" vertical="top"/>
    </xf>
    <xf numFmtId="0" fontId="6" fillId="6" borderId="0" xfId="1" applyFont="1" applyFill="1" applyAlignment="1"/>
    <xf numFmtId="0" fontId="6" fillId="0" borderId="0" xfId="1" applyFont="1" applyAlignment="1"/>
    <xf numFmtId="0" fontId="7" fillId="0" borderId="0" xfId="1" applyFont="1" applyAlignment="1"/>
    <xf numFmtId="0" fontId="3" fillId="0" borderId="11" xfId="0" applyFont="1" applyFill="1" applyBorder="1"/>
    <xf numFmtId="0" fontId="10" fillId="0" borderId="12" xfId="0" applyFont="1" applyBorder="1" applyAlignment="1">
      <alignment wrapText="1"/>
    </xf>
    <xf numFmtId="0" fontId="11" fillId="0" borderId="12" xfId="0" applyFont="1" applyBorder="1" applyAlignment="1">
      <alignment horizontal="right"/>
    </xf>
    <xf numFmtId="0" fontId="9" fillId="3" borderId="14" xfId="0" applyFont="1" applyFill="1" applyBorder="1"/>
    <xf numFmtId="0" fontId="11" fillId="0" borderId="12" xfId="0" applyFont="1" applyBorder="1"/>
    <xf numFmtId="0" fontId="9" fillId="2" borderId="13" xfId="0" applyFont="1" applyFill="1" applyBorder="1"/>
    <xf numFmtId="0" fontId="0" fillId="2" borderId="0" xfId="0" applyFill="1"/>
    <xf numFmtId="0" fontId="0" fillId="0" borderId="11" xfId="0" applyFill="1" applyBorder="1"/>
    <xf numFmtId="0" fontId="10" fillId="0" borderId="15" xfId="0" applyFont="1" applyBorder="1" applyAlignment="1">
      <alignment wrapText="1"/>
    </xf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0" fillId="0" borderId="16" xfId="0" applyFont="1" applyBorder="1" applyAlignment="1">
      <alignment wrapText="1"/>
    </xf>
    <xf numFmtId="0" fontId="10" fillId="0" borderId="17" xfId="0" applyFont="1" applyBorder="1" applyAlignment="1">
      <alignment wrapText="1"/>
    </xf>
    <xf numFmtId="0" fontId="10" fillId="0" borderId="18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/>
    <xf numFmtId="0" fontId="4" fillId="2" borderId="1" xfId="0" applyFont="1" applyFill="1" applyBorder="1"/>
    <xf numFmtId="0" fontId="13" fillId="0" borderId="1" xfId="0" applyFont="1" applyBorder="1" applyAlignment="1">
      <alignment horizontal="right"/>
    </xf>
    <xf numFmtId="0" fontId="14" fillId="0" borderId="0" xfId="0" applyFont="1" applyAlignment="1"/>
    <xf numFmtId="0" fontId="3" fillId="2" borderId="6" xfId="0" applyFont="1" applyFill="1" applyBorder="1"/>
    <xf numFmtId="0" fontId="3" fillId="0" borderId="0" xfId="0" applyFont="1" applyFill="1" applyBorder="1" applyAlignment="1">
      <alignment wrapText="1"/>
    </xf>
    <xf numFmtId="0" fontId="15" fillId="0" borderId="0" xfId="0" applyFont="1" applyAlignment="1">
      <alignment wrapText="1"/>
    </xf>
    <xf numFmtId="0" fontId="15" fillId="0" borderId="6" xfId="0" applyFont="1" applyBorder="1" applyAlignment="1"/>
    <xf numFmtId="0" fontId="16" fillId="2" borderId="12" xfId="0" applyFont="1" applyFill="1" applyBorder="1"/>
    <xf numFmtId="0" fontId="17" fillId="0" borderId="12" xfId="0" applyFont="1" applyBorder="1" applyAlignment="1">
      <alignment wrapText="1"/>
    </xf>
    <xf numFmtId="0" fontId="16" fillId="0" borderId="12" xfId="0" applyFont="1" applyBorder="1"/>
    <xf numFmtId="0" fontId="16" fillId="0" borderId="12" xfId="0" applyFont="1" applyBorder="1" applyAlignment="1">
      <alignment horizontal="right"/>
    </xf>
    <xf numFmtId="0" fontId="17" fillId="0" borderId="12" xfId="0" applyFont="1" applyBorder="1" applyAlignment="1">
      <alignment horizontal="right" wrapText="1"/>
    </xf>
    <xf numFmtId="0" fontId="18" fillId="0" borderId="12" xfId="0" applyFont="1" applyBorder="1" applyAlignment="1">
      <alignment wrapText="1"/>
    </xf>
    <xf numFmtId="0" fontId="0" fillId="2" borderId="1" xfId="0" applyFill="1" applyBorder="1"/>
    <xf numFmtId="0" fontId="0" fillId="0" borderId="1" xfId="0" applyFill="1" applyBorder="1"/>
    <xf numFmtId="0" fontId="19" fillId="0" borderId="1" xfId="0" applyFont="1" applyBorder="1"/>
    <xf numFmtId="17" fontId="0" fillId="0" borderId="0" xfId="0" applyNumberFormat="1" applyAlignment="1">
      <alignment horizontal="center" vertical="center"/>
    </xf>
    <xf numFmtId="0" fontId="19" fillId="0" borderId="0" xfId="0" applyFont="1"/>
    <xf numFmtId="0" fontId="0" fillId="2" borderId="0" xfId="0" applyFill="1" applyBorder="1"/>
    <xf numFmtId="0" fontId="0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0" borderId="1" xfId="0" applyFont="1" applyFill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3" fillId="0" borderId="1" xfId="0" applyFont="1" applyBorder="1"/>
    <xf numFmtId="0" fontId="0" fillId="0" borderId="1" xfId="0" applyBorder="1"/>
    <xf numFmtId="0" fontId="3" fillId="10" borderId="1" xfId="0" applyFont="1" applyFill="1" applyBorder="1"/>
    <xf numFmtId="14" fontId="0" fillId="0" borderId="1" xfId="0" applyNumberFormat="1" applyBorder="1"/>
    <xf numFmtId="0" fontId="0" fillId="0" borderId="0" xfId="0" applyNumberFormat="1" applyFont="1"/>
    <xf numFmtId="0" fontId="0" fillId="0" borderId="0" xfId="0" applyFont="1" applyFill="1" applyBorder="1"/>
    <xf numFmtId="0" fontId="6" fillId="7" borderId="0" xfId="1" applyFont="1" applyFill="1" applyAlignment="1"/>
    <xf numFmtId="164" fontId="0" fillId="0" borderId="1" xfId="0" applyNumberFormat="1" applyBorder="1"/>
    <xf numFmtId="9" fontId="0" fillId="0" borderId="0" xfId="0" applyNumberFormat="1"/>
    <xf numFmtId="0" fontId="19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/>
    <xf numFmtId="9" fontId="0" fillId="0" borderId="0" xfId="0" applyNumberFormat="1" applyFont="1"/>
    <xf numFmtId="0" fontId="5" fillId="0" borderId="0" xfId="0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0" xfId="1" applyFont="1" applyAlignment="1">
      <alignment horizontal="center" wrapText="1"/>
    </xf>
    <xf numFmtId="0" fontId="8" fillId="8" borderId="0" xfId="1" applyFont="1" applyFill="1" applyAlignment="1">
      <alignment horizontal="center"/>
    </xf>
    <xf numFmtId="0" fontId="6" fillId="9" borderId="0" xfId="1" applyFont="1" applyFill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16" sqref="A16:A20"/>
    </sheetView>
  </sheetViews>
  <sheetFormatPr defaultRowHeight="15" x14ac:dyDescent="0.25"/>
  <cols>
    <col min="1" max="1" width="26.5703125" bestFit="1" customWidth="1"/>
    <col min="2" max="2" width="11.140625" bestFit="1" customWidth="1"/>
    <col min="3" max="3" width="11.140625" customWidth="1"/>
    <col min="5" max="5" width="18.5703125" bestFit="1" customWidth="1"/>
    <col min="6" max="6" width="14.5703125" customWidth="1"/>
    <col min="7" max="7" width="10.28515625" bestFit="1" customWidth="1"/>
    <col min="8" max="8" width="12.140625" bestFit="1" customWidth="1"/>
  </cols>
  <sheetData>
    <row r="1" spans="1:13" ht="15.75" x14ac:dyDescent="0.25">
      <c r="A1" s="77" t="s">
        <v>0</v>
      </c>
      <c r="B1" s="77" t="s">
        <v>1</v>
      </c>
      <c r="C1" s="77" t="s">
        <v>1</v>
      </c>
      <c r="D1" s="3"/>
      <c r="E1" s="4" t="s">
        <v>2</v>
      </c>
      <c r="F1" s="5" t="s">
        <v>3</v>
      </c>
      <c r="G1" s="5" t="s">
        <v>4</v>
      </c>
      <c r="H1" s="5" t="s">
        <v>5</v>
      </c>
    </row>
    <row r="2" spans="1:13" ht="15.75" x14ac:dyDescent="0.25">
      <c r="A2" s="78" t="s">
        <v>6</v>
      </c>
      <c r="B2" s="78">
        <v>3322</v>
      </c>
      <c r="C2" s="10">
        <v>3322</v>
      </c>
      <c r="D2" s="3"/>
      <c r="E2" s="78" t="s">
        <v>7</v>
      </c>
      <c r="F2" s="78">
        <v>375</v>
      </c>
      <c r="G2" s="78">
        <v>0</v>
      </c>
      <c r="H2" s="78">
        <v>75</v>
      </c>
    </row>
    <row r="3" spans="1:13" ht="15.75" x14ac:dyDescent="0.25">
      <c r="A3" s="78" t="s">
        <v>8</v>
      </c>
      <c r="B3" s="78">
        <v>2000</v>
      </c>
      <c r="C3" s="10">
        <v>1500</v>
      </c>
      <c r="D3" s="3"/>
      <c r="E3" s="78" t="s">
        <v>9</v>
      </c>
      <c r="F3" s="78">
        <v>110</v>
      </c>
      <c r="G3" s="78">
        <v>190</v>
      </c>
      <c r="H3" s="78"/>
    </row>
    <row r="4" spans="1:13" ht="15.75" x14ac:dyDescent="0.25">
      <c r="A4" s="78" t="s">
        <v>10</v>
      </c>
      <c r="B4" s="78">
        <v>600</v>
      </c>
      <c r="C4" s="10">
        <v>600</v>
      </c>
      <c r="D4" s="3"/>
      <c r="E4" s="78" t="s">
        <v>11</v>
      </c>
      <c r="F4" s="78">
        <v>550</v>
      </c>
      <c r="G4" s="78">
        <v>0</v>
      </c>
      <c r="H4" s="78">
        <v>550</v>
      </c>
    </row>
    <row r="5" spans="1:13" ht="15.75" x14ac:dyDescent="0.25">
      <c r="A5" s="78" t="s">
        <v>12</v>
      </c>
      <c r="B5" s="78">
        <v>720</v>
      </c>
      <c r="C5" s="10">
        <v>650</v>
      </c>
      <c r="D5" s="3"/>
      <c r="E5" s="6" t="s">
        <v>13</v>
      </c>
      <c r="F5" s="78"/>
      <c r="G5" s="78">
        <v>300</v>
      </c>
      <c r="H5" s="78"/>
    </row>
    <row r="6" spans="1:13" ht="15.75" x14ac:dyDescent="0.25">
      <c r="A6" s="78" t="s">
        <v>14</v>
      </c>
      <c r="B6" s="78">
        <v>8500</v>
      </c>
      <c r="C6" s="10">
        <v>8500</v>
      </c>
      <c r="D6" s="3"/>
      <c r="E6" s="6" t="s">
        <v>15</v>
      </c>
      <c r="F6" s="78"/>
      <c r="G6" s="78">
        <v>300</v>
      </c>
      <c r="H6" s="78"/>
    </row>
    <row r="7" spans="1:13" ht="15.75" x14ac:dyDescent="0.25">
      <c r="A7" s="78" t="s">
        <v>16</v>
      </c>
      <c r="B7" s="78">
        <v>1000</v>
      </c>
      <c r="C7" s="10">
        <v>600</v>
      </c>
      <c r="D7" s="3"/>
      <c r="E7" s="7" t="s">
        <v>17</v>
      </c>
      <c r="F7" s="7">
        <v>1035</v>
      </c>
      <c r="G7" s="8">
        <v>790</v>
      </c>
      <c r="H7" s="8">
        <v>625</v>
      </c>
    </row>
    <row r="8" spans="1:13" ht="15.75" x14ac:dyDescent="0.25">
      <c r="A8" s="78" t="s">
        <v>18</v>
      </c>
      <c r="B8" s="78">
        <v>5500</v>
      </c>
      <c r="C8" s="10">
        <v>5500</v>
      </c>
      <c r="D8" s="3"/>
      <c r="E8" s="3"/>
      <c r="F8" s="3"/>
      <c r="G8" s="3"/>
      <c r="H8" s="3"/>
    </row>
    <row r="9" spans="1:13" ht="15.75" x14ac:dyDescent="0.25">
      <c r="A9" s="78" t="s">
        <v>19</v>
      </c>
      <c r="B9" s="78">
        <v>1000</v>
      </c>
      <c r="C9" s="10">
        <v>1000</v>
      </c>
      <c r="D9" s="3"/>
      <c r="E9" s="3"/>
      <c r="F9" s="3"/>
      <c r="G9" s="3"/>
      <c r="H9" s="3"/>
    </row>
    <row r="10" spans="1:13" ht="15.75" x14ac:dyDescent="0.25">
      <c r="A10" s="78" t="s">
        <v>20</v>
      </c>
      <c r="B10" s="78">
        <v>0</v>
      </c>
      <c r="C10" s="10">
        <v>0</v>
      </c>
      <c r="D10" s="3"/>
      <c r="E10" s="3"/>
      <c r="F10" s="3"/>
      <c r="G10" s="3"/>
      <c r="H10" s="3"/>
    </row>
    <row r="11" spans="1:13" ht="15.75" x14ac:dyDescent="0.25">
      <c r="A11" s="78" t="s">
        <v>21</v>
      </c>
      <c r="B11" s="78">
        <v>500</v>
      </c>
      <c r="C11" s="10">
        <v>0</v>
      </c>
      <c r="D11" s="3"/>
      <c r="E11" s="3"/>
      <c r="F11" s="3"/>
      <c r="G11" s="3"/>
      <c r="H11" s="3"/>
    </row>
    <row r="12" spans="1:13" ht="15.75" x14ac:dyDescent="0.25">
      <c r="A12" s="8" t="s">
        <v>17</v>
      </c>
      <c r="B12" s="8">
        <v>23142</v>
      </c>
      <c r="C12" s="11">
        <f>SUM(C2:C11)</f>
        <v>21672</v>
      </c>
      <c r="D12" s="3"/>
      <c r="E12" s="3"/>
      <c r="F12" s="3"/>
      <c r="G12" s="3"/>
      <c r="H12" s="3"/>
    </row>
    <row r="13" spans="1:13" ht="18.75" x14ac:dyDescent="0.3">
      <c r="A13" s="1" t="s">
        <v>22</v>
      </c>
      <c r="B13" s="1"/>
      <c r="C13" s="1"/>
      <c r="D13" s="1"/>
      <c r="E13" s="1"/>
      <c r="F13" s="1"/>
      <c r="G13" s="1"/>
      <c r="H13" s="1"/>
      <c r="I13" s="1"/>
      <c r="J13" s="1"/>
      <c r="K13" s="2"/>
      <c r="L13" s="2"/>
      <c r="M13" s="2"/>
    </row>
    <row r="15" spans="1:13" ht="15.75" x14ac:dyDescent="0.25">
      <c r="A15" s="9" t="s">
        <v>23</v>
      </c>
      <c r="B15" s="9" t="s">
        <v>3</v>
      </c>
      <c r="C15" s="9"/>
      <c r="E15" t="s">
        <v>24</v>
      </c>
      <c r="F15" s="9" t="s">
        <v>25</v>
      </c>
    </row>
    <row r="16" spans="1:13" ht="15.75" x14ac:dyDescent="0.25">
      <c r="A16" s="78" t="s">
        <v>7</v>
      </c>
      <c r="B16" s="78">
        <v>4555</v>
      </c>
      <c r="C16" s="10"/>
      <c r="E16">
        <f>B12/5</f>
        <v>4628.3999999999996</v>
      </c>
      <c r="F16">
        <f>C12/5</f>
        <v>4334.3999999999996</v>
      </c>
    </row>
    <row r="17" spans="1:3" ht="15.75" x14ac:dyDescent="0.25">
      <c r="A17" s="78" t="s">
        <v>9</v>
      </c>
      <c r="B17" s="78">
        <v>4820</v>
      </c>
      <c r="C17" s="10"/>
    </row>
    <row r="18" spans="1:3" ht="15.75" x14ac:dyDescent="0.25">
      <c r="A18" s="78" t="s">
        <v>11</v>
      </c>
      <c r="B18" s="78">
        <v>4080</v>
      </c>
      <c r="C18" s="10"/>
    </row>
    <row r="19" spans="1:3" ht="15.75" x14ac:dyDescent="0.25">
      <c r="A19" s="6" t="s">
        <v>13</v>
      </c>
      <c r="B19" s="78">
        <v>4930</v>
      </c>
      <c r="C19" s="10"/>
    </row>
    <row r="20" spans="1:3" ht="15.75" x14ac:dyDescent="0.25">
      <c r="A20" s="6" t="s">
        <v>15</v>
      </c>
      <c r="B20" s="78">
        <v>4930</v>
      </c>
      <c r="C20" s="10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D19" sqref="D19"/>
    </sheetView>
  </sheetViews>
  <sheetFormatPr defaultRowHeight="15" x14ac:dyDescent="0.25"/>
  <cols>
    <col min="1" max="1" width="24.28515625" bestFit="1" customWidth="1"/>
    <col min="2" max="2" width="11.7109375" bestFit="1" customWidth="1"/>
    <col min="3" max="3" width="22.42578125" bestFit="1" customWidth="1"/>
  </cols>
  <sheetData>
    <row r="1" spans="1:3" ht="15.75" x14ac:dyDescent="0.25">
      <c r="A1" s="77" t="s">
        <v>65</v>
      </c>
      <c r="B1" s="77" t="s">
        <v>1</v>
      </c>
      <c r="C1" s="77" t="s">
        <v>37</v>
      </c>
    </row>
    <row r="2" spans="1:3" ht="15.75" x14ac:dyDescent="0.25">
      <c r="A2" s="78" t="s">
        <v>6</v>
      </c>
      <c r="B2" s="78">
        <v>3500</v>
      </c>
      <c r="C2" s="17">
        <f>B2/5</f>
        <v>700</v>
      </c>
    </row>
    <row r="3" spans="1:3" ht="15.75" x14ac:dyDescent="0.25">
      <c r="A3" s="78" t="s">
        <v>8</v>
      </c>
      <c r="B3" s="78">
        <v>3000</v>
      </c>
      <c r="C3" s="17">
        <f t="shared" ref="C3:C12" si="0">B3/5</f>
        <v>600</v>
      </c>
    </row>
    <row r="4" spans="1:3" ht="15.75" x14ac:dyDescent="0.25">
      <c r="A4" s="78" t="s">
        <v>10</v>
      </c>
      <c r="B4" s="78">
        <v>800</v>
      </c>
      <c r="C4" s="17">
        <f t="shared" si="0"/>
        <v>160</v>
      </c>
    </row>
    <row r="5" spans="1:3" ht="15.75" x14ac:dyDescent="0.25">
      <c r="A5" s="78" t="s">
        <v>54</v>
      </c>
      <c r="B5" s="78">
        <v>750</v>
      </c>
      <c r="C5" s="17">
        <f t="shared" si="0"/>
        <v>150</v>
      </c>
    </row>
    <row r="6" spans="1:3" ht="15.75" x14ac:dyDescent="0.25">
      <c r="A6" s="78" t="s">
        <v>14</v>
      </c>
      <c r="B6" s="78">
        <v>8500</v>
      </c>
      <c r="C6" s="17">
        <f t="shared" si="0"/>
        <v>1700</v>
      </c>
    </row>
    <row r="7" spans="1:3" ht="15.75" x14ac:dyDescent="0.25">
      <c r="A7" s="78" t="s">
        <v>18</v>
      </c>
      <c r="B7" s="78">
        <v>5500</v>
      </c>
      <c r="C7" s="17">
        <f t="shared" si="0"/>
        <v>1100</v>
      </c>
    </row>
    <row r="8" spans="1:3" ht="15.75" x14ac:dyDescent="0.25">
      <c r="A8" s="78" t="s">
        <v>19</v>
      </c>
      <c r="B8" s="78">
        <v>800</v>
      </c>
      <c r="C8" s="17">
        <f t="shared" si="0"/>
        <v>160</v>
      </c>
    </row>
    <row r="9" spans="1:3" ht="15.75" x14ac:dyDescent="0.25">
      <c r="A9" s="78" t="s">
        <v>20</v>
      </c>
      <c r="B9" s="78">
        <v>1800</v>
      </c>
      <c r="C9" s="17">
        <f t="shared" si="0"/>
        <v>360</v>
      </c>
    </row>
    <row r="10" spans="1:3" ht="15.75" x14ac:dyDescent="0.25">
      <c r="A10" s="78" t="s">
        <v>16</v>
      </c>
      <c r="B10" s="78">
        <v>640</v>
      </c>
      <c r="C10" s="17">
        <f t="shared" si="0"/>
        <v>128</v>
      </c>
    </row>
    <row r="11" spans="1:3" ht="15.75" x14ac:dyDescent="0.25">
      <c r="A11" s="78" t="s">
        <v>39</v>
      </c>
      <c r="B11" s="78">
        <v>1000</v>
      </c>
      <c r="C11" s="17">
        <f t="shared" si="0"/>
        <v>200</v>
      </c>
    </row>
    <row r="12" spans="1:3" ht="15.75" x14ac:dyDescent="0.25">
      <c r="A12" s="78" t="s">
        <v>40</v>
      </c>
      <c r="B12" s="78">
        <v>500</v>
      </c>
      <c r="C12" s="17">
        <f t="shared" si="0"/>
        <v>100</v>
      </c>
    </row>
    <row r="13" spans="1:3" ht="15.75" x14ac:dyDescent="0.25">
      <c r="A13" s="8" t="s">
        <v>17</v>
      </c>
      <c r="B13" s="8">
        <f>SUM(B2:B12)</f>
        <v>26790</v>
      </c>
      <c r="C13" s="17">
        <f>SUM(C2:C12)</f>
        <v>5358</v>
      </c>
    </row>
    <row r="17" spans="1:2" ht="15.75" x14ac:dyDescent="0.25">
      <c r="A17" s="9" t="s">
        <v>23</v>
      </c>
      <c r="B17" s="9" t="s">
        <v>3</v>
      </c>
    </row>
    <row r="18" spans="1:2" ht="15.75" x14ac:dyDescent="0.25">
      <c r="A18" s="78" t="s">
        <v>9</v>
      </c>
      <c r="B18" s="78">
        <v>5400</v>
      </c>
    </row>
    <row r="19" spans="1:2" ht="15.75" x14ac:dyDescent="0.25">
      <c r="A19" s="78" t="s">
        <v>11</v>
      </c>
      <c r="B19" s="78">
        <v>5400</v>
      </c>
    </row>
    <row r="20" spans="1:2" ht="15.75" x14ac:dyDescent="0.25">
      <c r="A20" s="6" t="s">
        <v>30</v>
      </c>
      <c r="B20" s="78">
        <v>5400</v>
      </c>
    </row>
    <row r="21" spans="1:2" ht="15.75" x14ac:dyDescent="0.25">
      <c r="A21" s="6" t="s">
        <v>15</v>
      </c>
      <c r="B21" s="78">
        <v>5400</v>
      </c>
    </row>
    <row r="22" spans="1:2" ht="15.75" x14ac:dyDescent="0.25">
      <c r="A22" s="6" t="s">
        <v>46</v>
      </c>
      <c r="B22" s="78">
        <v>5400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90" zoomScaleNormal="90" workbookViewId="0">
      <selection activeCell="D15" sqref="D15"/>
    </sheetView>
  </sheetViews>
  <sheetFormatPr defaultRowHeight="15" x14ac:dyDescent="0.25"/>
  <cols>
    <col min="1" max="1" width="24.28515625" bestFit="1" customWidth="1"/>
    <col min="2" max="2" width="11.7109375" bestFit="1" customWidth="1"/>
    <col min="3" max="3" width="22.42578125" bestFit="1" customWidth="1"/>
  </cols>
  <sheetData>
    <row r="1" spans="1:8" ht="15.75" x14ac:dyDescent="0.25">
      <c r="A1" s="77" t="s">
        <v>65</v>
      </c>
      <c r="B1" s="77" t="s">
        <v>1</v>
      </c>
      <c r="C1" s="77" t="s">
        <v>37</v>
      </c>
    </row>
    <row r="2" spans="1:8" ht="15.75" x14ac:dyDescent="0.25">
      <c r="A2" s="78" t="s">
        <v>6</v>
      </c>
      <c r="B2" s="78">
        <v>3500</v>
      </c>
      <c r="C2" s="17">
        <f>B2/5</f>
        <v>700</v>
      </c>
    </row>
    <row r="3" spans="1:8" ht="15.75" x14ac:dyDescent="0.25">
      <c r="A3" s="78" t="s">
        <v>73</v>
      </c>
      <c r="B3" s="78">
        <v>500</v>
      </c>
      <c r="C3" s="17">
        <f t="shared" ref="C3:C8" si="0">B3/5</f>
        <v>100</v>
      </c>
      <c r="H3">
        <v>1000</v>
      </c>
    </row>
    <row r="4" spans="1:8" ht="15.75" x14ac:dyDescent="0.25">
      <c r="A4" s="78" t="s">
        <v>8</v>
      </c>
      <c r="B4" s="78">
        <v>2000</v>
      </c>
      <c r="C4" s="17">
        <f t="shared" si="0"/>
        <v>400</v>
      </c>
    </row>
    <row r="5" spans="1:8" ht="15.75" x14ac:dyDescent="0.25">
      <c r="A5" s="78" t="s">
        <v>10</v>
      </c>
      <c r="B5" s="78">
        <v>800</v>
      </c>
      <c r="C5" s="17">
        <f t="shared" si="0"/>
        <v>160</v>
      </c>
    </row>
    <row r="6" spans="1:8" ht="15.75" x14ac:dyDescent="0.25">
      <c r="A6" s="78" t="s">
        <v>54</v>
      </c>
      <c r="B6" s="78">
        <v>750</v>
      </c>
      <c r="C6" s="17">
        <f t="shared" si="0"/>
        <v>150</v>
      </c>
    </row>
    <row r="7" spans="1:8" ht="15.75" x14ac:dyDescent="0.25">
      <c r="A7" s="78" t="s">
        <v>14</v>
      </c>
      <c r="B7" s="78">
        <v>8500</v>
      </c>
      <c r="C7" s="17">
        <f t="shared" si="0"/>
        <v>1700</v>
      </c>
    </row>
    <row r="8" spans="1:8" ht="15.75" x14ac:dyDescent="0.25">
      <c r="A8" s="78" t="s">
        <v>18</v>
      </c>
      <c r="B8" s="78">
        <v>5500</v>
      </c>
      <c r="C8" s="17">
        <f t="shared" si="0"/>
        <v>1100</v>
      </c>
    </row>
    <row r="9" spans="1:8" ht="15.75" x14ac:dyDescent="0.25">
      <c r="A9" s="78" t="s">
        <v>19</v>
      </c>
      <c r="B9" s="78">
        <v>800</v>
      </c>
      <c r="C9" s="17">
        <f t="shared" ref="C9:C15" si="1">B9/5</f>
        <v>160</v>
      </c>
    </row>
    <row r="10" spans="1:8" ht="15.75" x14ac:dyDescent="0.25">
      <c r="A10" s="78" t="s">
        <v>74</v>
      </c>
      <c r="B10" s="78">
        <v>110</v>
      </c>
      <c r="C10" s="17">
        <f t="shared" si="1"/>
        <v>22</v>
      </c>
    </row>
    <row r="11" spans="1:8" ht="15.75" x14ac:dyDescent="0.25">
      <c r="A11" s="78" t="s">
        <v>20</v>
      </c>
      <c r="B11" s="78">
        <v>1800</v>
      </c>
      <c r="C11" s="17">
        <f t="shared" si="1"/>
        <v>360</v>
      </c>
    </row>
    <row r="12" spans="1:8" ht="15.75" x14ac:dyDescent="0.25">
      <c r="A12" s="78" t="s">
        <v>75</v>
      </c>
      <c r="B12" s="78">
        <v>650</v>
      </c>
      <c r="C12" s="17">
        <f t="shared" si="1"/>
        <v>130</v>
      </c>
    </row>
    <row r="13" spans="1:8" ht="15.75" x14ac:dyDescent="0.25">
      <c r="A13" s="78" t="s">
        <v>16</v>
      </c>
      <c r="B13" s="78">
        <v>640</v>
      </c>
      <c r="C13" s="17">
        <f t="shared" si="1"/>
        <v>128</v>
      </c>
    </row>
    <row r="14" spans="1:8" ht="15.75" x14ac:dyDescent="0.25">
      <c r="A14" s="78" t="s">
        <v>39</v>
      </c>
      <c r="B14" s="78">
        <v>1000</v>
      </c>
      <c r="C14" s="17">
        <f t="shared" si="1"/>
        <v>200</v>
      </c>
    </row>
    <row r="15" spans="1:8" ht="15.75" x14ac:dyDescent="0.25">
      <c r="A15" s="78" t="s">
        <v>40</v>
      </c>
      <c r="B15" s="78">
        <v>500</v>
      </c>
      <c r="C15" s="17">
        <f t="shared" si="1"/>
        <v>100</v>
      </c>
    </row>
    <row r="16" spans="1:8" ht="15.75" x14ac:dyDescent="0.25">
      <c r="A16" s="8" t="s">
        <v>17</v>
      </c>
      <c r="B16" s="8">
        <f>SUM(B2:B15)</f>
        <v>27050</v>
      </c>
      <c r="C16" s="17">
        <f>SUM(C2:C15)</f>
        <v>5410</v>
      </c>
    </row>
    <row r="20" spans="1:2" ht="15.75" x14ac:dyDescent="0.25">
      <c r="A20" s="9" t="s">
        <v>23</v>
      </c>
      <c r="B20" s="9" t="s">
        <v>3</v>
      </c>
    </row>
    <row r="21" spans="1:2" ht="15.75" x14ac:dyDescent="0.25">
      <c r="A21" s="78" t="s">
        <v>9</v>
      </c>
      <c r="B21" s="78">
        <v>5400</v>
      </c>
    </row>
    <row r="22" spans="1:2" ht="15.75" x14ac:dyDescent="0.25">
      <c r="A22" s="78" t="s">
        <v>11</v>
      </c>
      <c r="B22" s="78">
        <v>5400</v>
      </c>
    </row>
    <row r="23" spans="1:2" ht="15.75" x14ac:dyDescent="0.25">
      <c r="A23" s="6" t="s">
        <v>30</v>
      </c>
      <c r="B23" s="78">
        <v>5400</v>
      </c>
    </row>
    <row r="24" spans="1:2" ht="15.75" x14ac:dyDescent="0.25">
      <c r="A24" s="6" t="s">
        <v>15</v>
      </c>
      <c r="B24" s="78">
        <v>5400</v>
      </c>
    </row>
    <row r="25" spans="1:2" ht="15.75" x14ac:dyDescent="0.25">
      <c r="A25" s="6" t="s">
        <v>46</v>
      </c>
      <c r="B25" s="78">
        <v>5400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C14" sqref="C14"/>
    </sheetView>
  </sheetViews>
  <sheetFormatPr defaultRowHeight="15" x14ac:dyDescent="0.25"/>
  <cols>
    <col min="1" max="1" width="23.5703125" style="33" bestFit="1" customWidth="1"/>
    <col min="2" max="2" width="11.140625" style="33" bestFit="1" customWidth="1"/>
    <col min="3" max="3" width="11.140625" style="33" customWidth="1"/>
    <col min="4" max="4" width="9.140625" style="33"/>
    <col min="5" max="5" width="10" style="33" customWidth="1"/>
    <col min="6" max="16384" width="9.140625" style="33"/>
  </cols>
  <sheetData>
    <row r="1" spans="1:11" x14ac:dyDescent="0.25">
      <c r="A1" s="31">
        <v>42491</v>
      </c>
      <c r="B1" s="32" t="s">
        <v>76</v>
      </c>
      <c r="C1" s="32"/>
    </row>
    <row r="2" spans="1:11" x14ac:dyDescent="0.25">
      <c r="A2" s="33" t="s">
        <v>77</v>
      </c>
      <c r="B2" s="33">
        <v>-2000</v>
      </c>
    </row>
    <row r="3" spans="1:11" x14ac:dyDescent="0.25">
      <c r="A3" s="33" t="s">
        <v>78</v>
      </c>
      <c r="B3" s="33">
        <v>2638</v>
      </c>
    </row>
    <row r="4" spans="1:11" x14ac:dyDescent="0.25">
      <c r="A4" s="33" t="s">
        <v>6</v>
      </c>
      <c r="B4" s="33">
        <v>3000</v>
      </c>
    </row>
    <row r="5" spans="1:11" x14ac:dyDescent="0.25">
      <c r="A5" s="33" t="s">
        <v>73</v>
      </c>
      <c r="B5" s="33">
        <v>500</v>
      </c>
    </row>
    <row r="6" spans="1:11" x14ac:dyDescent="0.25">
      <c r="A6" s="33" t="s">
        <v>8</v>
      </c>
      <c r="B6" s="33">
        <v>2000</v>
      </c>
      <c r="J6" s="33">
        <f>B3+B9+B10+B11+B12+B14+B15</f>
        <v>19980</v>
      </c>
      <c r="K6" s="33">
        <f>B4+B5+B6+B7+B8+B13+B16</f>
        <v>8125</v>
      </c>
    </row>
    <row r="7" spans="1:11" x14ac:dyDescent="0.25">
      <c r="A7" s="33" t="s">
        <v>10</v>
      </c>
      <c r="B7" s="33">
        <v>800</v>
      </c>
      <c r="J7" s="33">
        <f>J6/5</f>
        <v>3996</v>
      </c>
      <c r="K7" s="33">
        <f>K6/4</f>
        <v>2031.25</v>
      </c>
    </row>
    <row r="8" spans="1:11" ht="15" customHeight="1" x14ac:dyDescent="0.25">
      <c r="A8" s="33" t="s">
        <v>63</v>
      </c>
      <c r="B8" s="33">
        <v>825</v>
      </c>
    </row>
    <row r="9" spans="1:11" ht="15" customHeight="1" x14ac:dyDescent="0.25">
      <c r="A9" s="33" t="s">
        <v>14</v>
      </c>
      <c r="B9" s="33">
        <v>8500</v>
      </c>
    </row>
    <row r="10" spans="1:11" ht="15" customHeight="1" x14ac:dyDescent="0.25">
      <c r="A10" s="33" t="s">
        <v>79</v>
      </c>
      <c r="B10" s="33">
        <v>5500</v>
      </c>
    </row>
    <row r="11" spans="1:11" x14ac:dyDescent="0.25">
      <c r="A11" s="33" t="s">
        <v>20</v>
      </c>
      <c r="B11" s="33">
        <v>1832</v>
      </c>
    </row>
    <row r="12" spans="1:11" x14ac:dyDescent="0.25">
      <c r="A12" s="33" t="s">
        <v>80</v>
      </c>
      <c r="B12" s="33">
        <v>800</v>
      </c>
      <c r="J12" s="33">
        <f>J7+K7</f>
        <v>6027.25</v>
      </c>
    </row>
    <row r="13" spans="1:11" x14ac:dyDescent="0.25">
      <c r="A13" s="33" t="s">
        <v>40</v>
      </c>
      <c r="B13" s="33">
        <v>1000</v>
      </c>
      <c r="I13" s="33" t="s">
        <v>15</v>
      </c>
      <c r="J13" s="33">
        <f>J12-K7</f>
        <v>3996</v>
      </c>
    </row>
    <row r="14" spans="1:11" x14ac:dyDescent="0.25">
      <c r="A14" s="33" t="s">
        <v>81</v>
      </c>
      <c r="B14" s="33">
        <v>110</v>
      </c>
    </row>
    <row r="15" spans="1:11" x14ac:dyDescent="0.25">
      <c r="A15" s="33" t="s">
        <v>16</v>
      </c>
      <c r="B15" s="33">
        <v>600</v>
      </c>
    </row>
    <row r="17" spans="1:7" x14ac:dyDescent="0.25">
      <c r="E17" s="100"/>
      <c r="F17" s="100"/>
      <c r="G17" s="100"/>
    </row>
    <row r="18" spans="1:7" x14ac:dyDescent="0.25">
      <c r="A18" s="34" t="s">
        <v>17</v>
      </c>
      <c r="B18" s="34">
        <f>SUM(B2:B16)</f>
        <v>26105</v>
      </c>
      <c r="C18" s="34"/>
    </row>
    <row r="21" spans="1:7" x14ac:dyDescent="0.25">
      <c r="A21" s="84" t="s">
        <v>82</v>
      </c>
      <c r="B21" s="84" t="s">
        <v>3</v>
      </c>
      <c r="C21" s="84"/>
    </row>
    <row r="22" spans="1:7" x14ac:dyDescent="0.25">
      <c r="A22" s="33" t="s">
        <v>9</v>
      </c>
      <c r="B22" s="33">
        <v>6000</v>
      </c>
    </row>
    <row r="23" spans="1:7" x14ac:dyDescent="0.25">
      <c r="A23" s="33" t="s">
        <v>30</v>
      </c>
      <c r="B23" s="33">
        <v>6000</v>
      </c>
    </row>
    <row r="24" spans="1:7" x14ac:dyDescent="0.25">
      <c r="A24" s="33" t="s">
        <v>46</v>
      </c>
      <c r="B24" s="33">
        <v>6000</v>
      </c>
    </row>
    <row r="25" spans="1:7" x14ac:dyDescent="0.25">
      <c r="A25" s="33" t="s">
        <v>15</v>
      </c>
      <c r="B25" s="33">
        <v>4000</v>
      </c>
    </row>
    <row r="26" spans="1:7" x14ac:dyDescent="0.25">
      <c r="A26" s="33" t="s">
        <v>11</v>
      </c>
      <c r="B26" s="33">
        <v>6000</v>
      </c>
    </row>
  </sheetData>
  <mergeCells count="1">
    <mergeCell ref="E17:G1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7" workbookViewId="0">
      <selection activeCell="J13" sqref="J13"/>
    </sheetView>
  </sheetViews>
  <sheetFormatPr defaultRowHeight="15" x14ac:dyDescent="0.25"/>
  <cols>
    <col min="1" max="1" width="23.5703125" style="33" bestFit="1" customWidth="1"/>
    <col min="2" max="2" width="11.140625" style="33" bestFit="1" customWidth="1"/>
    <col min="3" max="3" width="11.140625" style="33" customWidth="1"/>
    <col min="4" max="4" width="9.140625" style="33"/>
    <col min="5" max="5" width="11.5703125" style="33" customWidth="1"/>
    <col min="6" max="16384" width="9.140625" style="33"/>
  </cols>
  <sheetData>
    <row r="1" spans="1:11" x14ac:dyDescent="0.25">
      <c r="A1" s="31">
        <v>42522</v>
      </c>
      <c r="B1" s="32" t="s">
        <v>76</v>
      </c>
      <c r="C1" s="32"/>
    </row>
    <row r="2" spans="1:11" x14ac:dyDescent="0.25">
      <c r="A2" s="33" t="s">
        <v>78</v>
      </c>
      <c r="B2" s="33">
        <v>2000</v>
      </c>
    </row>
    <row r="3" spans="1:11" x14ac:dyDescent="0.25">
      <c r="A3" s="33" t="s">
        <v>6</v>
      </c>
      <c r="B3" s="33">
        <v>2500</v>
      </c>
    </row>
    <row r="4" spans="1:11" x14ac:dyDescent="0.25">
      <c r="A4" s="33" t="s">
        <v>73</v>
      </c>
      <c r="B4" s="33">
        <v>500</v>
      </c>
    </row>
    <row r="5" spans="1:11" x14ac:dyDescent="0.25">
      <c r="A5" s="33" t="s">
        <v>8</v>
      </c>
      <c r="B5" s="33">
        <v>2000</v>
      </c>
      <c r="E5" s="33">
        <f>B8+B11</f>
        <v>9300</v>
      </c>
      <c r="F5" s="33">
        <f>B3+B4+B5+B6+B7+B12+B13+B10+B9+B2</f>
        <v>16567</v>
      </c>
      <c r="J5" s="33">
        <f>B8+B11</f>
        <v>9300</v>
      </c>
      <c r="K5" s="33">
        <f>B3+B4+B5+B6+B7+B12+B13+B10+B9+B2</f>
        <v>16567</v>
      </c>
    </row>
    <row r="6" spans="1:11" x14ac:dyDescent="0.25">
      <c r="A6" s="33" t="s">
        <v>10</v>
      </c>
      <c r="B6" s="33">
        <v>800</v>
      </c>
      <c r="E6" s="33">
        <f>E5/5</f>
        <v>1860</v>
      </c>
      <c r="F6" s="33">
        <f>F5/4</f>
        <v>4141.75</v>
      </c>
      <c r="J6" s="33">
        <f>J5/5</f>
        <v>1860</v>
      </c>
      <c r="K6" s="33">
        <f>K5/4</f>
        <v>4141.75</v>
      </c>
    </row>
    <row r="7" spans="1:11" ht="15" customHeight="1" x14ac:dyDescent="0.25">
      <c r="A7" s="33" t="s">
        <v>63</v>
      </c>
      <c r="B7" s="33">
        <v>825</v>
      </c>
    </row>
    <row r="8" spans="1:11" ht="15" customHeight="1" x14ac:dyDescent="0.25">
      <c r="A8" s="33" t="s">
        <v>14</v>
      </c>
      <c r="B8" s="33">
        <v>8500</v>
      </c>
    </row>
    <row r="9" spans="1:11" ht="15" customHeight="1" x14ac:dyDescent="0.25">
      <c r="A9" s="33" t="s">
        <v>79</v>
      </c>
      <c r="B9" s="33">
        <v>5000</v>
      </c>
      <c r="D9" s="33" t="s">
        <v>15</v>
      </c>
      <c r="E9" s="33">
        <f>E6</f>
        <v>1860</v>
      </c>
    </row>
    <row r="10" spans="1:11" x14ac:dyDescent="0.25">
      <c r="A10" s="33" t="s">
        <v>20</v>
      </c>
      <c r="B10" s="33">
        <v>1832</v>
      </c>
      <c r="D10" s="33" t="s">
        <v>83</v>
      </c>
      <c r="E10" s="33">
        <f>E6+F6</f>
        <v>6001.75</v>
      </c>
    </row>
    <row r="11" spans="1:11" x14ac:dyDescent="0.25">
      <c r="A11" s="33" t="s">
        <v>80</v>
      </c>
      <c r="B11" s="33">
        <v>800</v>
      </c>
      <c r="J11" s="33">
        <f>J6+K6</f>
        <v>6001.75</v>
      </c>
    </row>
    <row r="12" spans="1:11" x14ac:dyDescent="0.25">
      <c r="A12" s="33" t="s">
        <v>40</v>
      </c>
      <c r="B12" s="33">
        <v>1000</v>
      </c>
      <c r="I12" s="33" t="s">
        <v>15</v>
      </c>
      <c r="J12" s="33">
        <f>J11-K6</f>
        <v>1860</v>
      </c>
    </row>
    <row r="13" spans="1:11" x14ac:dyDescent="0.25">
      <c r="A13" s="33" t="s">
        <v>84</v>
      </c>
      <c r="B13" s="33">
        <v>110</v>
      </c>
    </row>
    <row r="17" spans="1:3" x14ac:dyDescent="0.25">
      <c r="A17" s="34" t="s">
        <v>17</v>
      </c>
      <c r="B17" s="34">
        <f>SUM(B2:B15)</f>
        <v>25867</v>
      </c>
      <c r="C17" s="34"/>
    </row>
    <row r="20" spans="1:3" x14ac:dyDescent="0.25">
      <c r="A20" s="84" t="s">
        <v>82</v>
      </c>
      <c r="B20" s="84" t="s">
        <v>3</v>
      </c>
      <c r="C20" s="84"/>
    </row>
    <row r="21" spans="1:3" x14ac:dyDescent="0.25">
      <c r="A21" s="33" t="s">
        <v>9</v>
      </c>
      <c r="B21" s="33">
        <v>6000</v>
      </c>
    </row>
    <row r="22" spans="1:3" x14ac:dyDescent="0.25">
      <c r="A22" s="33" t="s">
        <v>30</v>
      </c>
      <c r="B22" s="33">
        <v>6000</v>
      </c>
    </row>
    <row r="23" spans="1:3" x14ac:dyDescent="0.25">
      <c r="A23" s="33" t="s">
        <v>46</v>
      </c>
      <c r="B23" s="33">
        <v>6000</v>
      </c>
    </row>
    <row r="24" spans="1:3" x14ac:dyDescent="0.25">
      <c r="A24" s="33" t="s">
        <v>15</v>
      </c>
      <c r="B24" s="33">
        <v>1900</v>
      </c>
    </row>
    <row r="25" spans="1:3" x14ac:dyDescent="0.25">
      <c r="A25" s="33" t="s">
        <v>11</v>
      </c>
      <c r="B25" s="33">
        <v>6000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21" sqref="G21"/>
    </sheetView>
  </sheetViews>
  <sheetFormatPr defaultRowHeight="15" x14ac:dyDescent="0.25"/>
  <cols>
    <col min="1" max="1" width="23.5703125" style="33" bestFit="1" customWidth="1"/>
    <col min="2" max="2" width="8.42578125" style="33" bestFit="1" customWidth="1"/>
    <col min="3" max="16384" width="9.140625" style="33"/>
  </cols>
  <sheetData>
    <row r="1" spans="1:9" x14ac:dyDescent="0.25">
      <c r="A1" s="31">
        <v>42522</v>
      </c>
      <c r="B1" s="32" t="s">
        <v>76</v>
      </c>
      <c r="C1" s="32"/>
    </row>
    <row r="2" spans="1:9" x14ac:dyDescent="0.25">
      <c r="A2" s="33" t="s">
        <v>78</v>
      </c>
      <c r="B2" s="33">
        <f>6982-4000</f>
        <v>2982</v>
      </c>
      <c r="H2" s="33">
        <f>B2/4</f>
        <v>745.5</v>
      </c>
      <c r="I2" s="33">
        <v>4</v>
      </c>
    </row>
    <row r="3" spans="1:9" x14ac:dyDescent="0.25">
      <c r="A3" s="33" t="s">
        <v>6</v>
      </c>
      <c r="B3" s="33">
        <v>2000</v>
      </c>
      <c r="D3" s="101" t="s">
        <v>85</v>
      </c>
      <c r="E3" s="101"/>
      <c r="F3" s="101"/>
      <c r="H3" s="33">
        <f>B3/3</f>
        <v>666.66666666666663</v>
      </c>
      <c r="I3" s="33">
        <v>3</v>
      </c>
    </row>
    <row r="4" spans="1:9" x14ac:dyDescent="0.25">
      <c r="A4" s="33" t="s">
        <v>8</v>
      </c>
      <c r="B4" s="33">
        <v>1500</v>
      </c>
      <c r="E4" s="33">
        <f>B7+B10</f>
        <v>9100</v>
      </c>
      <c r="F4" s="33">
        <f>B3+B4+B5+B6+B11+B12+B9+B8+B2+B13+B14</f>
        <v>16619</v>
      </c>
      <c r="H4" s="33">
        <f>B4/3</f>
        <v>500</v>
      </c>
      <c r="I4" s="33">
        <v>3</v>
      </c>
    </row>
    <row r="5" spans="1:9" x14ac:dyDescent="0.25">
      <c r="A5" s="33" t="s">
        <v>10</v>
      </c>
      <c r="B5" s="33">
        <v>600</v>
      </c>
      <c r="E5" s="33">
        <f>E4/5</f>
        <v>1820</v>
      </c>
      <c r="F5" s="33">
        <f>F4/4</f>
        <v>4154.75</v>
      </c>
      <c r="H5" s="33">
        <f t="shared" ref="H5:H11" si="0">B5/3</f>
        <v>200</v>
      </c>
      <c r="I5" s="33">
        <v>3</v>
      </c>
    </row>
    <row r="6" spans="1:9" x14ac:dyDescent="0.25">
      <c r="A6" s="33" t="s">
        <v>86</v>
      </c>
      <c r="B6" s="33">
        <f>15*33</f>
        <v>495</v>
      </c>
      <c r="H6" s="33">
        <f t="shared" si="0"/>
        <v>165</v>
      </c>
      <c r="I6" s="33">
        <v>3</v>
      </c>
    </row>
    <row r="7" spans="1:9" x14ac:dyDescent="0.25">
      <c r="A7" s="33" t="s">
        <v>14</v>
      </c>
      <c r="B7" s="33">
        <v>8500</v>
      </c>
      <c r="H7" s="33">
        <f>B7/4</f>
        <v>2125</v>
      </c>
      <c r="I7" s="33">
        <v>4</v>
      </c>
    </row>
    <row r="8" spans="1:9" x14ac:dyDescent="0.25">
      <c r="A8" s="33" t="s">
        <v>79</v>
      </c>
      <c r="B8" s="33">
        <v>5500</v>
      </c>
      <c r="D8" s="33" t="s">
        <v>15</v>
      </c>
      <c r="E8" s="33">
        <f>E5</f>
        <v>1820</v>
      </c>
      <c r="H8" s="33">
        <f>B8/4</f>
        <v>1375</v>
      </c>
      <c r="I8" s="33">
        <v>4</v>
      </c>
    </row>
    <row r="9" spans="1:9" x14ac:dyDescent="0.25">
      <c r="A9" s="33" t="s">
        <v>20</v>
      </c>
      <c r="B9" s="33">
        <v>1832</v>
      </c>
      <c r="D9" s="33" t="s">
        <v>83</v>
      </c>
      <c r="E9" s="33">
        <f>E5+F5</f>
        <v>5974.75</v>
      </c>
      <c r="H9" s="33">
        <f>B9/4</f>
        <v>458</v>
      </c>
      <c r="I9" s="33">
        <v>4</v>
      </c>
    </row>
    <row r="10" spans="1:9" x14ac:dyDescent="0.25">
      <c r="A10" s="33" t="s">
        <v>80</v>
      </c>
      <c r="B10" s="33">
        <v>600</v>
      </c>
      <c r="H10" s="33">
        <f t="shared" si="0"/>
        <v>200</v>
      </c>
      <c r="I10" s="33">
        <v>3</v>
      </c>
    </row>
    <row r="11" spans="1:9" x14ac:dyDescent="0.25">
      <c r="A11" s="33" t="s">
        <v>40</v>
      </c>
      <c r="B11" s="33">
        <v>1000</v>
      </c>
      <c r="H11" s="33">
        <f t="shared" si="0"/>
        <v>333.33333333333331</v>
      </c>
      <c r="I11" s="33">
        <v>3</v>
      </c>
    </row>
    <row r="12" spans="1:9" x14ac:dyDescent="0.25">
      <c r="A12" s="33" t="s">
        <v>84</v>
      </c>
      <c r="B12" s="33">
        <v>110</v>
      </c>
      <c r="H12" s="33">
        <f>B12/4</f>
        <v>27.5</v>
      </c>
      <c r="I12" s="33">
        <v>3</v>
      </c>
    </row>
    <row r="13" spans="1:9" x14ac:dyDescent="0.25">
      <c r="A13" s="33" t="s">
        <v>16</v>
      </c>
      <c r="B13" s="33">
        <v>600</v>
      </c>
      <c r="D13" s="102" t="s">
        <v>87</v>
      </c>
      <c r="E13" s="102"/>
      <c r="F13" s="102"/>
      <c r="H13" s="33">
        <f>B13/3</f>
        <v>200</v>
      </c>
      <c r="I13" s="33">
        <v>3</v>
      </c>
    </row>
    <row r="14" spans="1:9" x14ac:dyDescent="0.25">
      <c r="D14" s="33">
        <f>B7+B10</f>
        <v>9100</v>
      </c>
      <c r="E14" s="33">
        <f>B2+B8+B9+B12</f>
        <v>10424</v>
      </c>
      <c r="F14" s="33">
        <f>B3+B4+B5+B6+B11+B13</f>
        <v>6195</v>
      </c>
    </row>
    <row r="15" spans="1:9" x14ac:dyDescent="0.25">
      <c r="D15" s="33">
        <f>D14/5</f>
        <v>1820</v>
      </c>
      <c r="E15" s="33">
        <f>E14/4</f>
        <v>2606</v>
      </c>
      <c r="F15" s="33">
        <f>F14/3</f>
        <v>2065</v>
      </c>
      <c r="H15" s="33">
        <f>-1820/4</f>
        <v>-455</v>
      </c>
    </row>
    <row r="16" spans="1:9" x14ac:dyDescent="0.25">
      <c r="A16" s="34" t="s">
        <v>17</v>
      </c>
      <c r="B16" s="34">
        <f>SUM(B2:B14)</f>
        <v>25719</v>
      </c>
      <c r="C16" s="34"/>
    </row>
    <row r="19" spans="1:3" x14ac:dyDescent="0.25">
      <c r="A19" s="84" t="s">
        <v>82</v>
      </c>
      <c r="B19" s="84" t="s">
        <v>3</v>
      </c>
      <c r="C19" s="84"/>
    </row>
    <row r="20" spans="1:3" x14ac:dyDescent="0.25">
      <c r="A20" s="33" t="s">
        <v>9</v>
      </c>
      <c r="B20" s="33">
        <v>6500</v>
      </c>
    </row>
    <row r="21" spans="1:3" x14ac:dyDescent="0.25">
      <c r="A21" s="33" t="s">
        <v>30</v>
      </c>
      <c r="B21" s="33">
        <v>6500</v>
      </c>
    </row>
    <row r="22" spans="1:3" x14ac:dyDescent="0.25">
      <c r="A22" s="33" t="s">
        <v>46</v>
      </c>
      <c r="B22" s="33">
        <v>4700</v>
      </c>
    </row>
    <row r="23" spans="1:3" x14ac:dyDescent="0.25">
      <c r="A23" s="33" t="s">
        <v>15</v>
      </c>
      <c r="B23" s="33">
        <f>D15</f>
        <v>1820</v>
      </c>
    </row>
    <row r="24" spans="1:3" x14ac:dyDescent="0.25">
      <c r="A24" s="33" t="s">
        <v>11</v>
      </c>
      <c r="B24" s="33">
        <v>6500</v>
      </c>
    </row>
  </sheetData>
  <mergeCells count="2">
    <mergeCell ref="D3:F3"/>
    <mergeCell ref="D13:F1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3" workbookViewId="0">
      <selection activeCell="J18" sqref="J18"/>
    </sheetView>
  </sheetViews>
  <sheetFormatPr defaultRowHeight="15" x14ac:dyDescent="0.25"/>
  <cols>
    <col min="1" max="1" width="23.5703125" style="33" bestFit="1" customWidth="1"/>
    <col min="2" max="2" width="8.42578125" style="33" bestFit="1" customWidth="1"/>
    <col min="3" max="16384" width="9.140625" style="33"/>
  </cols>
  <sheetData>
    <row r="1" spans="1:9" x14ac:dyDescent="0.25">
      <c r="A1" s="31">
        <v>42522</v>
      </c>
      <c r="B1" s="32" t="s">
        <v>76</v>
      </c>
      <c r="C1" s="32"/>
    </row>
    <row r="2" spans="1:9" x14ac:dyDescent="0.25">
      <c r="A2" s="33" t="s">
        <v>78</v>
      </c>
      <c r="B2" s="33">
        <v>1000</v>
      </c>
      <c r="H2" s="33">
        <f>B2/4</f>
        <v>250</v>
      </c>
      <c r="I2" s="33">
        <v>4</v>
      </c>
    </row>
    <row r="3" spans="1:9" x14ac:dyDescent="0.25">
      <c r="A3" s="33" t="s">
        <v>6</v>
      </c>
      <c r="B3" s="33">
        <v>1000</v>
      </c>
      <c r="H3" s="33">
        <f>B3/2</f>
        <v>500</v>
      </c>
      <c r="I3" s="33">
        <v>2</v>
      </c>
    </row>
    <row r="4" spans="1:9" x14ac:dyDescent="0.25">
      <c r="A4" s="33" t="s">
        <v>8</v>
      </c>
      <c r="B4" s="33">
        <v>1000</v>
      </c>
      <c r="H4" s="33">
        <f>B4/2</f>
        <v>500</v>
      </c>
      <c r="I4" s="33">
        <v>2</v>
      </c>
    </row>
    <row r="5" spans="1:9" x14ac:dyDescent="0.25">
      <c r="A5" s="33" t="s">
        <v>88</v>
      </c>
      <c r="B5" s="33">
        <f>20*25</f>
        <v>500</v>
      </c>
      <c r="H5" s="33">
        <f>B5/3</f>
        <v>166.66666666666666</v>
      </c>
      <c r="I5" s="33">
        <v>3</v>
      </c>
    </row>
    <row r="6" spans="1:9" x14ac:dyDescent="0.25">
      <c r="A6" s="33" t="s">
        <v>86</v>
      </c>
      <c r="B6" s="33">
        <v>300</v>
      </c>
      <c r="H6" s="33">
        <f>B6/2</f>
        <v>150</v>
      </c>
      <c r="I6" s="33">
        <v>2</v>
      </c>
    </row>
    <row r="7" spans="1:9" x14ac:dyDescent="0.25">
      <c r="A7" s="33" t="s">
        <v>14</v>
      </c>
      <c r="B7" s="33">
        <v>8500</v>
      </c>
      <c r="H7" s="33">
        <f>B7/4</f>
        <v>2125</v>
      </c>
      <c r="I7" s="33">
        <v>4</v>
      </c>
    </row>
    <row r="8" spans="1:9" x14ac:dyDescent="0.25">
      <c r="A8" s="33" t="s">
        <v>79</v>
      </c>
      <c r="B8" s="33">
        <v>5500</v>
      </c>
      <c r="H8" s="33">
        <f>B8/3</f>
        <v>1833.3333333333333</v>
      </c>
      <c r="I8" s="33">
        <v>3</v>
      </c>
    </row>
    <row r="9" spans="1:9" x14ac:dyDescent="0.25">
      <c r="A9" s="33" t="s">
        <v>20</v>
      </c>
      <c r="B9" s="33">
        <v>1500</v>
      </c>
      <c r="H9" s="33">
        <f>B9/4</f>
        <v>375</v>
      </c>
      <c r="I9" s="33">
        <v>4</v>
      </c>
    </row>
    <row r="10" spans="1:9" x14ac:dyDescent="0.25">
      <c r="A10" s="33" t="s">
        <v>80</v>
      </c>
      <c r="B10" s="33">
        <v>600</v>
      </c>
      <c r="H10" s="33">
        <f>B10/3</f>
        <v>200</v>
      </c>
      <c r="I10" s="33">
        <v>3</v>
      </c>
    </row>
    <row r="11" spans="1:9" x14ac:dyDescent="0.25">
      <c r="A11" s="33" t="s">
        <v>84</v>
      </c>
      <c r="B11" s="33">
        <v>120</v>
      </c>
      <c r="H11" s="33">
        <f>B11/4</f>
        <v>30</v>
      </c>
      <c r="I11" s="33">
        <v>4</v>
      </c>
    </row>
    <row r="16" spans="1:9" x14ac:dyDescent="0.25">
      <c r="A16" s="34" t="s">
        <v>17</v>
      </c>
      <c r="B16" s="34">
        <f>SUM(B2:B14)</f>
        <v>20020</v>
      </c>
      <c r="C16" s="34"/>
    </row>
    <row r="19" spans="1:3" x14ac:dyDescent="0.25">
      <c r="A19" s="84" t="s">
        <v>82</v>
      </c>
      <c r="B19" s="84" t="s">
        <v>3</v>
      </c>
      <c r="C19" s="84"/>
    </row>
    <row r="20" spans="1:3" x14ac:dyDescent="0.25">
      <c r="A20" s="33" t="s">
        <v>9</v>
      </c>
      <c r="B20" s="33">
        <v>6630</v>
      </c>
    </row>
    <row r="21" spans="1:3" x14ac:dyDescent="0.25">
      <c r="A21" s="33" t="s">
        <v>30</v>
      </c>
      <c r="B21" s="33">
        <v>6630</v>
      </c>
    </row>
    <row r="22" spans="1:3" x14ac:dyDescent="0.25">
      <c r="A22" s="33" t="s">
        <v>46</v>
      </c>
      <c r="B22" s="33">
        <v>2780</v>
      </c>
    </row>
    <row r="23" spans="1:3" x14ac:dyDescent="0.25">
      <c r="A23" s="33" t="s">
        <v>11</v>
      </c>
      <c r="B23" s="33">
        <v>4980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5" x14ac:dyDescent="0.25"/>
  <cols>
    <col min="1" max="1" width="29.85546875" bestFit="1" customWidth="1"/>
    <col min="2" max="2" width="11.7109375" bestFit="1" customWidth="1"/>
  </cols>
  <sheetData>
    <row r="1" spans="1:10" ht="15.75" x14ac:dyDescent="0.25">
      <c r="A1" s="77" t="s">
        <v>48</v>
      </c>
      <c r="B1" s="77" t="s">
        <v>89</v>
      </c>
    </row>
    <row r="2" spans="1:10" ht="15.75" x14ac:dyDescent="0.25">
      <c r="A2" s="78" t="s">
        <v>90</v>
      </c>
      <c r="B2" s="78">
        <v>2780</v>
      </c>
      <c r="D2">
        <f>B2/F2</f>
        <v>556</v>
      </c>
      <c r="F2">
        <v>5</v>
      </c>
    </row>
    <row r="3" spans="1:10" ht="15.75" x14ac:dyDescent="0.25">
      <c r="A3" s="78" t="s">
        <v>6</v>
      </c>
      <c r="B3" s="78">
        <v>3000</v>
      </c>
      <c r="D3">
        <f t="shared" ref="D3:D13" si="0">B3/F3</f>
        <v>600</v>
      </c>
      <c r="F3">
        <v>5</v>
      </c>
    </row>
    <row r="4" spans="1:10" ht="15.75" x14ac:dyDescent="0.25">
      <c r="A4" s="78" t="s">
        <v>91</v>
      </c>
      <c r="B4" s="78">
        <v>2500</v>
      </c>
      <c r="D4">
        <f t="shared" si="0"/>
        <v>500</v>
      </c>
      <c r="F4">
        <v>5</v>
      </c>
      <c r="J4">
        <v>4400</v>
      </c>
    </row>
    <row r="5" spans="1:10" ht="15.75" x14ac:dyDescent="0.25">
      <c r="A5" s="78" t="s">
        <v>10</v>
      </c>
      <c r="B5" s="78">
        <v>800</v>
      </c>
      <c r="D5">
        <f t="shared" si="0"/>
        <v>160</v>
      </c>
      <c r="F5">
        <v>5</v>
      </c>
      <c r="J5">
        <v>7953</v>
      </c>
    </row>
    <row r="6" spans="1:10" ht="15.75" x14ac:dyDescent="0.25">
      <c r="A6" s="78" t="s">
        <v>14</v>
      </c>
      <c r="B6" s="78">
        <v>8500</v>
      </c>
      <c r="D6">
        <f t="shared" si="0"/>
        <v>2125</v>
      </c>
      <c r="F6">
        <v>4</v>
      </c>
      <c r="J6">
        <f>D6+D10+D12</f>
        <v>2732.5</v>
      </c>
    </row>
    <row r="7" spans="1:10" ht="15.75" x14ac:dyDescent="0.25">
      <c r="A7" s="78" t="s">
        <v>18</v>
      </c>
      <c r="B7" s="78">
        <v>4000</v>
      </c>
      <c r="D7">
        <f t="shared" si="0"/>
        <v>2000</v>
      </c>
      <c r="F7">
        <v>2</v>
      </c>
    </row>
    <row r="8" spans="1:10" ht="15.75" x14ac:dyDescent="0.25">
      <c r="A8" s="35" t="s">
        <v>92</v>
      </c>
      <c r="B8" s="78">
        <v>1500</v>
      </c>
      <c r="D8">
        <f t="shared" si="0"/>
        <v>500</v>
      </c>
      <c r="F8">
        <v>3</v>
      </c>
    </row>
    <row r="9" spans="1:10" ht="15.75" x14ac:dyDescent="0.25">
      <c r="A9" s="78" t="s">
        <v>19</v>
      </c>
      <c r="B9" s="78">
        <v>600</v>
      </c>
      <c r="D9">
        <f t="shared" si="0"/>
        <v>120</v>
      </c>
      <c r="F9">
        <v>5</v>
      </c>
    </row>
    <row r="10" spans="1:10" ht="15.75" x14ac:dyDescent="0.25">
      <c r="A10" s="78" t="s">
        <v>20</v>
      </c>
      <c r="B10" s="78">
        <v>1380</v>
      </c>
      <c r="D10">
        <f t="shared" si="0"/>
        <v>345</v>
      </c>
      <c r="F10">
        <v>4</v>
      </c>
    </row>
    <row r="11" spans="1:10" ht="15.75" x14ac:dyDescent="0.25">
      <c r="A11" s="78" t="s">
        <v>16</v>
      </c>
      <c r="B11" s="78">
        <v>640</v>
      </c>
      <c r="D11">
        <f t="shared" si="0"/>
        <v>128</v>
      </c>
      <c r="F11">
        <v>5</v>
      </c>
    </row>
    <row r="12" spans="1:10" ht="15.75" x14ac:dyDescent="0.25">
      <c r="A12" s="78" t="s">
        <v>39</v>
      </c>
      <c r="B12" s="78">
        <v>1050</v>
      </c>
      <c r="D12">
        <f t="shared" si="0"/>
        <v>262.5</v>
      </c>
      <c r="F12">
        <v>4</v>
      </c>
    </row>
    <row r="13" spans="1:10" ht="15.75" x14ac:dyDescent="0.25">
      <c r="A13" s="78" t="s">
        <v>40</v>
      </c>
      <c r="B13" s="78">
        <v>500</v>
      </c>
      <c r="D13">
        <f t="shared" si="0"/>
        <v>100</v>
      </c>
      <c r="F13">
        <v>5</v>
      </c>
    </row>
    <row r="14" spans="1:10" ht="15.75" x14ac:dyDescent="0.25">
      <c r="A14" s="8" t="s">
        <v>17</v>
      </c>
      <c r="B14" s="8">
        <f>SUM(B2:B13)</f>
        <v>27250</v>
      </c>
    </row>
    <row r="16" spans="1:10" ht="15.75" x14ac:dyDescent="0.25">
      <c r="A16" s="9" t="s">
        <v>23</v>
      </c>
      <c r="B16" s="9" t="s">
        <v>3</v>
      </c>
    </row>
    <row r="17" spans="1:2" ht="15.75" x14ac:dyDescent="0.25">
      <c r="A17" s="78" t="s">
        <v>30</v>
      </c>
      <c r="B17" s="78">
        <v>7396</v>
      </c>
    </row>
    <row r="18" spans="1:2" ht="15.75" x14ac:dyDescent="0.25">
      <c r="A18" s="78" t="s">
        <v>9</v>
      </c>
      <c r="B18" s="78">
        <v>7396</v>
      </c>
    </row>
    <row r="19" spans="1:2" ht="15.75" x14ac:dyDescent="0.25">
      <c r="A19" s="78" t="s">
        <v>11</v>
      </c>
      <c r="B19" s="30">
        <f>SUM(D2,D3,D4,D11,D6,D5,D8,D9,D10,D12,D13)</f>
        <v>5396.5</v>
      </c>
    </row>
    <row r="20" spans="1:2" ht="15.75" x14ac:dyDescent="0.25">
      <c r="A20" s="6" t="s">
        <v>93</v>
      </c>
      <c r="B20" s="30">
        <f>SUM(D2,D3,D4,D5,D9,D11,D13)</f>
        <v>2164</v>
      </c>
    </row>
    <row r="21" spans="1:2" ht="15.75" x14ac:dyDescent="0.25">
      <c r="A21" s="6" t="s">
        <v>94</v>
      </c>
      <c r="B21" s="30">
        <v>2164</v>
      </c>
    </row>
    <row r="22" spans="1:2" ht="15.75" x14ac:dyDescent="0.25">
      <c r="A22" s="6" t="s">
        <v>46</v>
      </c>
      <c r="B22" s="6">
        <v>2500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G10" sqref="G10"/>
    </sheetView>
  </sheetViews>
  <sheetFormatPr defaultRowHeight="15" x14ac:dyDescent="0.25"/>
  <cols>
    <col min="1" max="1" width="32.7109375" bestFit="1" customWidth="1"/>
    <col min="2" max="2" width="14.42578125" customWidth="1"/>
    <col min="3" max="3" width="16.85546875" bestFit="1" customWidth="1"/>
    <col min="4" max="4" width="12" bestFit="1" customWidth="1"/>
    <col min="7" max="7" width="36" bestFit="1" customWidth="1"/>
  </cols>
  <sheetData>
    <row r="1" spans="1:9" ht="18.75" thickBot="1" x14ac:dyDescent="0.35">
      <c r="A1" s="40" t="s">
        <v>48</v>
      </c>
      <c r="B1" s="40" t="s">
        <v>89</v>
      </c>
      <c r="C1" s="36"/>
      <c r="D1" s="36"/>
      <c r="E1" s="36"/>
    </row>
    <row r="2" spans="1:9" ht="16.5" thickBot="1" x14ac:dyDescent="0.3">
      <c r="A2" s="78" t="s">
        <v>60</v>
      </c>
      <c r="B2" s="78">
        <v>-2200</v>
      </c>
      <c r="C2" s="36"/>
      <c r="D2" s="36">
        <f>B2/E2</f>
        <v>-366.66666666666669</v>
      </c>
      <c r="E2" s="36">
        <v>6</v>
      </c>
    </row>
    <row r="3" spans="1:9" ht="16.5" thickBot="1" x14ac:dyDescent="0.3">
      <c r="A3" s="78" t="s">
        <v>6</v>
      </c>
      <c r="B3" s="78">
        <v>3500</v>
      </c>
      <c r="C3" s="36"/>
      <c r="D3" s="36">
        <f t="shared" ref="D3:D13" si="0">B3/E3</f>
        <v>500</v>
      </c>
      <c r="E3" s="36">
        <v>7</v>
      </c>
    </row>
    <row r="4" spans="1:9" ht="16.5" thickBot="1" x14ac:dyDescent="0.3">
      <c r="A4" s="78" t="s">
        <v>91</v>
      </c>
      <c r="B4" s="78">
        <v>2500</v>
      </c>
      <c r="C4" s="36"/>
      <c r="D4" s="36">
        <f t="shared" si="0"/>
        <v>357.14285714285717</v>
      </c>
      <c r="E4" s="36">
        <v>7</v>
      </c>
    </row>
    <row r="5" spans="1:9" ht="16.5" thickBot="1" x14ac:dyDescent="0.3">
      <c r="A5" s="78" t="s">
        <v>10</v>
      </c>
      <c r="B5" s="78">
        <v>600</v>
      </c>
      <c r="C5" s="36"/>
      <c r="D5" s="36">
        <f t="shared" si="0"/>
        <v>85.714285714285708</v>
      </c>
      <c r="E5" s="36">
        <v>7</v>
      </c>
    </row>
    <row r="6" spans="1:9" ht="16.5" thickBot="1" x14ac:dyDescent="0.3">
      <c r="A6" s="78" t="s">
        <v>95</v>
      </c>
      <c r="B6" s="78">
        <v>500</v>
      </c>
      <c r="C6" s="36"/>
      <c r="D6" s="36">
        <f t="shared" si="0"/>
        <v>71.428571428571431</v>
      </c>
      <c r="E6" s="36">
        <v>7</v>
      </c>
    </row>
    <row r="7" spans="1:9" ht="16.5" thickBot="1" x14ac:dyDescent="0.3">
      <c r="A7" s="78" t="s">
        <v>14</v>
      </c>
      <c r="B7" s="78">
        <v>8500</v>
      </c>
      <c r="C7" s="36"/>
      <c r="D7" s="36">
        <f t="shared" si="0"/>
        <v>1416.6666666666667</v>
      </c>
      <c r="E7" s="36">
        <v>6</v>
      </c>
      <c r="G7" t="s">
        <v>96</v>
      </c>
      <c r="H7">
        <v>2200</v>
      </c>
    </row>
    <row r="8" spans="1:9" ht="16.5" thickBot="1" x14ac:dyDescent="0.3">
      <c r="A8" s="78" t="s">
        <v>97</v>
      </c>
      <c r="B8" s="78">
        <v>6000</v>
      </c>
      <c r="C8" s="36"/>
      <c r="D8" s="36">
        <f t="shared" si="0"/>
        <v>1000</v>
      </c>
      <c r="E8" s="36">
        <v>6</v>
      </c>
    </row>
    <row r="9" spans="1:9" ht="16.5" thickBot="1" x14ac:dyDescent="0.3">
      <c r="A9" s="78" t="s">
        <v>19</v>
      </c>
      <c r="B9" s="78">
        <v>500</v>
      </c>
      <c r="C9" s="36"/>
      <c r="D9" s="36">
        <f t="shared" si="0"/>
        <v>71.428571428571431</v>
      </c>
      <c r="E9" s="36">
        <v>7</v>
      </c>
    </row>
    <row r="10" spans="1:9" ht="16.5" thickBot="1" x14ac:dyDescent="0.3">
      <c r="A10" s="78" t="s">
        <v>74</v>
      </c>
      <c r="B10" s="78">
        <v>120</v>
      </c>
      <c r="C10" s="36"/>
      <c r="D10" s="36">
        <f t="shared" si="0"/>
        <v>20</v>
      </c>
      <c r="E10" s="36">
        <v>6</v>
      </c>
    </row>
    <row r="11" spans="1:9" ht="16.5" thickBot="1" x14ac:dyDescent="0.3">
      <c r="A11" s="78" t="s">
        <v>20</v>
      </c>
      <c r="B11" s="78">
        <v>1380</v>
      </c>
      <c r="C11" s="36"/>
      <c r="D11" s="36">
        <f t="shared" si="0"/>
        <v>230</v>
      </c>
      <c r="E11" s="36">
        <v>6</v>
      </c>
    </row>
    <row r="12" spans="1:9" ht="16.5" thickBot="1" x14ac:dyDescent="0.3">
      <c r="A12" s="78" t="s">
        <v>16</v>
      </c>
      <c r="B12" s="78">
        <v>600</v>
      </c>
      <c r="C12" s="36"/>
      <c r="D12" s="36">
        <f t="shared" si="0"/>
        <v>100</v>
      </c>
      <c r="E12" s="36">
        <v>6</v>
      </c>
    </row>
    <row r="13" spans="1:9" ht="16.5" thickBot="1" x14ac:dyDescent="0.3">
      <c r="A13" s="78" t="s">
        <v>98</v>
      </c>
      <c r="B13" s="78">
        <v>1500</v>
      </c>
      <c r="C13" s="36"/>
      <c r="D13" s="36">
        <f t="shared" si="0"/>
        <v>250</v>
      </c>
      <c r="E13" s="36">
        <v>6</v>
      </c>
    </row>
    <row r="14" spans="1:9" ht="16.5" thickBot="1" x14ac:dyDescent="0.3">
      <c r="A14" s="78"/>
      <c r="B14" s="78"/>
      <c r="C14" s="36"/>
      <c r="D14" s="36"/>
      <c r="E14" s="36"/>
      <c r="G14" t="s">
        <v>99</v>
      </c>
      <c r="H14">
        <v>3750</v>
      </c>
      <c r="I14">
        <f>H14*6</f>
        <v>22500</v>
      </c>
    </row>
    <row r="15" spans="1:9" ht="16.5" thickBot="1" x14ac:dyDescent="0.3">
      <c r="A15" s="78"/>
      <c r="B15" s="78"/>
      <c r="C15" s="36"/>
      <c r="D15" s="36">
        <f>SUM(D2:D13)</f>
        <v>3735.7142857142858</v>
      </c>
      <c r="E15" s="36"/>
      <c r="H15">
        <v>1085</v>
      </c>
      <c r="I15">
        <v>1085</v>
      </c>
    </row>
    <row r="16" spans="1:9" ht="16.5" thickBot="1" x14ac:dyDescent="0.3">
      <c r="A16" s="78" t="s">
        <v>17</v>
      </c>
      <c r="B16" s="78">
        <f>SUM(B2:B13)</f>
        <v>23500</v>
      </c>
      <c r="C16" s="36"/>
      <c r="D16" s="36">
        <f>D3+D4+D5+D6+D9</f>
        <v>1085.7142857142856</v>
      </c>
      <c r="E16" s="36"/>
      <c r="I16">
        <f>I14+I15</f>
        <v>23585</v>
      </c>
    </row>
    <row r="17" spans="1:5" ht="16.5" thickBot="1" x14ac:dyDescent="0.3">
      <c r="A17" s="78"/>
      <c r="B17" s="78"/>
      <c r="C17" s="36"/>
      <c r="D17" s="36"/>
      <c r="E17" s="36"/>
    </row>
    <row r="18" spans="1:5" ht="18.75" thickBot="1" x14ac:dyDescent="0.35">
      <c r="A18" s="38" t="s">
        <v>23</v>
      </c>
      <c r="B18" s="38" t="s">
        <v>100</v>
      </c>
      <c r="C18" s="38" t="s">
        <v>101</v>
      </c>
      <c r="D18" s="38" t="s">
        <v>102</v>
      </c>
      <c r="E18" s="36"/>
    </row>
    <row r="19" spans="1:5" ht="16.5" thickBot="1" x14ac:dyDescent="0.3">
      <c r="A19" s="78" t="s">
        <v>30</v>
      </c>
      <c r="B19" s="78">
        <v>4500</v>
      </c>
      <c r="C19" s="36">
        <v>3750</v>
      </c>
      <c r="D19" s="36">
        <f>B19-C19</f>
        <v>750</v>
      </c>
      <c r="E19" s="36"/>
    </row>
    <row r="20" spans="1:5" ht="16.5" thickBot="1" x14ac:dyDescent="0.3">
      <c r="A20" s="78" t="s">
        <v>9</v>
      </c>
      <c r="B20" s="78">
        <v>4500</v>
      </c>
      <c r="C20" s="36">
        <v>3750</v>
      </c>
      <c r="D20" s="36">
        <f t="shared" ref="D20:D25" si="1">B20-C20</f>
        <v>750</v>
      </c>
      <c r="E20" s="37"/>
    </row>
    <row r="21" spans="1:5" ht="16.5" thickBot="1" x14ac:dyDescent="0.3">
      <c r="A21" s="78" t="s">
        <v>11</v>
      </c>
      <c r="B21" s="78">
        <v>4500</v>
      </c>
      <c r="C21" s="36">
        <v>3750</v>
      </c>
      <c r="D21" s="36">
        <f t="shared" si="1"/>
        <v>750</v>
      </c>
      <c r="E21" s="37"/>
    </row>
    <row r="22" spans="1:5" ht="16.5" thickBot="1" x14ac:dyDescent="0.3">
      <c r="A22" s="78" t="s">
        <v>93</v>
      </c>
      <c r="B22" s="78">
        <v>4500</v>
      </c>
      <c r="C22" s="36">
        <v>3750</v>
      </c>
      <c r="D22" s="36">
        <f t="shared" si="1"/>
        <v>750</v>
      </c>
      <c r="E22" s="37"/>
    </row>
    <row r="23" spans="1:5" ht="16.5" thickBot="1" x14ac:dyDescent="0.3">
      <c r="A23" s="78" t="s">
        <v>94</v>
      </c>
      <c r="B23" s="78">
        <v>4500</v>
      </c>
      <c r="C23" s="36">
        <v>3750</v>
      </c>
      <c r="D23" s="36">
        <f t="shared" si="1"/>
        <v>750</v>
      </c>
      <c r="E23" s="37"/>
    </row>
    <row r="24" spans="1:5" ht="16.5" thickBot="1" x14ac:dyDescent="0.3">
      <c r="A24" s="78" t="s">
        <v>103</v>
      </c>
      <c r="B24" s="78">
        <v>4500</v>
      </c>
      <c r="C24" s="36">
        <v>3750</v>
      </c>
      <c r="D24" s="36">
        <f t="shared" si="1"/>
        <v>750</v>
      </c>
      <c r="E24" s="37"/>
    </row>
    <row r="25" spans="1:5" ht="16.5" thickBot="1" x14ac:dyDescent="0.3">
      <c r="A25" s="39" t="s">
        <v>104</v>
      </c>
      <c r="B25" s="78">
        <v>1500</v>
      </c>
      <c r="C25" s="36">
        <v>1085</v>
      </c>
      <c r="D25" s="36">
        <f t="shared" si="1"/>
        <v>415</v>
      </c>
      <c r="E25" s="37"/>
    </row>
    <row r="26" spans="1:5" ht="15.75" thickBot="1" x14ac:dyDescent="0.3">
      <c r="A26" s="36"/>
      <c r="B26" s="36"/>
      <c r="C26" s="36"/>
      <c r="D26" s="36"/>
      <c r="E26" s="36"/>
    </row>
    <row r="27" spans="1:5" ht="15.75" thickBot="1" x14ac:dyDescent="0.3">
      <c r="A27" s="36"/>
      <c r="B27" s="36">
        <f>SUM(B19:B25)</f>
        <v>28500</v>
      </c>
      <c r="C27" s="36">
        <f t="shared" ref="C27:D27" si="2">SUM(C19:C25)</f>
        <v>23585</v>
      </c>
      <c r="D27" s="36">
        <f t="shared" si="2"/>
        <v>4915</v>
      </c>
      <c r="E27" s="36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21" sqref="B21"/>
    </sheetView>
  </sheetViews>
  <sheetFormatPr defaultRowHeight="15" x14ac:dyDescent="0.25"/>
  <cols>
    <col min="1" max="1" width="31.5703125" bestFit="1" customWidth="1"/>
    <col min="5" max="5" width="10.85546875" bestFit="1" customWidth="1"/>
  </cols>
  <sheetData>
    <row r="1" spans="1:16" x14ac:dyDescent="0.25">
      <c r="A1" s="41">
        <v>10132016</v>
      </c>
    </row>
    <row r="2" spans="1:16" ht="15.75" x14ac:dyDescent="0.25">
      <c r="A2" s="79" t="s">
        <v>14</v>
      </c>
      <c r="B2" s="79">
        <v>8500</v>
      </c>
      <c r="H2" s="78" t="s">
        <v>30</v>
      </c>
      <c r="I2" s="78">
        <v>4500</v>
      </c>
    </row>
    <row r="3" spans="1:16" ht="15.75" x14ac:dyDescent="0.25">
      <c r="A3" s="79" t="s">
        <v>105</v>
      </c>
      <c r="B3" s="79">
        <v>6000</v>
      </c>
      <c r="H3" s="78" t="s">
        <v>9</v>
      </c>
      <c r="I3" s="78">
        <v>4500</v>
      </c>
      <c r="O3" t="s">
        <v>106</v>
      </c>
    </row>
    <row r="4" spans="1:16" ht="15.75" x14ac:dyDescent="0.25">
      <c r="A4" s="79" t="s">
        <v>20</v>
      </c>
      <c r="B4" s="79">
        <v>1380</v>
      </c>
      <c r="H4" s="78" t="s">
        <v>93</v>
      </c>
      <c r="I4" s="78">
        <v>4500</v>
      </c>
      <c r="O4" t="s">
        <v>107</v>
      </c>
      <c r="P4">
        <v>1635</v>
      </c>
    </row>
    <row r="5" spans="1:16" ht="15.75" x14ac:dyDescent="0.25">
      <c r="A5" s="79" t="s">
        <v>108</v>
      </c>
      <c r="B5" s="79">
        <v>1500</v>
      </c>
      <c r="H5" s="78" t="s">
        <v>94</v>
      </c>
      <c r="I5" s="78">
        <v>4500</v>
      </c>
      <c r="O5" t="s">
        <v>109</v>
      </c>
      <c r="P5">
        <v>1000</v>
      </c>
    </row>
    <row r="6" spans="1:16" ht="15.75" x14ac:dyDescent="0.25">
      <c r="A6" s="79" t="s">
        <v>19</v>
      </c>
      <c r="B6" s="79">
        <v>400</v>
      </c>
      <c r="H6" s="78" t="s">
        <v>103</v>
      </c>
      <c r="I6" s="78">
        <v>4500</v>
      </c>
      <c r="O6" t="s">
        <v>16</v>
      </c>
      <c r="P6">
        <v>640</v>
      </c>
    </row>
    <row r="7" spans="1:16" ht="15.75" x14ac:dyDescent="0.25">
      <c r="A7" s="42" t="s">
        <v>110</v>
      </c>
      <c r="B7" s="42">
        <v>400</v>
      </c>
      <c r="H7" s="78" t="s">
        <v>104</v>
      </c>
      <c r="I7" s="78">
        <v>1500</v>
      </c>
      <c r="O7" t="s">
        <v>74</v>
      </c>
      <c r="P7">
        <v>140</v>
      </c>
    </row>
    <row r="8" spans="1:16" ht="15.75" x14ac:dyDescent="0.25">
      <c r="A8" s="42" t="s">
        <v>111</v>
      </c>
      <c r="B8" s="42">
        <v>1000</v>
      </c>
      <c r="H8" s="6" t="s">
        <v>16</v>
      </c>
      <c r="I8" s="6">
        <v>85</v>
      </c>
    </row>
    <row r="9" spans="1:16" x14ac:dyDescent="0.25">
      <c r="A9" s="42" t="s">
        <v>112</v>
      </c>
      <c r="B9" s="42">
        <v>917</v>
      </c>
    </row>
    <row r="10" spans="1:16" x14ac:dyDescent="0.25">
      <c r="A10" t="s">
        <v>113</v>
      </c>
      <c r="B10" s="42">
        <v>200</v>
      </c>
      <c r="I10">
        <f>SUM(I2:I8)</f>
        <v>24085</v>
      </c>
    </row>
    <row r="11" spans="1:16" x14ac:dyDescent="0.25">
      <c r="A11" t="s">
        <v>73</v>
      </c>
      <c r="B11" s="42">
        <v>200</v>
      </c>
    </row>
    <row r="12" spans="1:16" x14ac:dyDescent="0.25">
      <c r="A12" t="s">
        <v>114</v>
      </c>
      <c r="B12" s="42">
        <v>126</v>
      </c>
    </row>
    <row r="13" spans="1:16" x14ac:dyDescent="0.25">
      <c r="A13" t="s">
        <v>115</v>
      </c>
      <c r="B13" s="42">
        <v>25</v>
      </c>
      <c r="E13" t="s">
        <v>116</v>
      </c>
      <c r="F13">
        <f>I10-B17</f>
        <v>2837</v>
      </c>
    </row>
    <row r="14" spans="1:16" x14ac:dyDescent="0.25">
      <c r="A14" t="s">
        <v>8</v>
      </c>
      <c r="B14" s="42">
        <v>500</v>
      </c>
    </row>
    <row r="15" spans="1:16" x14ac:dyDescent="0.25">
      <c r="A15" t="s">
        <v>117</v>
      </c>
      <c r="B15" s="42">
        <v>100</v>
      </c>
      <c r="F15">
        <v>1500</v>
      </c>
    </row>
    <row r="16" spans="1:16" x14ac:dyDescent="0.25">
      <c r="F16">
        <v>800</v>
      </c>
    </row>
    <row r="17" spans="2:9" x14ac:dyDescent="0.25">
      <c r="B17">
        <f>SUM(B2:B15)</f>
        <v>21248</v>
      </c>
    </row>
    <row r="18" spans="2:9" x14ac:dyDescent="0.25">
      <c r="I18">
        <v>6298</v>
      </c>
    </row>
    <row r="19" spans="2:9" x14ac:dyDescent="0.25">
      <c r="F19">
        <f>SUM(F13:F16)</f>
        <v>5137</v>
      </c>
      <c r="I19">
        <f>I18-F19</f>
        <v>1161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23" sqref="B23"/>
    </sheetView>
  </sheetViews>
  <sheetFormatPr defaultRowHeight="15" x14ac:dyDescent="0.25"/>
  <cols>
    <col min="1" max="1" width="26.5703125" bestFit="1" customWidth="1"/>
    <col min="2" max="2" width="11.140625" bestFit="1" customWidth="1"/>
    <col min="3" max="4" width="11.140625" customWidth="1"/>
    <col min="6" max="6" width="18.5703125" bestFit="1" customWidth="1"/>
    <col min="7" max="7" width="14.5703125" customWidth="1"/>
    <col min="8" max="8" width="21.7109375" bestFit="1" customWidth="1"/>
    <col min="9" max="9" width="21.28515625" bestFit="1" customWidth="1"/>
  </cols>
  <sheetData>
    <row r="1" spans="1:14" ht="15.75" x14ac:dyDescent="0.25">
      <c r="A1" s="77" t="s">
        <v>26</v>
      </c>
      <c r="B1" s="77" t="s">
        <v>27</v>
      </c>
      <c r="C1" s="77" t="s">
        <v>1</v>
      </c>
      <c r="D1" s="12"/>
      <c r="E1" s="3"/>
      <c r="F1" s="4" t="s">
        <v>2</v>
      </c>
      <c r="G1" s="5" t="s">
        <v>3</v>
      </c>
      <c r="H1" s="5" t="s">
        <v>28</v>
      </c>
      <c r="I1" s="5" t="s">
        <v>5</v>
      </c>
    </row>
    <row r="2" spans="1:14" ht="15.75" x14ac:dyDescent="0.25">
      <c r="A2" s="78" t="s">
        <v>6</v>
      </c>
      <c r="B2" s="78">
        <v>3000</v>
      </c>
      <c r="C2" s="10">
        <f>B2/5</f>
        <v>600</v>
      </c>
      <c r="D2" s="10"/>
      <c r="E2" s="3"/>
      <c r="F2" s="78" t="s">
        <v>7</v>
      </c>
      <c r="G2" s="78">
        <v>5578</v>
      </c>
      <c r="H2">
        <f>5578+158.25-377+100</f>
        <v>5459.25</v>
      </c>
      <c r="I2" s="78"/>
    </row>
    <row r="3" spans="1:14" ht="15.75" x14ac:dyDescent="0.25">
      <c r="A3" s="78" t="s">
        <v>29</v>
      </c>
      <c r="B3" s="78">
        <v>455</v>
      </c>
      <c r="C3" s="10">
        <f>B3/5</f>
        <v>91</v>
      </c>
      <c r="D3" s="10"/>
      <c r="E3" s="3"/>
      <c r="F3" s="78" t="s">
        <v>11</v>
      </c>
      <c r="G3" s="78">
        <v>5578</v>
      </c>
      <c r="H3">
        <f>5578+158.25+100</f>
        <v>5836.25</v>
      </c>
      <c r="I3" s="78"/>
    </row>
    <row r="4" spans="1:14" ht="15.75" x14ac:dyDescent="0.25">
      <c r="A4" s="78" t="s">
        <v>8</v>
      </c>
      <c r="B4" s="78">
        <v>2000</v>
      </c>
      <c r="C4" s="10">
        <f t="shared" ref="C4:C13" si="0">B4/5</f>
        <v>400</v>
      </c>
      <c r="D4" s="10"/>
      <c r="E4" s="3"/>
      <c r="F4" s="78" t="s">
        <v>9</v>
      </c>
      <c r="G4" s="78">
        <v>5578</v>
      </c>
      <c r="H4">
        <f>5578+158.25-403+100</f>
        <v>5433.25</v>
      </c>
      <c r="I4" s="78"/>
    </row>
    <row r="5" spans="1:14" ht="15.75" x14ac:dyDescent="0.25">
      <c r="A5" s="78" t="s">
        <v>10</v>
      </c>
      <c r="B5" s="78">
        <v>600</v>
      </c>
      <c r="C5" s="10">
        <f t="shared" si="0"/>
        <v>120</v>
      </c>
      <c r="D5" s="10"/>
      <c r="E5" s="3"/>
      <c r="F5" s="6" t="s">
        <v>30</v>
      </c>
      <c r="G5">
        <f>5578-633</f>
        <v>4945</v>
      </c>
      <c r="H5">
        <f>5578-633+100</f>
        <v>5045</v>
      </c>
      <c r="I5" s="78"/>
    </row>
    <row r="6" spans="1:14" ht="15.75" x14ac:dyDescent="0.25">
      <c r="A6" s="78" t="s">
        <v>12</v>
      </c>
      <c r="B6" s="78">
        <v>720</v>
      </c>
      <c r="C6" s="10">
        <f t="shared" si="0"/>
        <v>144</v>
      </c>
      <c r="D6" s="10"/>
      <c r="E6" s="3"/>
      <c r="F6" s="6" t="s">
        <v>15</v>
      </c>
      <c r="G6" s="78">
        <v>5578</v>
      </c>
      <c r="H6">
        <f>5578+158.25+100</f>
        <v>5836.25</v>
      </c>
      <c r="I6" s="78"/>
    </row>
    <row r="7" spans="1:14" ht="15.75" x14ac:dyDescent="0.25">
      <c r="A7" s="78" t="s">
        <v>14</v>
      </c>
      <c r="B7" s="78">
        <v>8500</v>
      </c>
      <c r="C7" s="10">
        <f t="shared" si="0"/>
        <v>1700</v>
      </c>
      <c r="D7" s="10"/>
      <c r="E7" s="3"/>
      <c r="F7" s="7" t="s">
        <v>17</v>
      </c>
      <c r="G7" s="7"/>
      <c r="H7" s="8"/>
      <c r="I7" s="8"/>
    </row>
    <row r="8" spans="1:14" ht="15.75" x14ac:dyDescent="0.25">
      <c r="A8" s="78" t="s">
        <v>18</v>
      </c>
      <c r="B8" s="78">
        <v>5500</v>
      </c>
      <c r="C8" s="10">
        <f t="shared" si="0"/>
        <v>1100</v>
      </c>
      <c r="D8" s="10"/>
      <c r="E8" s="3"/>
      <c r="F8" s="3"/>
      <c r="G8" s="3"/>
      <c r="H8" s="3"/>
      <c r="I8" s="3"/>
    </row>
    <row r="9" spans="1:14" ht="15.75" x14ac:dyDescent="0.25">
      <c r="A9" s="78" t="s">
        <v>19</v>
      </c>
      <c r="B9" s="78">
        <v>1000</v>
      </c>
      <c r="C9" s="10">
        <f t="shared" si="0"/>
        <v>200</v>
      </c>
      <c r="D9" s="10"/>
      <c r="E9" s="3"/>
      <c r="F9" s="78" t="s">
        <v>31</v>
      </c>
      <c r="G9" s="78">
        <v>970</v>
      </c>
      <c r="H9" s="10">
        <f>G9/5</f>
        <v>194</v>
      </c>
      <c r="I9" s="3"/>
    </row>
    <row r="10" spans="1:14" ht="15.75" x14ac:dyDescent="0.25">
      <c r="A10" s="78" t="s">
        <v>20</v>
      </c>
      <c r="B10" s="78">
        <v>1450</v>
      </c>
      <c r="C10" s="10">
        <f t="shared" si="0"/>
        <v>290</v>
      </c>
      <c r="D10" s="10"/>
      <c r="E10" s="3"/>
      <c r="F10" s="78" t="s">
        <v>32</v>
      </c>
      <c r="G10" s="78">
        <v>2195</v>
      </c>
      <c r="H10" s="10">
        <f>G10/5</f>
        <v>439</v>
      </c>
      <c r="I10" s="3"/>
    </row>
    <row r="11" spans="1:14" ht="15.75" x14ac:dyDescent="0.25">
      <c r="A11" s="78" t="s">
        <v>33</v>
      </c>
      <c r="B11" s="78">
        <v>1000</v>
      </c>
      <c r="C11" s="10">
        <f t="shared" si="0"/>
        <v>200</v>
      </c>
      <c r="D11" s="10"/>
      <c r="E11" s="3"/>
      <c r="F11" s="3"/>
      <c r="G11" s="3"/>
      <c r="H11" s="3"/>
      <c r="I11" s="3"/>
    </row>
    <row r="12" spans="1:14" ht="15.75" x14ac:dyDescent="0.25">
      <c r="A12" s="78" t="s">
        <v>34</v>
      </c>
      <c r="B12" s="78">
        <v>500</v>
      </c>
      <c r="C12" s="10">
        <f t="shared" si="0"/>
        <v>100</v>
      </c>
      <c r="D12" s="10"/>
      <c r="E12" s="3"/>
      <c r="F12" s="3"/>
      <c r="G12" s="3"/>
      <c r="H12" s="3"/>
      <c r="I12" s="3"/>
      <c r="L12">
        <f>5578-633</f>
        <v>4945</v>
      </c>
    </row>
    <row r="13" spans="1:14" ht="15.75" x14ac:dyDescent="0.25">
      <c r="A13" s="8" t="s">
        <v>17</v>
      </c>
      <c r="B13" s="8">
        <f>SUM(B2:B12)</f>
        <v>24725</v>
      </c>
      <c r="C13" s="10">
        <f t="shared" si="0"/>
        <v>4945</v>
      </c>
      <c r="D13" s="10"/>
      <c r="E13" s="3"/>
      <c r="F13" s="3"/>
      <c r="G13" s="3"/>
      <c r="H13" s="3"/>
      <c r="I13" s="3"/>
    </row>
    <row r="14" spans="1:14" ht="18.75" x14ac:dyDescent="0.3">
      <c r="A14" s="1"/>
      <c r="B14" s="1"/>
      <c r="C14" s="1"/>
      <c r="D14" s="1"/>
      <c r="E14" s="1"/>
      <c r="F14" s="1"/>
      <c r="G14" s="1"/>
      <c r="H14" s="1"/>
      <c r="I14" s="1" t="s">
        <v>35</v>
      </c>
      <c r="J14" s="1">
        <f>194+439</f>
        <v>633</v>
      </c>
      <c r="K14" s="1"/>
      <c r="L14" s="2"/>
      <c r="M14" s="2"/>
      <c r="N14" s="2"/>
    </row>
    <row r="16" spans="1:14" ht="15.75" x14ac:dyDescent="0.25">
      <c r="A16" s="9" t="s">
        <v>23</v>
      </c>
      <c r="B16" s="9" t="s">
        <v>3</v>
      </c>
      <c r="C16" s="9"/>
      <c r="D16" s="9"/>
      <c r="G16" s="9"/>
    </row>
    <row r="17" spans="1:11" ht="15.75" x14ac:dyDescent="0.25">
      <c r="A17" s="78" t="s">
        <v>7</v>
      </c>
      <c r="B17" s="78"/>
      <c r="C17" s="10"/>
      <c r="D17" s="10"/>
      <c r="K17">
        <v>5613.6</v>
      </c>
    </row>
    <row r="18" spans="1:11" ht="15.75" x14ac:dyDescent="0.25">
      <c r="A18" s="78" t="s">
        <v>9</v>
      </c>
      <c r="B18" s="78"/>
      <c r="C18" s="10"/>
      <c r="D18" s="10"/>
      <c r="I18">
        <f>J14/4</f>
        <v>158.25</v>
      </c>
    </row>
    <row r="19" spans="1:11" ht="15.75" x14ac:dyDescent="0.25">
      <c r="A19" s="78" t="s">
        <v>11</v>
      </c>
      <c r="B19" s="78"/>
      <c r="C19" s="10"/>
      <c r="D19" s="10"/>
      <c r="K19">
        <f>C13+I18</f>
        <v>5103.25</v>
      </c>
    </row>
    <row r="20" spans="1:11" ht="15.75" x14ac:dyDescent="0.25">
      <c r="A20" s="6" t="s">
        <v>30</v>
      </c>
      <c r="B20" s="78"/>
      <c r="C20" s="10"/>
      <c r="D20" s="10"/>
    </row>
    <row r="21" spans="1:11" ht="15.75" x14ac:dyDescent="0.25">
      <c r="A21" s="6" t="s">
        <v>15</v>
      </c>
      <c r="B21" s="78"/>
      <c r="C21" s="10"/>
      <c r="D21" s="10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90" zoomScaleNormal="90" workbookViewId="0">
      <selection activeCell="L9" sqref="L9"/>
    </sheetView>
  </sheetViews>
  <sheetFormatPr defaultRowHeight="15" x14ac:dyDescent="0.25"/>
  <cols>
    <col min="1" max="1" width="32.7109375" bestFit="1" customWidth="1"/>
    <col min="2" max="2" width="10.140625" customWidth="1"/>
    <col min="3" max="3" width="14.7109375" bestFit="1" customWidth="1"/>
    <col min="4" max="4" width="20.42578125" customWidth="1"/>
    <col min="5" max="5" width="13" customWidth="1"/>
  </cols>
  <sheetData>
    <row r="1" spans="1:7" ht="16.5" thickBot="1" x14ac:dyDescent="0.3">
      <c r="A1" s="77" t="s">
        <v>48</v>
      </c>
      <c r="B1" s="77" t="s">
        <v>89</v>
      </c>
      <c r="C1" s="36"/>
      <c r="D1" s="48"/>
      <c r="E1" s="48"/>
    </row>
    <row r="2" spans="1:7" ht="16.5" thickBot="1" x14ac:dyDescent="0.3">
      <c r="A2" s="78" t="s">
        <v>6</v>
      </c>
      <c r="B2" s="78">
        <v>3500</v>
      </c>
      <c r="C2" s="47"/>
      <c r="D2" s="78">
        <v>7</v>
      </c>
      <c r="E2" s="78">
        <f>B2/D2</f>
        <v>500</v>
      </c>
    </row>
    <row r="3" spans="1:7" ht="16.5" thickBot="1" x14ac:dyDescent="0.3">
      <c r="A3" s="78" t="s">
        <v>91</v>
      </c>
      <c r="B3" s="78">
        <v>3000</v>
      </c>
      <c r="C3" s="47"/>
      <c r="D3" s="78">
        <v>7</v>
      </c>
      <c r="E3" s="30">
        <f t="shared" ref="E3:E12" si="0">B3/D3</f>
        <v>428.57142857142856</v>
      </c>
    </row>
    <row r="4" spans="1:7" ht="16.5" thickBot="1" x14ac:dyDescent="0.3">
      <c r="A4" s="78" t="s">
        <v>10</v>
      </c>
      <c r="B4" s="78">
        <v>600</v>
      </c>
      <c r="C4" s="47"/>
      <c r="D4" s="78">
        <v>7</v>
      </c>
      <c r="E4" s="30">
        <f t="shared" si="0"/>
        <v>85.714285714285708</v>
      </c>
    </row>
    <row r="5" spans="1:7" ht="16.5" thickBot="1" x14ac:dyDescent="0.3">
      <c r="A5" s="78" t="s">
        <v>14</v>
      </c>
      <c r="B5" s="78">
        <v>8500</v>
      </c>
      <c r="C5" s="47"/>
      <c r="D5" s="78">
        <v>7</v>
      </c>
      <c r="E5" s="30">
        <f t="shared" si="0"/>
        <v>1214.2857142857142</v>
      </c>
    </row>
    <row r="6" spans="1:7" ht="16.5" thickBot="1" x14ac:dyDescent="0.3">
      <c r="A6" s="78" t="s">
        <v>18</v>
      </c>
      <c r="B6" s="78">
        <v>4500</v>
      </c>
      <c r="C6" s="47"/>
      <c r="D6" s="78">
        <v>7</v>
      </c>
      <c r="E6" s="30">
        <f t="shared" si="0"/>
        <v>642.85714285714289</v>
      </c>
    </row>
    <row r="7" spans="1:7" ht="16.5" thickBot="1" x14ac:dyDescent="0.3">
      <c r="A7" s="78" t="s">
        <v>92</v>
      </c>
      <c r="B7" s="78">
        <v>1500</v>
      </c>
      <c r="C7" s="47"/>
      <c r="D7" s="78">
        <v>7</v>
      </c>
      <c r="E7" s="30">
        <f t="shared" si="0"/>
        <v>214.28571428571428</v>
      </c>
    </row>
    <row r="8" spans="1:7" ht="16.5" thickBot="1" x14ac:dyDescent="0.3">
      <c r="A8" s="78" t="s">
        <v>19</v>
      </c>
      <c r="B8" s="78">
        <v>600</v>
      </c>
      <c r="C8" s="47"/>
      <c r="D8" s="78">
        <v>7</v>
      </c>
      <c r="E8" s="30">
        <f t="shared" si="0"/>
        <v>85.714285714285708</v>
      </c>
    </row>
    <row r="9" spans="1:7" ht="16.5" thickBot="1" x14ac:dyDescent="0.3">
      <c r="A9" s="78" t="s">
        <v>118</v>
      </c>
      <c r="B9" s="78">
        <v>120</v>
      </c>
      <c r="C9" s="47"/>
      <c r="D9" s="78">
        <v>7</v>
      </c>
      <c r="E9" s="30">
        <f t="shared" si="0"/>
        <v>17.142857142857142</v>
      </c>
    </row>
    <row r="10" spans="1:7" ht="16.5" thickBot="1" x14ac:dyDescent="0.3">
      <c r="A10" s="78" t="s">
        <v>20</v>
      </c>
      <c r="B10" s="78">
        <v>1380</v>
      </c>
      <c r="C10" s="47"/>
      <c r="D10" s="78">
        <v>7</v>
      </c>
      <c r="E10" s="30">
        <f t="shared" si="0"/>
        <v>197.14285714285714</v>
      </c>
    </row>
    <row r="11" spans="1:7" ht="16.5" thickBot="1" x14ac:dyDescent="0.3">
      <c r="A11" s="78" t="s">
        <v>78</v>
      </c>
      <c r="B11" s="78">
        <v>3166</v>
      </c>
      <c r="C11" s="47"/>
      <c r="D11" s="78">
        <v>7</v>
      </c>
      <c r="E11" s="30">
        <f t="shared" si="0"/>
        <v>452.28571428571428</v>
      </c>
    </row>
    <row r="12" spans="1:7" ht="16.5" thickBot="1" x14ac:dyDescent="0.3">
      <c r="A12" s="78" t="s">
        <v>40</v>
      </c>
      <c r="B12" s="78">
        <v>1500</v>
      </c>
      <c r="C12" s="47"/>
      <c r="D12" s="78">
        <v>7</v>
      </c>
      <c r="E12" s="30">
        <f t="shared" si="0"/>
        <v>214.28571428571428</v>
      </c>
    </row>
    <row r="13" spans="1:7" ht="16.5" thickBot="1" x14ac:dyDescent="0.3">
      <c r="A13" s="78"/>
      <c r="B13" s="78"/>
      <c r="C13" s="47"/>
      <c r="D13" s="78"/>
      <c r="E13" s="30"/>
    </row>
    <row r="14" spans="1:7" ht="18.75" thickBot="1" x14ac:dyDescent="0.35">
      <c r="A14" s="44" t="s">
        <v>17</v>
      </c>
      <c r="B14" s="45">
        <v>28466</v>
      </c>
      <c r="C14" s="47"/>
      <c r="D14" s="78"/>
      <c r="E14" s="30">
        <f>SUM(E2:E12)</f>
        <v>4052.2857142857147</v>
      </c>
    </row>
    <row r="15" spans="1:7" x14ac:dyDescent="0.25">
      <c r="A15" s="46"/>
      <c r="B15" s="46"/>
      <c r="C15" s="48"/>
      <c r="D15" s="46"/>
      <c r="E15" s="46"/>
    </row>
    <row r="16" spans="1:7" ht="15.75" x14ac:dyDescent="0.25">
      <c r="A16" s="77" t="s">
        <v>23</v>
      </c>
      <c r="B16" s="77" t="s">
        <v>3</v>
      </c>
      <c r="C16" s="77" t="s">
        <v>101</v>
      </c>
      <c r="D16" s="77" t="s">
        <v>119</v>
      </c>
      <c r="E16" s="51" t="s">
        <v>120</v>
      </c>
      <c r="G16" s="79"/>
    </row>
    <row r="17" spans="1:5" ht="15.75" x14ac:dyDescent="0.25">
      <c r="A17" s="78" t="s">
        <v>30</v>
      </c>
      <c r="B17" s="78">
        <v>4500</v>
      </c>
      <c r="C17" s="49">
        <v>4052</v>
      </c>
      <c r="D17" s="49">
        <v>100</v>
      </c>
      <c r="E17" s="52">
        <f>B17-D17</f>
        <v>4400</v>
      </c>
    </row>
    <row r="18" spans="1:5" ht="15.75" x14ac:dyDescent="0.25">
      <c r="A18" s="78" t="s">
        <v>9</v>
      </c>
      <c r="B18" s="78">
        <v>4500</v>
      </c>
      <c r="C18" s="49">
        <v>4052</v>
      </c>
      <c r="D18" s="49">
        <v>100</v>
      </c>
      <c r="E18" s="52">
        <f t="shared" ref="E18:E23" si="1">B18-D18</f>
        <v>4400</v>
      </c>
    </row>
    <row r="19" spans="1:5" ht="15.75" x14ac:dyDescent="0.25">
      <c r="A19" s="78" t="s">
        <v>11</v>
      </c>
      <c r="B19" s="78">
        <v>4500</v>
      </c>
      <c r="C19" s="49">
        <v>4052</v>
      </c>
      <c r="D19" s="49"/>
      <c r="E19" s="52">
        <f t="shared" si="1"/>
        <v>4500</v>
      </c>
    </row>
    <row r="20" spans="1:5" ht="15.75" x14ac:dyDescent="0.25">
      <c r="A20" s="78" t="s">
        <v>93</v>
      </c>
      <c r="B20" s="78">
        <v>4500</v>
      </c>
      <c r="C20" s="49">
        <v>4052</v>
      </c>
      <c r="D20" s="49"/>
      <c r="E20" s="52">
        <f t="shared" si="1"/>
        <v>4500</v>
      </c>
    </row>
    <row r="21" spans="1:5" ht="15.75" x14ac:dyDescent="0.25">
      <c r="A21" s="78" t="s">
        <v>94</v>
      </c>
      <c r="B21" s="78">
        <v>4500</v>
      </c>
      <c r="C21" s="49">
        <v>4052</v>
      </c>
      <c r="D21" s="49">
        <v>2265</v>
      </c>
      <c r="E21" s="52">
        <f t="shared" si="1"/>
        <v>2235</v>
      </c>
    </row>
    <row r="22" spans="1:5" ht="15.75" x14ac:dyDescent="0.25">
      <c r="A22" s="78" t="s">
        <v>103</v>
      </c>
      <c r="B22" s="78">
        <v>4500</v>
      </c>
      <c r="C22" s="49">
        <v>4052</v>
      </c>
      <c r="D22" s="49"/>
      <c r="E22" s="52">
        <f t="shared" si="1"/>
        <v>4500</v>
      </c>
    </row>
    <row r="23" spans="1:5" ht="15.75" x14ac:dyDescent="0.25">
      <c r="A23" s="78" t="s">
        <v>104</v>
      </c>
      <c r="B23" s="78">
        <v>4500</v>
      </c>
      <c r="C23" s="49">
        <v>4052</v>
      </c>
      <c r="D23" s="50"/>
      <c r="E23" s="52">
        <f t="shared" si="1"/>
        <v>4500</v>
      </c>
    </row>
    <row r="24" spans="1:5" ht="15.75" thickBot="1" x14ac:dyDescent="0.3">
      <c r="A24" s="43"/>
      <c r="B24" s="43"/>
      <c r="C24" s="43"/>
      <c r="D24" s="43"/>
      <c r="E24" s="43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H12" sqref="H12"/>
    </sheetView>
  </sheetViews>
  <sheetFormatPr defaultRowHeight="15" x14ac:dyDescent="0.25"/>
  <cols>
    <col min="1" max="1" width="11" bestFit="1" customWidth="1"/>
    <col min="6" max="6" width="12" bestFit="1" customWidth="1"/>
    <col min="12" max="12" width="12" bestFit="1" customWidth="1"/>
  </cols>
  <sheetData>
    <row r="1" spans="1:14" ht="15.75" x14ac:dyDescent="0.25">
      <c r="A1" t="s">
        <v>14</v>
      </c>
      <c r="B1">
        <v>8500</v>
      </c>
      <c r="F1" s="78" t="s">
        <v>30</v>
      </c>
      <c r="G1">
        <v>4400</v>
      </c>
    </row>
    <row r="2" spans="1:14" ht="15.75" x14ac:dyDescent="0.25">
      <c r="A2" t="s">
        <v>105</v>
      </c>
      <c r="B2">
        <v>6000</v>
      </c>
      <c r="F2" s="78" t="s">
        <v>11</v>
      </c>
      <c r="G2">
        <v>4500</v>
      </c>
    </row>
    <row r="3" spans="1:14" ht="15.75" x14ac:dyDescent="0.25">
      <c r="A3" t="s">
        <v>39</v>
      </c>
      <c r="B3">
        <v>3166</v>
      </c>
      <c r="F3" s="78" t="s">
        <v>93</v>
      </c>
      <c r="G3">
        <v>4500</v>
      </c>
    </row>
    <row r="4" spans="1:14" ht="15.75" x14ac:dyDescent="0.25">
      <c r="A4" t="s">
        <v>109</v>
      </c>
      <c r="B4">
        <v>1000</v>
      </c>
      <c r="F4" s="78" t="s">
        <v>94</v>
      </c>
      <c r="G4">
        <v>2235</v>
      </c>
    </row>
    <row r="5" spans="1:14" ht="15.75" customHeight="1" x14ac:dyDescent="0.35">
      <c r="A5" t="s">
        <v>121</v>
      </c>
      <c r="B5">
        <v>500</v>
      </c>
      <c r="F5" s="78" t="s">
        <v>103</v>
      </c>
      <c r="G5">
        <v>4500</v>
      </c>
      <c r="L5" t="s">
        <v>122</v>
      </c>
      <c r="M5">
        <f>G8-B8</f>
        <v>5469</v>
      </c>
      <c r="N5" s="53"/>
    </row>
    <row r="6" spans="1:14" ht="15.75" customHeight="1" x14ac:dyDescent="0.35">
      <c r="F6" s="78" t="s">
        <v>104</v>
      </c>
      <c r="G6">
        <v>4500</v>
      </c>
      <c r="N6" s="53"/>
    </row>
    <row r="8" spans="1:14" x14ac:dyDescent="0.25">
      <c r="B8">
        <f>SUM(B1:B5)</f>
        <v>19166</v>
      </c>
      <c r="G8">
        <f>SUM(G1:G6)</f>
        <v>24635</v>
      </c>
    </row>
    <row r="9" spans="1:14" x14ac:dyDescent="0.25">
      <c r="L9" t="s">
        <v>123</v>
      </c>
      <c r="M9">
        <f>G13-SUM(G14:G17)</f>
        <v>3657</v>
      </c>
    </row>
    <row r="12" spans="1:14" x14ac:dyDescent="0.25">
      <c r="A12" t="s">
        <v>114</v>
      </c>
      <c r="B12">
        <v>1265</v>
      </c>
    </row>
    <row r="13" spans="1:14" ht="15.75" x14ac:dyDescent="0.25">
      <c r="A13" t="s">
        <v>8</v>
      </c>
      <c r="B13">
        <v>500</v>
      </c>
      <c r="F13" s="78" t="s">
        <v>9</v>
      </c>
      <c r="G13">
        <v>4400</v>
      </c>
      <c r="M13">
        <f>M5+M9</f>
        <v>9126</v>
      </c>
    </row>
    <row r="14" spans="1:14" x14ac:dyDescent="0.25">
      <c r="A14" t="s">
        <v>124</v>
      </c>
      <c r="B14">
        <v>565</v>
      </c>
      <c r="G14">
        <v>100</v>
      </c>
    </row>
    <row r="15" spans="1:14" x14ac:dyDescent="0.25">
      <c r="B15">
        <f>SUM(B12:B14)</f>
        <v>2330</v>
      </c>
      <c r="G15">
        <v>66</v>
      </c>
    </row>
    <row r="16" spans="1:14" x14ac:dyDescent="0.25">
      <c r="G16">
        <v>477</v>
      </c>
    </row>
    <row r="17" spans="2:7" x14ac:dyDescent="0.25">
      <c r="G17">
        <v>100</v>
      </c>
    </row>
    <row r="18" spans="2:7" x14ac:dyDescent="0.25">
      <c r="B18">
        <f>SUM(B8+B15)</f>
        <v>21496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17" sqref="D17"/>
    </sheetView>
  </sheetViews>
  <sheetFormatPr defaultRowHeight="16.5" customHeight="1" x14ac:dyDescent="0.25"/>
  <cols>
    <col min="1" max="1" width="29.85546875" bestFit="1" customWidth="1"/>
    <col min="4" max="4" width="30.85546875" customWidth="1"/>
    <col min="8" max="8" width="24.28515625" bestFit="1" customWidth="1"/>
  </cols>
  <sheetData>
    <row r="1" spans="1:9" ht="16.5" customHeight="1" x14ac:dyDescent="0.25">
      <c r="A1" s="77" t="s">
        <v>48</v>
      </c>
      <c r="B1" s="77" t="s">
        <v>89</v>
      </c>
      <c r="D1" s="77" t="s">
        <v>125</v>
      </c>
      <c r="F1" s="54" t="s">
        <v>126</v>
      </c>
      <c r="H1" s="77" t="s">
        <v>23</v>
      </c>
      <c r="I1" s="77" t="s">
        <v>3</v>
      </c>
    </row>
    <row r="2" spans="1:9" ht="16.5" customHeight="1" x14ac:dyDescent="0.25">
      <c r="A2" s="78" t="s">
        <v>60</v>
      </c>
      <c r="B2" s="78">
        <v>-1391</v>
      </c>
      <c r="F2">
        <f>B2/7</f>
        <v>-198.71428571428572</v>
      </c>
      <c r="H2" s="78" t="s">
        <v>30</v>
      </c>
      <c r="I2" s="78">
        <v>4000</v>
      </c>
    </row>
    <row r="3" spans="1:9" ht="16.5" customHeight="1" x14ac:dyDescent="0.25">
      <c r="A3" s="78" t="s">
        <v>127</v>
      </c>
      <c r="B3" s="78">
        <v>-120</v>
      </c>
      <c r="F3">
        <f t="shared" ref="F3:F13" si="0">B3/7</f>
        <v>-17.142857142857142</v>
      </c>
      <c r="H3" s="78" t="s">
        <v>9</v>
      </c>
      <c r="I3" s="78">
        <v>4000</v>
      </c>
    </row>
    <row r="4" spans="1:9" ht="16.5" customHeight="1" x14ac:dyDescent="0.25">
      <c r="A4" s="78" t="s">
        <v>6</v>
      </c>
      <c r="B4" s="78">
        <v>4500</v>
      </c>
      <c r="D4" s="57" t="s">
        <v>128</v>
      </c>
      <c r="F4">
        <f t="shared" si="0"/>
        <v>642.85714285714289</v>
      </c>
      <c r="H4" s="78" t="s">
        <v>11</v>
      </c>
      <c r="I4" s="78">
        <v>4000</v>
      </c>
    </row>
    <row r="5" spans="1:9" ht="16.5" customHeight="1" x14ac:dyDescent="0.25">
      <c r="A5" s="78" t="s">
        <v>91</v>
      </c>
      <c r="B5" s="78">
        <v>3500</v>
      </c>
      <c r="D5" s="56" t="s">
        <v>129</v>
      </c>
      <c r="F5">
        <f t="shared" si="0"/>
        <v>500</v>
      </c>
      <c r="H5" s="78" t="s">
        <v>93</v>
      </c>
      <c r="I5" s="78">
        <v>4000</v>
      </c>
    </row>
    <row r="6" spans="1:9" ht="16.5" customHeight="1" x14ac:dyDescent="0.25">
      <c r="A6" s="78" t="s">
        <v>130</v>
      </c>
      <c r="B6" s="78">
        <v>750</v>
      </c>
      <c r="F6">
        <f t="shared" si="0"/>
        <v>107.14285714285714</v>
      </c>
      <c r="H6" s="78" t="s">
        <v>94</v>
      </c>
      <c r="I6" s="78">
        <v>4000</v>
      </c>
    </row>
    <row r="7" spans="1:9" ht="16.5" customHeight="1" x14ac:dyDescent="0.25">
      <c r="A7" s="78" t="s">
        <v>14</v>
      </c>
      <c r="B7" s="78">
        <v>8500</v>
      </c>
      <c r="F7">
        <f t="shared" si="0"/>
        <v>1214.2857142857142</v>
      </c>
      <c r="H7" s="78" t="s">
        <v>103</v>
      </c>
      <c r="I7" s="78">
        <v>4000</v>
      </c>
    </row>
    <row r="8" spans="1:9" ht="16.5" customHeight="1" x14ac:dyDescent="0.25">
      <c r="A8" s="78" t="s">
        <v>18</v>
      </c>
      <c r="B8" s="78">
        <v>4500</v>
      </c>
      <c r="F8">
        <f t="shared" si="0"/>
        <v>642.85714285714289</v>
      </c>
      <c r="H8" s="78" t="s">
        <v>104</v>
      </c>
      <c r="I8" s="78">
        <v>4000</v>
      </c>
    </row>
    <row r="9" spans="1:9" ht="16.5" customHeight="1" x14ac:dyDescent="0.25">
      <c r="A9" s="78" t="s">
        <v>92</v>
      </c>
      <c r="B9" s="78">
        <v>1500</v>
      </c>
      <c r="F9">
        <f t="shared" si="0"/>
        <v>214.28571428571428</v>
      </c>
    </row>
    <row r="10" spans="1:9" ht="16.5" customHeight="1" x14ac:dyDescent="0.25">
      <c r="A10" s="78" t="s">
        <v>19</v>
      </c>
      <c r="B10" s="78">
        <v>500</v>
      </c>
      <c r="F10">
        <f t="shared" si="0"/>
        <v>71.428571428571431</v>
      </c>
      <c r="H10" s="6" t="s">
        <v>131</v>
      </c>
      <c r="I10" s="79">
        <f>SUM(I2:I8)</f>
        <v>28000</v>
      </c>
    </row>
    <row r="11" spans="1:9" ht="16.5" customHeight="1" x14ac:dyDescent="0.25">
      <c r="A11" s="78" t="s">
        <v>132</v>
      </c>
      <c r="B11" s="78">
        <v>120</v>
      </c>
      <c r="F11">
        <f t="shared" si="0"/>
        <v>17.142857142857142</v>
      </c>
    </row>
    <row r="12" spans="1:9" ht="16.5" customHeight="1" x14ac:dyDescent="0.25">
      <c r="A12" s="78" t="s">
        <v>20</v>
      </c>
      <c r="B12" s="78">
        <v>1600</v>
      </c>
      <c r="F12">
        <f t="shared" si="0"/>
        <v>228.57142857142858</v>
      </c>
    </row>
    <row r="13" spans="1:9" ht="16.5" customHeight="1" x14ac:dyDescent="0.25">
      <c r="A13" s="78" t="s">
        <v>40</v>
      </c>
      <c r="B13" s="78">
        <v>1500</v>
      </c>
      <c r="F13">
        <f t="shared" si="0"/>
        <v>214.28571428571428</v>
      </c>
    </row>
    <row r="14" spans="1:9" ht="16.5" customHeight="1" x14ac:dyDescent="0.25">
      <c r="A14" s="78"/>
      <c r="B14" s="78"/>
    </row>
    <row r="15" spans="1:9" ht="16.5" customHeight="1" x14ac:dyDescent="0.3">
      <c r="A15" s="44" t="s">
        <v>17</v>
      </c>
      <c r="B15" s="45">
        <f>SUM(B2:B13)</f>
        <v>25459</v>
      </c>
      <c r="F15">
        <f>B15/7</f>
        <v>3637</v>
      </c>
    </row>
    <row r="17" spans="1:1" ht="204.75" x14ac:dyDescent="0.25">
      <c r="A17" s="55" t="s">
        <v>133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7" sqref="B17"/>
    </sheetView>
  </sheetViews>
  <sheetFormatPr defaultRowHeight="15" x14ac:dyDescent="0.25"/>
  <cols>
    <col min="1" max="1" width="29.85546875" bestFit="1" customWidth="1"/>
    <col min="3" max="3" width="27.5703125" customWidth="1"/>
  </cols>
  <sheetData>
    <row r="1" spans="1:4" ht="16.5" thickBot="1" x14ac:dyDescent="0.3">
      <c r="A1" s="58" t="s">
        <v>48</v>
      </c>
      <c r="B1" s="58" t="s">
        <v>89</v>
      </c>
      <c r="C1" s="59"/>
      <c r="D1" s="59"/>
    </row>
    <row r="2" spans="1:4" ht="16.5" thickBot="1" x14ac:dyDescent="0.3">
      <c r="A2" s="60" t="s">
        <v>60</v>
      </c>
      <c r="B2" s="61">
        <v>-1042.9000000000001</v>
      </c>
      <c r="C2" s="59"/>
      <c r="D2" s="62">
        <v>-173.81666670000001</v>
      </c>
    </row>
    <row r="3" spans="1:4" ht="16.5" thickBot="1" x14ac:dyDescent="0.3">
      <c r="A3" s="60" t="s">
        <v>16</v>
      </c>
      <c r="B3" s="61">
        <v>600</v>
      </c>
      <c r="C3" s="59"/>
      <c r="D3" s="62">
        <v>100</v>
      </c>
    </row>
    <row r="4" spans="1:4" ht="16.5" thickBot="1" x14ac:dyDescent="0.3">
      <c r="A4" s="60" t="s">
        <v>6</v>
      </c>
      <c r="B4" s="61">
        <v>4500</v>
      </c>
      <c r="C4" s="59"/>
      <c r="D4" s="62">
        <v>750</v>
      </c>
    </row>
    <row r="5" spans="1:4" ht="16.5" thickBot="1" x14ac:dyDescent="0.3">
      <c r="A5" s="60" t="s">
        <v>91</v>
      </c>
      <c r="B5" s="61">
        <v>3500</v>
      </c>
      <c r="C5" s="59"/>
      <c r="D5" s="62">
        <v>583.33333330000005</v>
      </c>
    </row>
    <row r="6" spans="1:4" ht="16.5" thickBot="1" x14ac:dyDescent="0.3">
      <c r="A6" s="60" t="s">
        <v>130</v>
      </c>
      <c r="B6" s="61">
        <v>750</v>
      </c>
      <c r="C6" s="59"/>
      <c r="D6" s="62">
        <v>125</v>
      </c>
    </row>
    <row r="7" spans="1:4" ht="16.5" thickBot="1" x14ac:dyDescent="0.3">
      <c r="A7" s="60" t="s">
        <v>14</v>
      </c>
      <c r="B7" s="61">
        <v>8500</v>
      </c>
      <c r="C7" s="59"/>
      <c r="D7" s="62">
        <v>1214.2857140000001</v>
      </c>
    </row>
    <row r="8" spans="1:4" ht="19.5" customHeight="1" thickBot="1" x14ac:dyDescent="0.3">
      <c r="A8" s="60" t="s">
        <v>134</v>
      </c>
      <c r="B8" s="61">
        <v>7500</v>
      </c>
      <c r="C8" s="59" t="s">
        <v>135</v>
      </c>
      <c r="D8" s="62">
        <v>1250</v>
      </c>
    </row>
    <row r="9" spans="1:4" ht="16.5" thickBot="1" x14ac:dyDescent="0.3">
      <c r="A9" s="60" t="s">
        <v>19</v>
      </c>
      <c r="B9" s="61">
        <v>500</v>
      </c>
      <c r="C9" s="59"/>
      <c r="D9" s="62">
        <v>83.333333330000002</v>
      </c>
    </row>
    <row r="10" spans="1:4" ht="16.5" thickBot="1" x14ac:dyDescent="0.3">
      <c r="A10" s="60" t="s">
        <v>132</v>
      </c>
      <c r="B10" s="61">
        <v>120</v>
      </c>
      <c r="C10" s="59"/>
      <c r="D10" s="62">
        <v>20</v>
      </c>
    </row>
    <row r="11" spans="1:4" ht="16.5" thickBot="1" x14ac:dyDescent="0.3">
      <c r="A11" s="60" t="s">
        <v>20</v>
      </c>
      <c r="B11" s="61">
        <v>1000</v>
      </c>
      <c r="C11" s="59"/>
      <c r="D11" s="62">
        <v>166.66666670000001</v>
      </c>
    </row>
    <row r="12" spans="1:4" ht="16.5" thickBot="1" x14ac:dyDescent="0.3">
      <c r="A12" s="60" t="s">
        <v>40</v>
      </c>
      <c r="B12" s="61">
        <v>1500</v>
      </c>
      <c r="C12" s="59"/>
      <c r="D12" s="62">
        <v>250</v>
      </c>
    </row>
    <row r="13" spans="1:4" ht="16.5" thickBot="1" x14ac:dyDescent="0.3">
      <c r="A13" s="60" t="s">
        <v>78</v>
      </c>
      <c r="B13" s="61">
        <v>1090</v>
      </c>
      <c r="C13" s="59"/>
      <c r="D13" s="62">
        <v>155.7142857</v>
      </c>
    </row>
    <row r="14" spans="1:4" ht="16.5" thickBot="1" x14ac:dyDescent="0.3">
      <c r="A14" s="63"/>
      <c r="B14" s="63"/>
      <c r="C14" s="59"/>
      <c r="D14" s="59"/>
    </row>
    <row r="15" spans="1:4" ht="16.5" thickBot="1" x14ac:dyDescent="0.3">
      <c r="A15" s="60" t="s">
        <v>17</v>
      </c>
      <c r="B15" s="61">
        <v>28517.1</v>
      </c>
      <c r="C15" s="59"/>
      <c r="D15" s="62">
        <v>4752.8500000000004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E19" sqref="E19"/>
    </sheetView>
  </sheetViews>
  <sheetFormatPr defaultRowHeight="15" x14ac:dyDescent="0.25"/>
  <cols>
    <col min="1" max="1" width="29.85546875" bestFit="1" customWidth="1"/>
    <col min="14" max="14" width="18.42578125" bestFit="1" customWidth="1"/>
  </cols>
  <sheetData>
    <row r="1" spans="1:15" ht="15.75" x14ac:dyDescent="0.25">
      <c r="A1" s="77" t="s">
        <v>48</v>
      </c>
      <c r="B1" s="77" t="s">
        <v>89</v>
      </c>
    </row>
    <row r="2" spans="1:15" ht="15.75" x14ac:dyDescent="0.25">
      <c r="A2" s="78" t="s">
        <v>60</v>
      </c>
      <c r="B2" s="78">
        <v>-3840</v>
      </c>
      <c r="C2" t="s">
        <v>136</v>
      </c>
      <c r="I2" s="64" t="s">
        <v>137</v>
      </c>
      <c r="J2" s="64" t="s">
        <v>126</v>
      </c>
    </row>
    <row r="3" spans="1:15" ht="15.75" x14ac:dyDescent="0.25">
      <c r="A3" s="78" t="s">
        <v>6</v>
      </c>
      <c r="B3" s="78">
        <v>4500</v>
      </c>
      <c r="E3">
        <f>B3/6</f>
        <v>750</v>
      </c>
      <c r="I3" s="79" t="s">
        <v>30</v>
      </c>
      <c r="J3" s="79">
        <v>4200</v>
      </c>
      <c r="O3">
        <f>(6*SUM(E3:E12)+SUM(E7,E8,E10,E11))</f>
        <v>27270</v>
      </c>
    </row>
    <row r="4" spans="1:15" ht="15.75" x14ac:dyDescent="0.25">
      <c r="A4" s="78" t="s">
        <v>16</v>
      </c>
      <c r="B4" s="78">
        <v>600</v>
      </c>
      <c r="E4">
        <f t="shared" ref="E4:E12" si="0">B4/6</f>
        <v>100</v>
      </c>
      <c r="I4" s="79" t="s">
        <v>9</v>
      </c>
      <c r="J4" s="79">
        <v>4200</v>
      </c>
    </row>
    <row r="5" spans="1:15" ht="15.75" x14ac:dyDescent="0.25">
      <c r="A5" s="78" t="s">
        <v>91</v>
      </c>
      <c r="B5" s="78">
        <v>3500</v>
      </c>
      <c r="E5">
        <f t="shared" si="0"/>
        <v>583.33333333333337</v>
      </c>
      <c r="I5" s="79" t="s">
        <v>11</v>
      </c>
      <c r="J5" s="79">
        <v>4200</v>
      </c>
    </row>
    <row r="6" spans="1:15" ht="15.75" x14ac:dyDescent="0.25">
      <c r="A6" s="78" t="s">
        <v>130</v>
      </c>
      <c r="B6" s="78">
        <v>750</v>
      </c>
      <c r="E6">
        <f t="shared" si="0"/>
        <v>125</v>
      </c>
      <c r="I6" s="79" t="s">
        <v>93</v>
      </c>
      <c r="J6" s="79">
        <v>4200</v>
      </c>
      <c r="N6" t="s">
        <v>138</v>
      </c>
      <c r="O6">
        <f>SUM(E3:E12)</f>
        <v>4156.4285714285716</v>
      </c>
    </row>
    <row r="7" spans="1:15" ht="15.75" x14ac:dyDescent="0.25">
      <c r="A7" s="78" t="s">
        <v>14</v>
      </c>
      <c r="B7" s="78">
        <v>8500</v>
      </c>
      <c r="E7">
        <f>B7/7</f>
        <v>1214.2857142857142</v>
      </c>
      <c r="I7" s="79" t="s">
        <v>94</v>
      </c>
      <c r="J7" s="79">
        <v>4200</v>
      </c>
      <c r="N7" t="s">
        <v>139</v>
      </c>
      <c r="O7">
        <f>SUM(E7,E8,E10,E11)</f>
        <v>2331.4285714285716</v>
      </c>
    </row>
    <row r="8" spans="1:15" ht="15.75" x14ac:dyDescent="0.25">
      <c r="A8" s="78" t="s">
        <v>18</v>
      </c>
      <c r="B8" s="78">
        <v>6000</v>
      </c>
      <c r="E8">
        <f>B8/7</f>
        <v>857.14285714285711</v>
      </c>
      <c r="I8" s="79" t="s">
        <v>140</v>
      </c>
      <c r="J8" s="79">
        <v>2350</v>
      </c>
    </row>
    <row r="9" spans="1:15" ht="15.75" x14ac:dyDescent="0.25">
      <c r="A9" s="78" t="s">
        <v>19</v>
      </c>
      <c r="B9" s="78">
        <v>600</v>
      </c>
      <c r="E9">
        <f t="shared" si="0"/>
        <v>100</v>
      </c>
      <c r="I9" s="79" t="s">
        <v>103</v>
      </c>
      <c r="J9" s="79">
        <v>4200</v>
      </c>
    </row>
    <row r="10" spans="1:15" ht="15.75" x14ac:dyDescent="0.25">
      <c r="A10" s="78" t="s">
        <v>132</v>
      </c>
      <c r="B10" s="78">
        <v>120</v>
      </c>
      <c r="E10">
        <f>B10/7</f>
        <v>17.142857142857142</v>
      </c>
    </row>
    <row r="11" spans="1:15" ht="15.75" x14ac:dyDescent="0.25">
      <c r="A11" s="78" t="s">
        <v>20</v>
      </c>
      <c r="B11" s="78">
        <v>1700</v>
      </c>
      <c r="E11">
        <f>B11/7</f>
        <v>242.85714285714286</v>
      </c>
    </row>
    <row r="12" spans="1:15" ht="15.75" x14ac:dyDescent="0.25">
      <c r="A12" s="78" t="s">
        <v>40</v>
      </c>
      <c r="B12" s="78">
        <v>1000</v>
      </c>
      <c r="E12">
        <f t="shared" si="0"/>
        <v>166.66666666666666</v>
      </c>
    </row>
    <row r="13" spans="1:15" ht="15.75" x14ac:dyDescent="0.25">
      <c r="A13" s="78"/>
      <c r="B13" s="78"/>
    </row>
    <row r="14" spans="1:15" ht="18" x14ac:dyDescent="0.3">
      <c r="A14" s="44" t="s">
        <v>17</v>
      </c>
      <c r="B14" s="45">
        <f>SUM(B3:B12)</f>
        <v>27270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2" sqref="G22"/>
    </sheetView>
  </sheetViews>
  <sheetFormatPr defaultRowHeight="15" x14ac:dyDescent="0.25"/>
  <cols>
    <col min="1" max="1" width="29.85546875" bestFit="1" customWidth="1"/>
  </cols>
  <sheetData>
    <row r="1" spans="1:10" ht="15.75" x14ac:dyDescent="0.25">
      <c r="A1" s="77" t="s">
        <v>48</v>
      </c>
      <c r="B1" s="77" t="s">
        <v>89</v>
      </c>
    </row>
    <row r="2" spans="1:10" ht="15.75" x14ac:dyDescent="0.25">
      <c r="A2" s="78" t="s">
        <v>60</v>
      </c>
      <c r="B2" s="78">
        <v>-6173</v>
      </c>
      <c r="E2">
        <f>B2/7</f>
        <v>-881.85714285714289</v>
      </c>
    </row>
    <row r="3" spans="1:10" ht="15.75" x14ac:dyDescent="0.25">
      <c r="A3" s="78" t="s">
        <v>6</v>
      </c>
      <c r="B3" s="78">
        <v>3000</v>
      </c>
      <c r="E3">
        <f>B3/6</f>
        <v>500</v>
      </c>
      <c r="I3" s="64" t="s">
        <v>137</v>
      </c>
      <c r="J3" s="64" t="s">
        <v>126</v>
      </c>
    </row>
    <row r="4" spans="1:10" ht="15.75" x14ac:dyDescent="0.25">
      <c r="A4" s="78" t="s">
        <v>91</v>
      </c>
      <c r="B4" s="78">
        <v>4000</v>
      </c>
      <c r="E4">
        <f t="shared" ref="E4:E12" si="0">B4/6</f>
        <v>666.66666666666663</v>
      </c>
      <c r="I4" s="79" t="s">
        <v>30</v>
      </c>
      <c r="J4" s="79">
        <v>4000</v>
      </c>
    </row>
    <row r="5" spans="1:10" ht="15.75" x14ac:dyDescent="0.25">
      <c r="A5" s="78" t="s">
        <v>130</v>
      </c>
      <c r="B5" s="78">
        <v>750</v>
      </c>
      <c r="E5">
        <f t="shared" si="0"/>
        <v>125</v>
      </c>
      <c r="I5" s="79" t="s">
        <v>9</v>
      </c>
      <c r="J5" s="79">
        <v>4000</v>
      </c>
    </row>
    <row r="6" spans="1:10" ht="15.75" x14ac:dyDescent="0.25">
      <c r="A6" s="78" t="s">
        <v>14</v>
      </c>
      <c r="B6" s="78">
        <v>8500</v>
      </c>
      <c r="E6">
        <f t="shared" si="0"/>
        <v>1416.6666666666667</v>
      </c>
      <c r="I6" s="79" t="s">
        <v>11</v>
      </c>
      <c r="J6" s="79">
        <v>4000</v>
      </c>
    </row>
    <row r="7" spans="1:10" ht="15.75" x14ac:dyDescent="0.25">
      <c r="A7" s="78" t="s">
        <v>18</v>
      </c>
      <c r="B7" s="78">
        <v>7000</v>
      </c>
      <c r="E7">
        <f t="shared" si="0"/>
        <v>1166.6666666666667</v>
      </c>
      <c r="I7" s="79" t="s">
        <v>93</v>
      </c>
      <c r="J7" s="79">
        <v>4000</v>
      </c>
    </row>
    <row r="8" spans="1:10" ht="15.75" x14ac:dyDescent="0.25">
      <c r="A8" s="78" t="s">
        <v>19</v>
      </c>
      <c r="B8" s="78">
        <v>600</v>
      </c>
      <c r="E8">
        <f t="shared" si="0"/>
        <v>100</v>
      </c>
      <c r="I8" s="79" t="s">
        <v>94</v>
      </c>
      <c r="J8" s="79">
        <v>4000</v>
      </c>
    </row>
    <row r="9" spans="1:10" ht="15.75" x14ac:dyDescent="0.25">
      <c r="A9" s="78" t="s">
        <v>132</v>
      </c>
      <c r="B9" s="78">
        <v>120</v>
      </c>
      <c r="E9">
        <f t="shared" si="0"/>
        <v>20</v>
      </c>
      <c r="I9" s="79" t="s">
        <v>103</v>
      </c>
      <c r="J9" s="79">
        <v>4000</v>
      </c>
    </row>
    <row r="10" spans="1:10" ht="15.75" x14ac:dyDescent="0.25">
      <c r="A10" s="78" t="s">
        <v>78</v>
      </c>
      <c r="B10" s="78">
        <v>1846</v>
      </c>
      <c r="E10">
        <f>B10/7</f>
        <v>263.71428571428572</v>
      </c>
      <c r="I10" s="65" t="s">
        <v>140</v>
      </c>
      <c r="J10" s="79">
        <f>E2+E10</f>
        <v>-618.14285714285711</v>
      </c>
    </row>
    <row r="11" spans="1:10" ht="15.75" x14ac:dyDescent="0.25">
      <c r="A11" s="78" t="s">
        <v>20</v>
      </c>
      <c r="B11" s="78">
        <v>1790</v>
      </c>
      <c r="E11">
        <f t="shared" si="0"/>
        <v>298.33333333333331</v>
      </c>
    </row>
    <row r="12" spans="1:10" ht="15.75" x14ac:dyDescent="0.25">
      <c r="A12" s="78" t="s">
        <v>40</v>
      </c>
      <c r="B12" s="78">
        <v>1000</v>
      </c>
      <c r="E12">
        <f t="shared" si="0"/>
        <v>166.66666666666666</v>
      </c>
    </row>
    <row r="13" spans="1:10" ht="15.75" x14ac:dyDescent="0.25">
      <c r="A13" s="78"/>
      <c r="B13" s="78"/>
    </row>
    <row r="14" spans="1:10" ht="18" x14ac:dyDescent="0.3">
      <c r="A14" s="44" t="s">
        <v>17</v>
      </c>
      <c r="B14" s="45">
        <f>SUM(B2:B12)</f>
        <v>22433</v>
      </c>
      <c r="E14">
        <f>SUM(E2:E12)</f>
        <v>3841.8571428571427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:E9"/>
    </sheetView>
  </sheetViews>
  <sheetFormatPr defaultRowHeight="15" x14ac:dyDescent="0.25"/>
  <cols>
    <col min="1" max="1" width="29.85546875" bestFit="1" customWidth="1"/>
  </cols>
  <sheetData>
    <row r="1" spans="1:10" ht="15.75" x14ac:dyDescent="0.25">
      <c r="A1" s="77" t="s">
        <v>48</v>
      </c>
      <c r="B1" s="77" t="s">
        <v>89</v>
      </c>
    </row>
    <row r="2" spans="1:10" ht="15.75" x14ac:dyDescent="0.25">
      <c r="A2" s="78" t="s">
        <v>6</v>
      </c>
      <c r="B2" s="78">
        <v>3000</v>
      </c>
      <c r="E2">
        <f>B2/6</f>
        <v>500</v>
      </c>
      <c r="I2" s="64" t="s">
        <v>137</v>
      </c>
      <c r="J2" s="64" t="s">
        <v>126</v>
      </c>
    </row>
    <row r="3" spans="1:10" ht="15.75" x14ac:dyDescent="0.25">
      <c r="A3" s="78" t="s">
        <v>91</v>
      </c>
      <c r="B3" s="78">
        <v>4000</v>
      </c>
      <c r="E3">
        <f t="shared" ref="E3:E12" si="0">B3/6</f>
        <v>666.66666666666663</v>
      </c>
      <c r="I3" s="79" t="s">
        <v>30</v>
      </c>
      <c r="J3" s="79">
        <v>5000</v>
      </c>
    </row>
    <row r="4" spans="1:10" ht="15.75" x14ac:dyDescent="0.25">
      <c r="A4" s="78" t="s">
        <v>130</v>
      </c>
      <c r="B4" s="78">
        <v>750</v>
      </c>
      <c r="E4">
        <f t="shared" si="0"/>
        <v>125</v>
      </c>
      <c r="I4" s="79" t="s">
        <v>9</v>
      </c>
      <c r="J4" s="79">
        <v>5000</v>
      </c>
    </row>
    <row r="5" spans="1:10" ht="15.75" x14ac:dyDescent="0.25">
      <c r="A5" s="78" t="s">
        <v>14</v>
      </c>
      <c r="B5" s="78">
        <v>8500</v>
      </c>
      <c r="E5">
        <f t="shared" si="0"/>
        <v>1416.6666666666667</v>
      </c>
      <c r="I5" s="79" t="s">
        <v>11</v>
      </c>
      <c r="J5" s="79">
        <v>5000</v>
      </c>
    </row>
    <row r="6" spans="1:10" ht="15.75" x14ac:dyDescent="0.25">
      <c r="A6" s="78" t="s">
        <v>18</v>
      </c>
      <c r="B6" s="78">
        <v>7000</v>
      </c>
      <c r="E6">
        <f t="shared" si="0"/>
        <v>1166.6666666666667</v>
      </c>
      <c r="I6" s="79" t="s">
        <v>93</v>
      </c>
      <c r="J6" s="79">
        <v>5000</v>
      </c>
    </row>
    <row r="7" spans="1:10" ht="15.75" x14ac:dyDescent="0.25">
      <c r="A7" s="78" t="s">
        <v>19</v>
      </c>
      <c r="B7" s="78">
        <v>1100</v>
      </c>
      <c r="E7">
        <f t="shared" si="0"/>
        <v>183.33333333333334</v>
      </c>
      <c r="I7" s="79" t="s">
        <v>94</v>
      </c>
      <c r="J7" s="79">
        <v>5000</v>
      </c>
    </row>
    <row r="8" spans="1:10" ht="15.75" x14ac:dyDescent="0.25">
      <c r="A8" s="78" t="s">
        <v>132</v>
      </c>
      <c r="B8" s="78">
        <v>120</v>
      </c>
      <c r="E8">
        <f t="shared" si="0"/>
        <v>20</v>
      </c>
      <c r="I8" s="79" t="s">
        <v>103</v>
      </c>
      <c r="J8" s="79">
        <v>5000</v>
      </c>
    </row>
    <row r="9" spans="1:10" ht="15.75" x14ac:dyDescent="0.25">
      <c r="A9" s="78" t="s">
        <v>16</v>
      </c>
      <c r="B9" s="78">
        <v>770</v>
      </c>
      <c r="E9">
        <f t="shared" si="0"/>
        <v>128.33333333333334</v>
      </c>
      <c r="I9" s="79"/>
      <c r="J9" s="79"/>
    </row>
    <row r="10" spans="1:10" ht="15.75" x14ac:dyDescent="0.25">
      <c r="A10" s="78" t="s">
        <v>20</v>
      </c>
      <c r="B10" s="78">
        <v>1781</v>
      </c>
      <c r="E10">
        <f t="shared" si="0"/>
        <v>296.83333333333331</v>
      </c>
    </row>
    <row r="11" spans="1:10" ht="15.75" x14ac:dyDescent="0.25">
      <c r="A11" s="78" t="s">
        <v>40</v>
      </c>
      <c r="B11" s="78">
        <v>1000</v>
      </c>
      <c r="E11">
        <f t="shared" si="0"/>
        <v>166.66666666666666</v>
      </c>
    </row>
    <row r="12" spans="1:10" ht="15.75" x14ac:dyDescent="0.25">
      <c r="A12" s="78" t="s">
        <v>141</v>
      </c>
      <c r="B12" s="78">
        <v>2000</v>
      </c>
      <c r="E12">
        <f t="shared" si="0"/>
        <v>333.33333333333331</v>
      </c>
    </row>
    <row r="13" spans="1:10" ht="18" x14ac:dyDescent="0.3">
      <c r="A13" s="44" t="s">
        <v>17</v>
      </c>
      <c r="B13" s="45">
        <f>SUM(B2:B12)</f>
        <v>30021</v>
      </c>
      <c r="E13">
        <f>SUM(E2:E12)</f>
        <v>5003.5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5" x14ac:dyDescent="0.25"/>
  <cols>
    <col min="1" max="1" width="29.85546875" bestFit="1" customWidth="1"/>
  </cols>
  <sheetData>
    <row r="1" spans="1:10" ht="15.75" x14ac:dyDescent="0.25">
      <c r="A1" s="77" t="s">
        <v>48</v>
      </c>
      <c r="B1" s="77" t="s">
        <v>89</v>
      </c>
    </row>
    <row r="2" spans="1:10" ht="15.75" x14ac:dyDescent="0.25">
      <c r="A2" s="78" t="s">
        <v>60</v>
      </c>
      <c r="B2" s="78">
        <v>-4100</v>
      </c>
      <c r="E2">
        <f>B2/6</f>
        <v>-683.33333333333337</v>
      </c>
    </row>
    <row r="3" spans="1:10" ht="15.75" x14ac:dyDescent="0.25">
      <c r="A3" s="78" t="s">
        <v>6</v>
      </c>
      <c r="B3" s="78">
        <v>3000</v>
      </c>
      <c r="E3">
        <f>B3/6</f>
        <v>500</v>
      </c>
      <c r="I3" s="64" t="s">
        <v>137</v>
      </c>
      <c r="J3" s="64" t="s">
        <v>126</v>
      </c>
    </row>
    <row r="4" spans="1:10" ht="15.75" x14ac:dyDescent="0.25">
      <c r="A4" s="78" t="s">
        <v>91</v>
      </c>
      <c r="B4" s="78">
        <v>4000</v>
      </c>
      <c r="E4">
        <f t="shared" ref="E4:E12" si="0">B4/6</f>
        <v>666.66666666666663</v>
      </c>
      <c r="I4" s="79" t="s">
        <v>30</v>
      </c>
      <c r="J4" s="79">
        <v>5000</v>
      </c>
    </row>
    <row r="5" spans="1:10" ht="15.75" x14ac:dyDescent="0.25">
      <c r="A5" s="78" t="s">
        <v>130</v>
      </c>
      <c r="B5" s="78">
        <v>750</v>
      </c>
      <c r="E5">
        <f t="shared" si="0"/>
        <v>125</v>
      </c>
      <c r="I5" s="79" t="s">
        <v>9</v>
      </c>
      <c r="J5" s="79">
        <v>5000</v>
      </c>
    </row>
    <row r="6" spans="1:10" ht="15.75" x14ac:dyDescent="0.25">
      <c r="A6" s="78" t="s">
        <v>14</v>
      </c>
      <c r="B6" s="78">
        <v>8500</v>
      </c>
      <c r="E6">
        <f t="shared" si="0"/>
        <v>1416.6666666666667</v>
      </c>
      <c r="I6" s="79" t="s">
        <v>11</v>
      </c>
      <c r="J6" s="79">
        <v>5000</v>
      </c>
    </row>
    <row r="7" spans="1:10" ht="15.75" x14ac:dyDescent="0.25">
      <c r="A7" s="78" t="s">
        <v>18</v>
      </c>
      <c r="B7" s="78">
        <v>7000</v>
      </c>
      <c r="E7">
        <f t="shared" si="0"/>
        <v>1166.6666666666667</v>
      </c>
      <c r="I7" s="79" t="s">
        <v>93</v>
      </c>
      <c r="J7" s="79">
        <v>5000</v>
      </c>
    </row>
    <row r="8" spans="1:10" ht="15.75" x14ac:dyDescent="0.25">
      <c r="A8" s="78" t="s">
        <v>19</v>
      </c>
      <c r="B8" s="78">
        <v>1500</v>
      </c>
      <c r="E8">
        <f t="shared" si="0"/>
        <v>250</v>
      </c>
      <c r="I8" s="79" t="s">
        <v>94</v>
      </c>
      <c r="J8" s="79">
        <v>5000</v>
      </c>
    </row>
    <row r="9" spans="1:10" ht="15.75" x14ac:dyDescent="0.25">
      <c r="A9" s="78" t="s">
        <v>132</v>
      </c>
      <c r="B9" s="78">
        <v>120</v>
      </c>
      <c r="E9">
        <f t="shared" si="0"/>
        <v>20</v>
      </c>
      <c r="I9" s="79" t="s">
        <v>103</v>
      </c>
      <c r="J9" s="79">
        <v>5000</v>
      </c>
    </row>
    <row r="10" spans="1:10" ht="15.75" x14ac:dyDescent="0.25">
      <c r="A10" s="78" t="s">
        <v>20</v>
      </c>
      <c r="B10" s="78">
        <v>1781</v>
      </c>
      <c r="E10">
        <f t="shared" si="0"/>
        <v>296.83333333333331</v>
      </c>
    </row>
    <row r="11" spans="1:10" ht="15.75" x14ac:dyDescent="0.25">
      <c r="A11" s="78" t="s">
        <v>40</v>
      </c>
      <c r="B11" s="78">
        <v>1000</v>
      </c>
      <c r="E11">
        <f t="shared" si="0"/>
        <v>166.66666666666666</v>
      </c>
    </row>
    <row r="12" spans="1:10" ht="15.75" x14ac:dyDescent="0.25">
      <c r="A12" s="78" t="s">
        <v>141</v>
      </c>
      <c r="B12" s="78">
        <v>4986</v>
      </c>
      <c r="E12">
        <f t="shared" si="0"/>
        <v>831</v>
      </c>
    </row>
    <row r="13" spans="1:10" ht="18" x14ac:dyDescent="0.3">
      <c r="A13" s="44" t="s">
        <v>17</v>
      </c>
      <c r="B13" s="45">
        <f>SUM(B2:B12)</f>
        <v>28537</v>
      </c>
      <c r="E13">
        <f>SUM(E2:E12)</f>
        <v>4756.166666666667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I16" sqref="I16"/>
    </sheetView>
  </sheetViews>
  <sheetFormatPr defaultRowHeight="15" x14ac:dyDescent="0.25"/>
  <cols>
    <col min="1" max="1" width="29.85546875" bestFit="1" customWidth="1"/>
    <col min="2" max="2" width="12.7109375" customWidth="1"/>
    <col min="11" max="11" width="11.7109375" bestFit="1" customWidth="1"/>
  </cols>
  <sheetData>
    <row r="1" spans="1:12" ht="15.75" x14ac:dyDescent="0.25">
      <c r="A1" s="77" t="s">
        <v>48</v>
      </c>
      <c r="B1" s="77" t="s">
        <v>89</v>
      </c>
    </row>
    <row r="2" spans="1:12" ht="15.75" x14ac:dyDescent="0.25">
      <c r="A2" s="78" t="s">
        <v>60</v>
      </c>
      <c r="B2" s="78">
        <v>500</v>
      </c>
      <c r="E2">
        <f>B2/6</f>
        <v>83.333333333333329</v>
      </c>
    </row>
    <row r="3" spans="1:12" ht="15.75" x14ac:dyDescent="0.25">
      <c r="A3" s="78" t="s">
        <v>6</v>
      </c>
      <c r="B3" s="78">
        <v>3000</v>
      </c>
      <c r="E3">
        <f>B3/5</f>
        <v>600</v>
      </c>
      <c r="I3" s="64" t="s">
        <v>137</v>
      </c>
      <c r="J3" s="64" t="s">
        <v>126</v>
      </c>
      <c r="K3" s="64" t="s">
        <v>142</v>
      </c>
      <c r="L3" s="64" t="s">
        <v>143</v>
      </c>
    </row>
    <row r="4" spans="1:12" ht="15.75" x14ac:dyDescent="0.25">
      <c r="A4" s="78" t="s">
        <v>91</v>
      </c>
      <c r="B4" s="78">
        <v>4000</v>
      </c>
      <c r="E4">
        <f>B4/5</f>
        <v>800</v>
      </c>
      <c r="I4" s="79" t="s">
        <v>30</v>
      </c>
      <c r="J4" s="79">
        <v>5600</v>
      </c>
      <c r="K4" s="79">
        <v>160</v>
      </c>
      <c r="L4" s="66">
        <f>J4-K4</f>
        <v>5440</v>
      </c>
    </row>
    <row r="5" spans="1:12" ht="15.75" x14ac:dyDescent="0.25">
      <c r="A5" s="78" t="s">
        <v>130</v>
      </c>
      <c r="B5" s="78">
        <v>750</v>
      </c>
      <c r="E5">
        <f t="shared" ref="E5:E13" si="0">B5/6</f>
        <v>125</v>
      </c>
      <c r="I5" s="79" t="s">
        <v>9</v>
      </c>
      <c r="J5" s="79">
        <v>5600</v>
      </c>
      <c r="K5" s="79">
        <v>1860</v>
      </c>
      <c r="L5" s="66">
        <f>J5-K5</f>
        <v>3740</v>
      </c>
    </row>
    <row r="6" spans="1:12" ht="15.75" x14ac:dyDescent="0.25">
      <c r="A6" s="78" t="s">
        <v>14</v>
      </c>
      <c r="B6" s="78">
        <v>8500</v>
      </c>
      <c r="E6">
        <f t="shared" si="0"/>
        <v>1416.6666666666667</v>
      </c>
      <c r="I6" s="79" t="s">
        <v>11</v>
      </c>
      <c r="J6" s="79">
        <v>5600</v>
      </c>
      <c r="K6" s="79">
        <v>2517</v>
      </c>
      <c r="L6" s="66">
        <f>J6-K6</f>
        <v>3083</v>
      </c>
    </row>
    <row r="7" spans="1:12" ht="15.75" x14ac:dyDescent="0.25">
      <c r="A7" s="78" t="s">
        <v>18</v>
      </c>
      <c r="B7" s="78">
        <v>7000</v>
      </c>
      <c r="E7">
        <f t="shared" si="0"/>
        <v>1166.6666666666667</v>
      </c>
      <c r="I7" s="79" t="s">
        <v>93</v>
      </c>
      <c r="J7" s="79">
        <v>5600</v>
      </c>
      <c r="K7" s="79">
        <v>125</v>
      </c>
      <c r="L7" s="66">
        <f>J7-K7</f>
        <v>5475</v>
      </c>
    </row>
    <row r="8" spans="1:12" ht="15.75" x14ac:dyDescent="0.25">
      <c r="A8" s="78" t="s">
        <v>19</v>
      </c>
      <c r="B8" s="78">
        <v>2000</v>
      </c>
      <c r="E8">
        <f t="shared" si="0"/>
        <v>333.33333333333331</v>
      </c>
      <c r="I8" s="79" t="s">
        <v>94</v>
      </c>
      <c r="J8" s="79">
        <v>4000</v>
      </c>
      <c r="K8" s="79">
        <v>125</v>
      </c>
      <c r="L8" s="66">
        <f>J8-K8</f>
        <v>3875</v>
      </c>
    </row>
    <row r="9" spans="1:12" ht="15.75" x14ac:dyDescent="0.25">
      <c r="A9" s="78" t="s">
        <v>132</v>
      </c>
      <c r="B9" s="78">
        <v>120</v>
      </c>
      <c r="E9">
        <f t="shared" si="0"/>
        <v>20</v>
      </c>
      <c r="I9" s="79" t="s">
        <v>103</v>
      </c>
      <c r="J9" s="79">
        <v>5600</v>
      </c>
      <c r="K9" s="79"/>
      <c r="L9" s="66">
        <v>5600</v>
      </c>
    </row>
    <row r="10" spans="1:12" ht="15.75" x14ac:dyDescent="0.25">
      <c r="A10" s="78" t="s">
        <v>16</v>
      </c>
      <c r="B10" s="78">
        <v>770</v>
      </c>
      <c r="E10">
        <f t="shared" si="0"/>
        <v>128.33333333333334</v>
      </c>
    </row>
    <row r="11" spans="1:12" ht="15.75" x14ac:dyDescent="0.25">
      <c r="A11" s="78" t="s">
        <v>20</v>
      </c>
      <c r="B11" s="78">
        <v>1781</v>
      </c>
      <c r="E11">
        <f t="shared" si="0"/>
        <v>296.83333333333331</v>
      </c>
    </row>
    <row r="12" spans="1:12" ht="15.75" x14ac:dyDescent="0.25">
      <c r="A12" s="78" t="s">
        <v>40</v>
      </c>
      <c r="B12" s="78">
        <v>1000</v>
      </c>
      <c r="E12">
        <f>B12/5</f>
        <v>200</v>
      </c>
    </row>
    <row r="13" spans="1:12" ht="15.75" x14ac:dyDescent="0.25">
      <c r="A13" s="78" t="s">
        <v>141</v>
      </c>
      <c r="B13" s="78">
        <v>2500</v>
      </c>
      <c r="E13">
        <f t="shared" si="0"/>
        <v>416.66666666666669</v>
      </c>
    </row>
    <row r="14" spans="1:12" ht="18" x14ac:dyDescent="0.3">
      <c r="A14" s="44" t="s">
        <v>17</v>
      </c>
      <c r="B14" s="45">
        <f>SUM(B2:B13)</f>
        <v>31921</v>
      </c>
      <c r="E14">
        <f>SUM(E2:E13)</f>
        <v>5586.833333333333</v>
      </c>
      <c r="J14" t="s">
        <v>144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2"/>
  <sheetViews>
    <sheetView topLeftCell="B1" workbookViewId="0">
      <selection activeCell="J20" sqref="J20"/>
    </sheetView>
  </sheetViews>
  <sheetFormatPr defaultRowHeight="15" x14ac:dyDescent="0.25"/>
  <cols>
    <col min="13" max="13" width="23.42578125" bestFit="1" customWidth="1"/>
    <col min="17" max="17" width="12.5703125" bestFit="1" customWidth="1"/>
  </cols>
  <sheetData>
    <row r="3" spans="2:18" x14ac:dyDescent="0.25">
      <c r="B3" t="s">
        <v>11</v>
      </c>
      <c r="C3" t="s">
        <v>145</v>
      </c>
      <c r="D3" t="s">
        <v>146</v>
      </c>
      <c r="E3" t="s">
        <v>147</v>
      </c>
      <c r="F3" t="s">
        <v>30</v>
      </c>
      <c r="G3" t="s">
        <v>148</v>
      </c>
    </row>
    <row r="4" spans="2:18" x14ac:dyDescent="0.25">
      <c r="B4">
        <v>269</v>
      </c>
      <c r="C4">
        <v>50</v>
      </c>
      <c r="D4">
        <v>360</v>
      </c>
      <c r="F4">
        <v>160</v>
      </c>
      <c r="G4">
        <v>125</v>
      </c>
    </row>
    <row r="5" spans="2:18" x14ac:dyDescent="0.25">
      <c r="B5">
        <v>1394</v>
      </c>
      <c r="C5">
        <v>75</v>
      </c>
    </row>
    <row r="6" spans="2:18" x14ac:dyDescent="0.25">
      <c r="B6">
        <v>454</v>
      </c>
    </row>
    <row r="7" spans="2:18" x14ac:dyDescent="0.25">
      <c r="B7">
        <v>340</v>
      </c>
    </row>
    <row r="8" spans="2:18" x14ac:dyDescent="0.25">
      <c r="B8">
        <v>60</v>
      </c>
    </row>
    <row r="9" spans="2:18" x14ac:dyDescent="0.25">
      <c r="M9" s="67">
        <v>42887</v>
      </c>
    </row>
    <row r="10" spans="2:18" x14ac:dyDescent="0.25">
      <c r="B10">
        <f>SUM(B4:B8)</f>
        <v>2517</v>
      </c>
      <c r="C10">
        <f t="shared" ref="C10:G10" si="0">SUM(C4:C8)</f>
        <v>125</v>
      </c>
      <c r="D10">
        <f t="shared" si="0"/>
        <v>360</v>
      </c>
      <c r="E10">
        <f t="shared" si="0"/>
        <v>0</v>
      </c>
      <c r="F10">
        <f t="shared" si="0"/>
        <v>160</v>
      </c>
      <c r="G10">
        <f t="shared" si="0"/>
        <v>125</v>
      </c>
      <c r="J10">
        <f>SUM(B10:G10)</f>
        <v>3287</v>
      </c>
      <c r="M10" t="s">
        <v>30</v>
      </c>
      <c r="N10">
        <v>5440</v>
      </c>
      <c r="Q10" t="s">
        <v>149</v>
      </c>
      <c r="R10">
        <v>8500</v>
      </c>
    </row>
    <row r="11" spans="2:18" x14ac:dyDescent="0.25">
      <c r="M11" t="s">
        <v>103</v>
      </c>
      <c r="N11">
        <v>5600</v>
      </c>
      <c r="Q11" t="s">
        <v>19</v>
      </c>
      <c r="R11">
        <v>2000</v>
      </c>
    </row>
    <row r="12" spans="2:18" x14ac:dyDescent="0.25">
      <c r="M12" t="s">
        <v>150</v>
      </c>
      <c r="N12">
        <v>208</v>
      </c>
      <c r="Q12" t="s">
        <v>20</v>
      </c>
      <c r="R12">
        <v>1655</v>
      </c>
    </row>
    <row r="13" spans="2:18" x14ac:dyDescent="0.25">
      <c r="M13" t="s">
        <v>151</v>
      </c>
      <c r="N13">
        <v>270</v>
      </c>
      <c r="Q13" t="s">
        <v>152</v>
      </c>
      <c r="R13">
        <v>332</v>
      </c>
    </row>
    <row r="14" spans="2:18" x14ac:dyDescent="0.25">
      <c r="M14" t="s">
        <v>153</v>
      </c>
      <c r="N14">
        <v>900</v>
      </c>
      <c r="Q14" t="s">
        <v>154</v>
      </c>
      <c r="R14">
        <v>393</v>
      </c>
    </row>
    <row r="15" spans="2:18" x14ac:dyDescent="0.25">
      <c r="M15" t="s">
        <v>155</v>
      </c>
      <c r="N15">
        <v>775</v>
      </c>
      <c r="Q15" t="s">
        <v>156</v>
      </c>
      <c r="R15">
        <v>100</v>
      </c>
    </row>
    <row r="16" spans="2:18" x14ac:dyDescent="0.25">
      <c r="M16" t="s">
        <v>157</v>
      </c>
      <c r="N16">
        <v>1000</v>
      </c>
    </row>
    <row r="20" spans="14:18" x14ac:dyDescent="0.25">
      <c r="N20">
        <f>SUM(N10:N19)</f>
        <v>14193</v>
      </c>
      <c r="R20">
        <f>SUM(R10:R19)</f>
        <v>12980</v>
      </c>
    </row>
    <row r="22" spans="14:18" x14ac:dyDescent="0.25">
      <c r="O22" t="s">
        <v>158</v>
      </c>
      <c r="Q22">
        <f>N20-R20</f>
        <v>1213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18" sqref="A18:A22"/>
    </sheetView>
  </sheetViews>
  <sheetFormatPr defaultRowHeight="15" x14ac:dyDescent="0.25"/>
  <cols>
    <col min="1" max="1" width="25.7109375" customWidth="1"/>
    <col min="2" max="2" width="15.140625" customWidth="1"/>
    <col min="3" max="3" width="21.7109375" customWidth="1"/>
  </cols>
  <sheetData>
    <row r="1" spans="1:13" ht="15.75" x14ac:dyDescent="0.25">
      <c r="A1" s="77" t="s">
        <v>36</v>
      </c>
      <c r="B1" s="77" t="s">
        <v>1</v>
      </c>
      <c r="C1" s="77" t="s">
        <v>37</v>
      </c>
      <c r="D1" s="3"/>
    </row>
    <row r="2" spans="1:13" ht="15.75" x14ac:dyDescent="0.25">
      <c r="A2" s="78" t="s">
        <v>6</v>
      </c>
      <c r="B2" s="78">
        <v>2768</v>
      </c>
      <c r="C2" s="10">
        <f>B2/5</f>
        <v>553.6</v>
      </c>
      <c r="D2" s="3"/>
      <c r="E2" s="79"/>
    </row>
    <row r="3" spans="1:13" ht="15.75" x14ac:dyDescent="0.25">
      <c r="A3" s="78" t="s">
        <v>8</v>
      </c>
      <c r="B3" s="78">
        <v>2000</v>
      </c>
      <c r="C3" s="10">
        <f t="shared" ref="C3:C15" si="0">B3/5</f>
        <v>400</v>
      </c>
      <c r="D3" s="3"/>
      <c r="E3" s="79"/>
    </row>
    <row r="4" spans="1:13" ht="15.75" x14ac:dyDescent="0.25">
      <c r="A4" s="78" t="s">
        <v>10</v>
      </c>
      <c r="B4" s="78">
        <v>600</v>
      </c>
      <c r="C4" s="10">
        <f t="shared" si="0"/>
        <v>120</v>
      </c>
      <c r="D4" s="3"/>
      <c r="E4" s="79"/>
    </row>
    <row r="5" spans="1:13" ht="15.75" x14ac:dyDescent="0.25">
      <c r="A5" s="78" t="s">
        <v>38</v>
      </c>
      <c r="B5" s="78">
        <v>720</v>
      </c>
      <c r="C5" s="10">
        <f t="shared" si="0"/>
        <v>144</v>
      </c>
      <c r="D5" s="3"/>
      <c r="E5" s="79"/>
    </row>
    <row r="6" spans="1:13" ht="15.75" x14ac:dyDescent="0.25">
      <c r="A6" s="78" t="s">
        <v>14</v>
      </c>
      <c r="B6" s="78">
        <v>8500</v>
      </c>
      <c r="C6" s="10">
        <f t="shared" si="0"/>
        <v>1700</v>
      </c>
      <c r="D6" s="3"/>
      <c r="E6" s="15"/>
    </row>
    <row r="7" spans="1:13" ht="15.75" x14ac:dyDescent="0.25">
      <c r="A7" s="78" t="s">
        <v>16</v>
      </c>
      <c r="B7" s="78">
        <v>640</v>
      </c>
      <c r="C7" s="10">
        <f t="shared" si="0"/>
        <v>128</v>
      </c>
      <c r="D7" s="3"/>
      <c r="E7" s="15"/>
    </row>
    <row r="8" spans="1:13" ht="15.75" x14ac:dyDescent="0.25">
      <c r="A8" s="78" t="s">
        <v>18</v>
      </c>
      <c r="B8" s="78">
        <v>5500</v>
      </c>
      <c r="C8" s="10">
        <f t="shared" si="0"/>
        <v>1100</v>
      </c>
      <c r="D8" s="3"/>
      <c r="E8" s="15"/>
      <c r="J8" s="13">
        <v>42100</v>
      </c>
      <c r="K8">
        <v>2100</v>
      </c>
      <c r="L8">
        <v>5130</v>
      </c>
      <c r="M8">
        <f>K8+L8</f>
        <v>7230</v>
      </c>
    </row>
    <row r="9" spans="1:13" ht="15.75" x14ac:dyDescent="0.25">
      <c r="A9" s="78" t="s">
        <v>19</v>
      </c>
      <c r="B9" s="78">
        <v>1000</v>
      </c>
      <c r="C9" s="10">
        <f t="shared" si="0"/>
        <v>200</v>
      </c>
      <c r="D9" s="3"/>
      <c r="E9" s="15"/>
      <c r="F9" s="3"/>
      <c r="G9" s="3"/>
      <c r="H9" s="3"/>
    </row>
    <row r="10" spans="1:13" ht="15.75" x14ac:dyDescent="0.25">
      <c r="A10" s="78" t="s">
        <v>20</v>
      </c>
      <c r="B10" s="78">
        <v>1500</v>
      </c>
      <c r="C10" s="10">
        <f t="shared" si="0"/>
        <v>300</v>
      </c>
      <c r="D10" s="3"/>
      <c r="E10" s="78"/>
      <c r="F10" s="3"/>
      <c r="G10" s="3"/>
      <c r="H10" s="3"/>
    </row>
    <row r="11" spans="1:13" ht="15.75" x14ac:dyDescent="0.25">
      <c r="A11" s="78" t="s">
        <v>39</v>
      </c>
      <c r="B11" s="78">
        <v>1000</v>
      </c>
      <c r="C11" s="10">
        <f t="shared" si="0"/>
        <v>200</v>
      </c>
      <c r="D11" s="3"/>
      <c r="E11" s="16"/>
      <c r="F11" s="3"/>
      <c r="G11" s="3"/>
      <c r="H11" s="3"/>
    </row>
    <row r="12" spans="1:13" ht="15.75" x14ac:dyDescent="0.25">
      <c r="A12" s="78" t="s">
        <v>40</v>
      </c>
      <c r="B12" s="78">
        <v>500</v>
      </c>
      <c r="C12" s="10">
        <f t="shared" si="0"/>
        <v>100</v>
      </c>
      <c r="D12" s="3"/>
      <c r="E12" s="16"/>
      <c r="F12" s="3"/>
      <c r="G12" s="3"/>
      <c r="H12" s="3"/>
    </row>
    <row r="13" spans="1:13" ht="15.75" x14ac:dyDescent="0.25">
      <c r="A13" s="78" t="s">
        <v>41</v>
      </c>
      <c r="B13" s="78">
        <v>500</v>
      </c>
      <c r="C13" s="10">
        <f t="shared" si="0"/>
        <v>100</v>
      </c>
      <c r="D13" s="3"/>
      <c r="E13" s="78"/>
      <c r="F13" s="3"/>
      <c r="G13" s="3"/>
      <c r="H13" s="3"/>
    </row>
    <row r="14" spans="1:13" ht="15.75" x14ac:dyDescent="0.25">
      <c r="A14" s="78" t="s">
        <v>42</v>
      </c>
      <c r="B14" s="78">
        <v>600</v>
      </c>
      <c r="C14" s="10">
        <f t="shared" si="0"/>
        <v>120</v>
      </c>
      <c r="D14" s="3"/>
      <c r="E14" s="16"/>
      <c r="F14" s="3"/>
      <c r="G14" s="3"/>
      <c r="H14" s="3"/>
    </row>
    <row r="15" spans="1:13" ht="15.75" x14ac:dyDescent="0.25">
      <c r="A15" s="8" t="s">
        <v>17</v>
      </c>
      <c r="B15" s="8">
        <f>SUM(B2:B14)</f>
        <v>25828</v>
      </c>
      <c r="C15" s="10">
        <f t="shared" si="0"/>
        <v>5165.6000000000004</v>
      </c>
      <c r="D15" s="3"/>
      <c r="E15" s="3"/>
      <c r="F15" s="3"/>
      <c r="G15" s="3"/>
      <c r="H15" s="3"/>
    </row>
    <row r="16" spans="1:13" ht="15.75" x14ac:dyDescent="0.25">
      <c r="E16" s="3"/>
      <c r="F16" s="3"/>
      <c r="G16" s="3"/>
    </row>
    <row r="17" spans="1:7" ht="15.75" x14ac:dyDescent="0.25">
      <c r="A17" s="9" t="s">
        <v>23</v>
      </c>
      <c r="B17" s="9" t="s">
        <v>3</v>
      </c>
      <c r="C17" s="9"/>
      <c r="E17" s="3"/>
      <c r="F17" s="3"/>
      <c r="G17" s="3"/>
    </row>
    <row r="18" spans="1:7" ht="15.75" x14ac:dyDescent="0.25">
      <c r="A18" s="78" t="s">
        <v>7</v>
      </c>
      <c r="B18" s="78">
        <v>5500</v>
      </c>
      <c r="C18">
        <f>1050-627</f>
        <v>423</v>
      </c>
      <c r="D18" s="14">
        <f>B18-C18</f>
        <v>5077</v>
      </c>
      <c r="E18" s="3"/>
      <c r="F18" s="3"/>
      <c r="G18" s="3"/>
    </row>
    <row r="19" spans="1:7" ht="15.75" x14ac:dyDescent="0.25">
      <c r="A19" s="78" t="s">
        <v>9</v>
      </c>
      <c r="B19" s="78">
        <v>5500</v>
      </c>
      <c r="C19" s="10">
        <v>370</v>
      </c>
      <c r="D19">
        <f t="shared" ref="D19:D22" si="1">B19-C19</f>
        <v>5130</v>
      </c>
      <c r="E19" s="3"/>
      <c r="F19" s="3"/>
      <c r="G19" s="3"/>
    </row>
    <row r="20" spans="1:7" ht="15.75" x14ac:dyDescent="0.25">
      <c r="A20" s="78" t="s">
        <v>11</v>
      </c>
      <c r="B20" s="78">
        <v>5500</v>
      </c>
      <c r="C20">
        <v>100</v>
      </c>
      <c r="D20" s="14">
        <f t="shared" si="1"/>
        <v>5400</v>
      </c>
      <c r="E20" s="3"/>
      <c r="F20" s="3"/>
      <c r="G20" s="3"/>
    </row>
    <row r="21" spans="1:7" ht="15.75" x14ac:dyDescent="0.25">
      <c r="A21" s="6" t="s">
        <v>30</v>
      </c>
      <c r="B21" s="78">
        <v>5500</v>
      </c>
      <c r="C21" s="10"/>
      <c r="D21" s="14">
        <f t="shared" si="1"/>
        <v>5500</v>
      </c>
    </row>
    <row r="22" spans="1:7" ht="15.75" x14ac:dyDescent="0.25">
      <c r="A22" s="6" t="s">
        <v>15</v>
      </c>
      <c r="B22" s="78">
        <v>5500</v>
      </c>
      <c r="C22" s="10"/>
      <c r="D22" s="14">
        <f t="shared" si="1"/>
        <v>5500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16" sqref="I16"/>
    </sheetView>
  </sheetViews>
  <sheetFormatPr defaultRowHeight="15" x14ac:dyDescent="0.25"/>
  <cols>
    <col min="1" max="1" width="29.85546875" bestFit="1" customWidth="1"/>
    <col min="2" max="2" width="12.7109375" customWidth="1"/>
  </cols>
  <sheetData>
    <row r="1" spans="1:10" ht="15.75" x14ac:dyDescent="0.25">
      <c r="A1" s="77" t="s">
        <v>48</v>
      </c>
      <c r="B1" s="77" t="s">
        <v>89</v>
      </c>
    </row>
    <row r="2" spans="1:10" ht="15.75" x14ac:dyDescent="0.25">
      <c r="A2" s="78" t="s">
        <v>60</v>
      </c>
      <c r="B2" s="78">
        <v>-2500</v>
      </c>
      <c r="E2">
        <f>B2/6</f>
        <v>-416.66666666666669</v>
      </c>
    </row>
    <row r="3" spans="1:10" ht="15.75" x14ac:dyDescent="0.25">
      <c r="A3" s="78" t="s">
        <v>6</v>
      </c>
      <c r="B3" s="78">
        <v>3000</v>
      </c>
      <c r="E3">
        <f>B3/5</f>
        <v>600</v>
      </c>
      <c r="I3" s="64" t="s">
        <v>137</v>
      </c>
      <c r="J3" s="64" t="s">
        <v>126</v>
      </c>
    </row>
    <row r="4" spans="1:10" ht="15.75" x14ac:dyDescent="0.25">
      <c r="A4" s="78" t="s">
        <v>91</v>
      </c>
      <c r="B4" s="78">
        <v>3000</v>
      </c>
      <c r="E4">
        <f>B4/5</f>
        <v>600</v>
      </c>
      <c r="I4" s="79" t="s">
        <v>30</v>
      </c>
      <c r="J4" s="79">
        <v>5700</v>
      </c>
    </row>
    <row r="5" spans="1:10" ht="15.75" x14ac:dyDescent="0.25">
      <c r="A5" s="78" t="s">
        <v>130</v>
      </c>
      <c r="B5" s="78">
        <v>700</v>
      </c>
      <c r="E5">
        <f>B5/5</f>
        <v>140</v>
      </c>
      <c r="I5" s="79" t="s">
        <v>9</v>
      </c>
      <c r="J5" s="79">
        <v>5700</v>
      </c>
    </row>
    <row r="6" spans="1:10" ht="15.75" x14ac:dyDescent="0.25">
      <c r="A6" s="78" t="s">
        <v>14</v>
      </c>
      <c r="B6" s="78">
        <v>8500</v>
      </c>
      <c r="E6">
        <f t="shared" ref="E6:E13" si="0">B6/6</f>
        <v>1416.6666666666667</v>
      </c>
      <c r="I6" s="79" t="s">
        <v>11</v>
      </c>
      <c r="J6" s="79">
        <v>5700</v>
      </c>
    </row>
    <row r="7" spans="1:10" ht="15.75" x14ac:dyDescent="0.25">
      <c r="A7" s="78" t="s">
        <v>18</v>
      </c>
      <c r="B7" s="78">
        <v>7000</v>
      </c>
      <c r="E7">
        <f>B7/5</f>
        <v>1400</v>
      </c>
      <c r="I7" s="79" t="s">
        <v>93</v>
      </c>
      <c r="J7" s="79">
        <v>5700</v>
      </c>
    </row>
    <row r="8" spans="1:10" ht="15.75" x14ac:dyDescent="0.25">
      <c r="A8" s="78" t="s">
        <v>19</v>
      </c>
      <c r="B8" s="78">
        <v>2000</v>
      </c>
      <c r="E8">
        <f>B8/5</f>
        <v>400</v>
      </c>
      <c r="I8" s="79" t="s">
        <v>94</v>
      </c>
      <c r="J8" s="79">
        <v>2200</v>
      </c>
    </row>
    <row r="9" spans="1:10" ht="15.75" x14ac:dyDescent="0.25">
      <c r="A9" s="78" t="s">
        <v>132</v>
      </c>
      <c r="B9" s="78">
        <v>120</v>
      </c>
      <c r="E9">
        <f t="shared" si="0"/>
        <v>20</v>
      </c>
      <c r="I9" s="79" t="s">
        <v>103</v>
      </c>
      <c r="J9" s="79">
        <v>5700</v>
      </c>
    </row>
    <row r="10" spans="1:10" ht="15.75" x14ac:dyDescent="0.25">
      <c r="A10" s="78" t="s">
        <v>16</v>
      </c>
      <c r="B10" s="78">
        <v>770</v>
      </c>
      <c r="E10">
        <f>B10/5</f>
        <v>154</v>
      </c>
    </row>
    <row r="11" spans="1:10" ht="15.75" x14ac:dyDescent="0.25">
      <c r="A11" s="78" t="s">
        <v>20</v>
      </c>
      <c r="B11" s="78">
        <v>1781</v>
      </c>
      <c r="E11">
        <f t="shared" si="0"/>
        <v>296.83333333333331</v>
      </c>
    </row>
    <row r="12" spans="1:10" ht="15.75" x14ac:dyDescent="0.25">
      <c r="A12" s="78" t="s">
        <v>40</v>
      </c>
      <c r="B12" s="78">
        <v>1000</v>
      </c>
      <c r="E12">
        <f>B12/5</f>
        <v>200</v>
      </c>
    </row>
    <row r="13" spans="1:10" ht="15.75" x14ac:dyDescent="0.25">
      <c r="A13" s="78" t="s">
        <v>141</v>
      </c>
      <c r="B13" s="78">
        <v>5286</v>
      </c>
      <c r="E13">
        <f t="shared" si="0"/>
        <v>881</v>
      </c>
    </row>
    <row r="14" spans="1:10" ht="18" x14ac:dyDescent="0.3">
      <c r="A14" s="44" t="s">
        <v>17</v>
      </c>
      <c r="B14" s="45">
        <f>SUM(B2:B13)</f>
        <v>30657</v>
      </c>
      <c r="E14">
        <f>SUM(E2:E13)</f>
        <v>5691.833333333333</v>
      </c>
      <c r="J14" t="s">
        <v>144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120" zoomScaleNormal="120" workbookViewId="0">
      <selection activeCell="M15" sqref="A1:XFD1048576"/>
    </sheetView>
  </sheetViews>
  <sheetFormatPr defaultRowHeight="15" x14ac:dyDescent="0.25"/>
  <cols>
    <col min="1" max="1" width="29.85546875" bestFit="1" customWidth="1"/>
  </cols>
  <sheetData>
    <row r="1" spans="1:11" ht="15.75" x14ac:dyDescent="0.25">
      <c r="A1" s="77" t="s">
        <v>48</v>
      </c>
      <c r="B1" s="77" t="s">
        <v>89</v>
      </c>
    </row>
    <row r="2" spans="1:11" ht="15.75" x14ac:dyDescent="0.25">
      <c r="A2" s="78" t="s">
        <v>60</v>
      </c>
      <c r="B2" s="78">
        <v>950</v>
      </c>
      <c r="E2">
        <f>B2/5</f>
        <v>190</v>
      </c>
    </row>
    <row r="3" spans="1:11" ht="15.75" x14ac:dyDescent="0.25">
      <c r="A3" s="78" t="s">
        <v>159</v>
      </c>
      <c r="B3" s="78">
        <v>-108.44</v>
      </c>
      <c r="E3">
        <f>B3/5</f>
        <v>-21.687999999999999</v>
      </c>
    </row>
    <row r="4" spans="1:11" ht="15.75" x14ac:dyDescent="0.25">
      <c r="A4" s="78" t="s">
        <v>6</v>
      </c>
      <c r="B4" s="78">
        <v>3000</v>
      </c>
      <c r="E4">
        <f t="shared" ref="E4:E16" si="0">B4/5</f>
        <v>600</v>
      </c>
      <c r="I4" s="64" t="s">
        <v>137</v>
      </c>
      <c r="J4" s="64" t="s">
        <v>126</v>
      </c>
    </row>
    <row r="5" spans="1:11" ht="15.75" x14ac:dyDescent="0.25">
      <c r="A5" s="78" t="s">
        <v>91</v>
      </c>
      <c r="B5" s="78">
        <v>3000</v>
      </c>
      <c r="C5">
        <v>2400</v>
      </c>
      <c r="E5">
        <f t="shared" si="0"/>
        <v>600</v>
      </c>
      <c r="I5" s="79" t="s">
        <v>30</v>
      </c>
      <c r="J5" s="79">
        <v>6300</v>
      </c>
    </row>
    <row r="6" spans="1:11" ht="15.75" x14ac:dyDescent="0.25">
      <c r="A6" s="78" t="s">
        <v>130</v>
      </c>
      <c r="B6" s="78">
        <v>900</v>
      </c>
      <c r="E6">
        <f t="shared" si="0"/>
        <v>180</v>
      </c>
      <c r="I6" s="79" t="s">
        <v>9</v>
      </c>
      <c r="J6" s="79">
        <v>6300</v>
      </c>
      <c r="K6">
        <v>4750</v>
      </c>
    </row>
    <row r="7" spans="1:11" ht="15.75" x14ac:dyDescent="0.25">
      <c r="A7" s="78" t="s">
        <v>160</v>
      </c>
      <c r="B7" s="78">
        <v>700</v>
      </c>
      <c r="E7">
        <f t="shared" si="0"/>
        <v>140</v>
      </c>
      <c r="I7" s="79" t="s">
        <v>11</v>
      </c>
      <c r="J7" s="79">
        <v>6300</v>
      </c>
      <c r="K7">
        <v>4091</v>
      </c>
    </row>
    <row r="8" spans="1:11" ht="15.75" x14ac:dyDescent="0.25">
      <c r="A8" s="78" t="s">
        <v>14</v>
      </c>
      <c r="B8" s="78">
        <v>8500</v>
      </c>
      <c r="E8">
        <f t="shared" si="0"/>
        <v>1700</v>
      </c>
      <c r="I8" s="79" t="s">
        <v>93</v>
      </c>
      <c r="J8" s="79">
        <v>6300</v>
      </c>
      <c r="K8">
        <v>6165</v>
      </c>
    </row>
    <row r="9" spans="1:11" ht="15.75" x14ac:dyDescent="0.25">
      <c r="A9" s="78" t="s">
        <v>18</v>
      </c>
      <c r="B9" s="78">
        <v>7000</v>
      </c>
      <c r="E9">
        <f t="shared" si="0"/>
        <v>1400</v>
      </c>
      <c r="I9" s="79" t="s">
        <v>103</v>
      </c>
      <c r="J9" s="79">
        <v>6300</v>
      </c>
    </row>
    <row r="10" spans="1:11" ht="15.75" x14ac:dyDescent="0.25">
      <c r="A10" s="78" t="s">
        <v>19</v>
      </c>
      <c r="B10" s="78">
        <v>2000</v>
      </c>
      <c r="E10">
        <f t="shared" si="0"/>
        <v>400</v>
      </c>
    </row>
    <row r="11" spans="1:11" ht="15.75" x14ac:dyDescent="0.25">
      <c r="A11" s="78" t="s">
        <v>132</v>
      </c>
      <c r="B11" s="78">
        <v>120</v>
      </c>
      <c r="E11">
        <f t="shared" si="0"/>
        <v>24</v>
      </c>
    </row>
    <row r="12" spans="1:11" ht="15.75" x14ac:dyDescent="0.25">
      <c r="A12" s="78" t="s">
        <v>16</v>
      </c>
      <c r="B12" s="78">
        <v>770</v>
      </c>
      <c r="E12">
        <f t="shared" si="0"/>
        <v>154</v>
      </c>
    </row>
    <row r="13" spans="1:11" ht="15.75" x14ac:dyDescent="0.25">
      <c r="A13" s="78" t="s">
        <v>20</v>
      </c>
      <c r="B13" s="78">
        <v>1681</v>
      </c>
      <c r="E13">
        <f t="shared" si="0"/>
        <v>336.2</v>
      </c>
    </row>
    <row r="14" spans="1:11" ht="15.75" x14ac:dyDescent="0.25">
      <c r="A14" s="78" t="s">
        <v>40</v>
      </c>
      <c r="B14" s="78">
        <v>1000</v>
      </c>
      <c r="E14">
        <f t="shared" si="0"/>
        <v>200</v>
      </c>
      <c r="J14" t="s">
        <v>144</v>
      </c>
    </row>
    <row r="15" spans="1:11" ht="15.75" x14ac:dyDescent="0.25">
      <c r="A15" s="78" t="s">
        <v>141</v>
      </c>
      <c r="B15" s="78">
        <v>2000</v>
      </c>
      <c r="E15">
        <f t="shared" si="0"/>
        <v>400</v>
      </c>
    </row>
    <row r="16" spans="1:11" ht="18" x14ac:dyDescent="0.3">
      <c r="A16" s="44" t="s">
        <v>17</v>
      </c>
      <c r="B16" s="45">
        <f>SUM(B2:B15)</f>
        <v>31512.559999999998</v>
      </c>
      <c r="E16">
        <f t="shared" si="0"/>
        <v>6302.5119999999997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23" sqref="H23"/>
    </sheetView>
  </sheetViews>
  <sheetFormatPr defaultRowHeight="15" x14ac:dyDescent="0.25"/>
  <cols>
    <col min="1" max="1" width="29.85546875" bestFit="1" customWidth="1"/>
  </cols>
  <sheetData>
    <row r="1" spans="1:11" ht="15.75" x14ac:dyDescent="0.25">
      <c r="A1" s="77" t="s">
        <v>48</v>
      </c>
      <c r="B1" s="77" t="s">
        <v>89</v>
      </c>
    </row>
    <row r="2" spans="1:11" ht="15.75" x14ac:dyDescent="0.25">
      <c r="A2" s="78" t="s">
        <v>60</v>
      </c>
      <c r="B2" s="78">
        <v>-3950</v>
      </c>
      <c r="E2">
        <f>B2/5</f>
        <v>-790</v>
      </c>
    </row>
    <row r="3" spans="1:11" ht="15.75" x14ac:dyDescent="0.25">
      <c r="A3" s="78" t="s">
        <v>159</v>
      </c>
      <c r="B3" s="78">
        <v>-65.650000000000006</v>
      </c>
      <c r="E3">
        <f>B3/5</f>
        <v>-13.13</v>
      </c>
    </row>
    <row r="4" spans="1:11" ht="15.75" x14ac:dyDescent="0.25">
      <c r="A4" s="78" t="s">
        <v>6</v>
      </c>
      <c r="B4" s="78">
        <v>3000</v>
      </c>
      <c r="E4">
        <f t="shared" ref="E4:E15" si="0">B4/5</f>
        <v>600</v>
      </c>
      <c r="I4" s="64" t="s">
        <v>137</v>
      </c>
      <c r="J4" s="64" t="s">
        <v>126</v>
      </c>
    </row>
    <row r="5" spans="1:11" ht="15.75" x14ac:dyDescent="0.25">
      <c r="A5" s="78" t="s">
        <v>91</v>
      </c>
      <c r="B5" s="78">
        <v>3000</v>
      </c>
      <c r="E5">
        <f t="shared" si="0"/>
        <v>600</v>
      </c>
      <c r="I5" s="79" t="s">
        <v>30</v>
      </c>
      <c r="J5" s="79">
        <v>5700</v>
      </c>
    </row>
    <row r="6" spans="1:11" ht="15.75" x14ac:dyDescent="0.25">
      <c r="A6" s="78" t="s">
        <v>130</v>
      </c>
      <c r="B6" s="78">
        <v>900</v>
      </c>
      <c r="E6">
        <f t="shared" si="0"/>
        <v>180</v>
      </c>
      <c r="I6" s="79" t="s">
        <v>9</v>
      </c>
      <c r="J6" s="79">
        <v>5700</v>
      </c>
      <c r="K6">
        <v>4750</v>
      </c>
    </row>
    <row r="7" spans="1:11" ht="15.75" x14ac:dyDescent="0.25">
      <c r="A7" s="78" t="s">
        <v>160</v>
      </c>
      <c r="B7" s="78">
        <v>700</v>
      </c>
      <c r="E7">
        <f t="shared" si="0"/>
        <v>140</v>
      </c>
      <c r="I7" s="79" t="s">
        <v>11</v>
      </c>
      <c r="J7" s="79">
        <v>5700</v>
      </c>
      <c r="K7">
        <v>4091</v>
      </c>
    </row>
    <row r="8" spans="1:11" ht="15.75" x14ac:dyDescent="0.25">
      <c r="A8" s="78" t="s">
        <v>14</v>
      </c>
      <c r="B8" s="78">
        <v>8500</v>
      </c>
      <c r="E8">
        <f t="shared" si="0"/>
        <v>1700</v>
      </c>
      <c r="I8" s="79" t="s">
        <v>93</v>
      </c>
      <c r="J8" s="79">
        <v>5700</v>
      </c>
      <c r="K8">
        <v>6165</v>
      </c>
    </row>
    <row r="9" spans="1:11" ht="15.75" x14ac:dyDescent="0.25">
      <c r="A9" s="78" t="s">
        <v>18</v>
      </c>
      <c r="B9" s="78">
        <v>7000</v>
      </c>
      <c r="E9">
        <f t="shared" si="0"/>
        <v>1400</v>
      </c>
      <c r="I9" s="79" t="s">
        <v>103</v>
      </c>
      <c r="J9" s="79">
        <v>5700</v>
      </c>
    </row>
    <row r="10" spans="1:11" ht="15.75" x14ac:dyDescent="0.25">
      <c r="A10" s="78" t="s">
        <v>19</v>
      </c>
      <c r="B10" s="78">
        <v>1800</v>
      </c>
      <c r="E10">
        <f t="shared" si="0"/>
        <v>360</v>
      </c>
    </row>
    <row r="11" spans="1:11" ht="15.75" x14ac:dyDescent="0.25">
      <c r="A11" s="78" t="s">
        <v>132</v>
      </c>
      <c r="B11" s="78">
        <v>120</v>
      </c>
      <c r="E11">
        <f t="shared" si="0"/>
        <v>24</v>
      </c>
    </row>
    <row r="12" spans="1:11" ht="15.75" x14ac:dyDescent="0.25">
      <c r="A12" s="78" t="s">
        <v>20</v>
      </c>
      <c r="B12" s="78">
        <v>1681</v>
      </c>
      <c r="E12">
        <f t="shared" si="0"/>
        <v>336.2</v>
      </c>
    </row>
    <row r="13" spans="1:11" ht="15.75" x14ac:dyDescent="0.25">
      <c r="A13" s="78" t="s">
        <v>40</v>
      </c>
      <c r="B13" s="78">
        <v>1000</v>
      </c>
      <c r="E13">
        <f t="shared" si="0"/>
        <v>200</v>
      </c>
      <c r="J13" t="s">
        <v>144</v>
      </c>
    </row>
    <row r="14" spans="1:11" ht="15.75" x14ac:dyDescent="0.25">
      <c r="A14" s="78" t="s">
        <v>141</v>
      </c>
      <c r="B14" s="78">
        <v>4400</v>
      </c>
      <c r="E14">
        <f t="shared" si="0"/>
        <v>880</v>
      </c>
    </row>
    <row r="15" spans="1:11" ht="18" x14ac:dyDescent="0.3">
      <c r="A15" s="44" t="s">
        <v>17</v>
      </c>
      <c r="B15" s="45">
        <f>SUM(B2:B14)</f>
        <v>28085.35</v>
      </c>
      <c r="E15">
        <f t="shared" si="0"/>
        <v>5617.07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19" sqref="C19"/>
    </sheetView>
  </sheetViews>
  <sheetFormatPr defaultRowHeight="15" x14ac:dyDescent="0.25"/>
  <cols>
    <col min="1" max="1" width="29.85546875" bestFit="1" customWidth="1"/>
  </cols>
  <sheetData>
    <row r="1" spans="1:14" ht="15.75" x14ac:dyDescent="0.25">
      <c r="A1" s="77" t="s">
        <v>48</v>
      </c>
      <c r="B1" s="77" t="s">
        <v>89</v>
      </c>
    </row>
    <row r="2" spans="1:14" ht="15.75" x14ac:dyDescent="0.25">
      <c r="A2" s="78" t="s">
        <v>60</v>
      </c>
      <c r="B2" s="78">
        <v>1260</v>
      </c>
      <c r="E2">
        <f>B2/5</f>
        <v>252</v>
      </c>
    </row>
    <row r="3" spans="1:14" ht="15.75" x14ac:dyDescent="0.25">
      <c r="A3" s="78" t="s">
        <v>16</v>
      </c>
      <c r="B3" s="78">
        <v>670</v>
      </c>
      <c r="E3">
        <f>B3/5</f>
        <v>134</v>
      </c>
    </row>
    <row r="4" spans="1:14" ht="15.75" x14ac:dyDescent="0.25">
      <c r="A4" s="78" t="s">
        <v>6</v>
      </c>
      <c r="B4" s="78">
        <v>3000</v>
      </c>
      <c r="E4">
        <f t="shared" ref="E4:E15" si="0">B4/5</f>
        <v>600</v>
      </c>
      <c r="I4" s="64" t="s">
        <v>137</v>
      </c>
      <c r="J4" s="64" t="s">
        <v>126</v>
      </c>
    </row>
    <row r="5" spans="1:14" ht="15.75" x14ac:dyDescent="0.25">
      <c r="A5" s="78" t="s">
        <v>8</v>
      </c>
      <c r="B5" s="78">
        <v>2500</v>
      </c>
      <c r="E5">
        <f t="shared" si="0"/>
        <v>500</v>
      </c>
      <c r="I5" s="79" t="s">
        <v>30</v>
      </c>
      <c r="J5" s="79">
        <f>6300-1260</f>
        <v>5040</v>
      </c>
    </row>
    <row r="6" spans="1:14" ht="15.75" x14ac:dyDescent="0.25">
      <c r="A6" s="78" t="s">
        <v>130</v>
      </c>
      <c r="B6" s="78">
        <v>900</v>
      </c>
      <c r="E6">
        <f t="shared" si="0"/>
        <v>180</v>
      </c>
      <c r="I6" s="79" t="s">
        <v>9</v>
      </c>
      <c r="J6" s="79">
        <v>6300</v>
      </c>
    </row>
    <row r="7" spans="1:14" ht="15.75" x14ac:dyDescent="0.25">
      <c r="A7" s="78" t="s">
        <v>160</v>
      </c>
      <c r="B7" s="78">
        <v>700</v>
      </c>
      <c r="E7">
        <f t="shared" si="0"/>
        <v>140</v>
      </c>
      <c r="I7" s="79" t="s">
        <v>11</v>
      </c>
      <c r="J7" s="79">
        <v>6300</v>
      </c>
      <c r="M7" t="s">
        <v>161</v>
      </c>
      <c r="N7">
        <v>8590</v>
      </c>
    </row>
    <row r="8" spans="1:14" ht="15.75" x14ac:dyDescent="0.25">
      <c r="A8" s="78" t="s">
        <v>14</v>
      </c>
      <c r="B8" s="78">
        <v>8500</v>
      </c>
      <c r="E8">
        <f t="shared" si="0"/>
        <v>1700</v>
      </c>
      <c r="I8" s="79" t="s">
        <v>93</v>
      </c>
      <c r="J8" s="79">
        <v>6300</v>
      </c>
      <c r="M8" t="s">
        <v>162</v>
      </c>
      <c r="N8">
        <v>-5040</v>
      </c>
    </row>
    <row r="9" spans="1:14" ht="15.75" x14ac:dyDescent="0.25">
      <c r="A9" s="78" t="s">
        <v>18</v>
      </c>
      <c r="B9" s="78">
        <v>8500</v>
      </c>
      <c r="E9">
        <f t="shared" si="0"/>
        <v>1700</v>
      </c>
      <c r="I9" s="79" t="s">
        <v>103</v>
      </c>
      <c r="J9" s="79">
        <v>6300</v>
      </c>
      <c r="M9" t="s">
        <v>163</v>
      </c>
      <c r="N9">
        <v>-800</v>
      </c>
    </row>
    <row r="10" spans="1:14" ht="15.75" x14ac:dyDescent="0.25">
      <c r="A10" s="78" t="s">
        <v>19</v>
      </c>
      <c r="B10" s="78">
        <v>1700</v>
      </c>
      <c r="E10">
        <f t="shared" si="0"/>
        <v>340</v>
      </c>
      <c r="M10" t="s">
        <v>164</v>
      </c>
      <c r="N10">
        <v>1018</v>
      </c>
    </row>
    <row r="11" spans="1:14" ht="15.75" x14ac:dyDescent="0.25">
      <c r="A11" s="78" t="s">
        <v>132</v>
      </c>
      <c r="B11" s="78">
        <v>120</v>
      </c>
      <c r="E11">
        <f t="shared" si="0"/>
        <v>24</v>
      </c>
    </row>
    <row r="12" spans="1:14" ht="15.75" x14ac:dyDescent="0.25">
      <c r="A12" s="78" t="s">
        <v>20</v>
      </c>
      <c r="B12" s="78">
        <v>1681</v>
      </c>
      <c r="E12">
        <f t="shared" si="0"/>
        <v>336.2</v>
      </c>
      <c r="M12" t="s">
        <v>163</v>
      </c>
      <c r="N12">
        <f>SUM(N7:N11)</f>
        <v>3768</v>
      </c>
    </row>
    <row r="13" spans="1:14" ht="15.75" x14ac:dyDescent="0.25">
      <c r="A13" s="78" t="s">
        <v>40</v>
      </c>
      <c r="B13" s="78">
        <v>1000</v>
      </c>
      <c r="E13">
        <f t="shared" si="0"/>
        <v>200</v>
      </c>
      <c r="J13" t="s">
        <v>144</v>
      </c>
    </row>
    <row r="14" spans="1:14" ht="15.75" x14ac:dyDescent="0.25">
      <c r="A14" s="78" t="s">
        <v>141</v>
      </c>
      <c r="B14" s="78">
        <v>1000</v>
      </c>
      <c r="E14">
        <f t="shared" si="0"/>
        <v>200</v>
      </c>
    </row>
    <row r="15" spans="1:14" ht="18" x14ac:dyDescent="0.3">
      <c r="A15" s="44" t="s">
        <v>17</v>
      </c>
      <c r="B15" s="45">
        <f>SUM(B2:B14)</f>
        <v>31531</v>
      </c>
      <c r="E15">
        <f t="shared" si="0"/>
        <v>6306.2</v>
      </c>
      <c r="M15" t="s">
        <v>165</v>
      </c>
      <c r="N15">
        <f>4000-N12</f>
        <v>232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8"/>
  <sheetViews>
    <sheetView topLeftCell="J1" workbookViewId="0">
      <selection activeCell="R20" sqref="R20"/>
    </sheetView>
  </sheetViews>
  <sheetFormatPr defaultRowHeight="15" x14ac:dyDescent="0.25"/>
  <cols>
    <col min="15" max="15" width="19" bestFit="1" customWidth="1"/>
    <col min="18" max="18" width="48.140625" bestFit="1" customWidth="1"/>
  </cols>
  <sheetData>
    <row r="3" spans="1:19" x14ac:dyDescent="0.25">
      <c r="B3">
        <v>527</v>
      </c>
      <c r="O3" s="103" t="s">
        <v>49</v>
      </c>
      <c r="P3" s="104"/>
      <c r="R3" s="103" t="s">
        <v>50</v>
      </c>
      <c r="S3" s="104"/>
    </row>
    <row r="4" spans="1:19" x14ac:dyDescent="0.25">
      <c r="D4">
        <v>520</v>
      </c>
      <c r="O4" s="79" t="s">
        <v>103</v>
      </c>
      <c r="P4" s="79">
        <f>10000-5700</f>
        <v>4300</v>
      </c>
      <c r="R4" s="79" t="s">
        <v>149</v>
      </c>
      <c r="S4" s="79">
        <v>8500</v>
      </c>
    </row>
    <row r="5" spans="1:19" x14ac:dyDescent="0.25">
      <c r="B5">
        <v>130</v>
      </c>
      <c r="O5" s="79" t="s">
        <v>93</v>
      </c>
      <c r="P5" s="79">
        <v>6165</v>
      </c>
      <c r="R5" s="79" t="s">
        <v>19</v>
      </c>
      <c r="S5" s="79">
        <v>2000</v>
      </c>
    </row>
    <row r="6" spans="1:19" x14ac:dyDescent="0.25">
      <c r="B6">
        <v>80</v>
      </c>
      <c r="O6" s="79" t="s">
        <v>166</v>
      </c>
      <c r="P6" s="79">
        <f>P4+P5</f>
        <v>10465</v>
      </c>
      <c r="R6" s="79" t="s">
        <v>167</v>
      </c>
      <c r="S6" s="79">
        <f>-1800</f>
        <v>-1800</v>
      </c>
    </row>
    <row r="7" spans="1:19" x14ac:dyDescent="0.25">
      <c r="A7" t="s">
        <v>11</v>
      </c>
      <c r="B7">
        <v>167</v>
      </c>
      <c r="D7">
        <v>36</v>
      </c>
      <c r="E7">
        <v>18</v>
      </c>
      <c r="G7">
        <v>1988</v>
      </c>
      <c r="J7">
        <v>6300</v>
      </c>
      <c r="L7">
        <f>J7-G7-E7-D7-B7</f>
        <v>4091</v>
      </c>
      <c r="O7" s="79" t="s">
        <v>168</v>
      </c>
      <c r="P7" s="79">
        <v>6300</v>
      </c>
      <c r="R7" s="79" t="s">
        <v>20</v>
      </c>
      <c r="S7" s="79">
        <v>1689</v>
      </c>
    </row>
    <row r="8" spans="1:19" x14ac:dyDescent="0.25">
      <c r="O8" s="79"/>
      <c r="P8" s="79"/>
      <c r="R8" s="79" t="s">
        <v>169</v>
      </c>
      <c r="S8" s="79">
        <v>50</v>
      </c>
    </row>
    <row r="9" spans="1:19" x14ac:dyDescent="0.25">
      <c r="J9">
        <v>6300</v>
      </c>
      <c r="K9">
        <f>-135+J9</f>
        <v>6165</v>
      </c>
      <c r="O9" s="79"/>
      <c r="P9" s="79"/>
      <c r="R9" s="79" t="s">
        <v>170</v>
      </c>
      <c r="S9" s="79">
        <v>2300</v>
      </c>
    </row>
    <row r="10" spans="1:19" x14ac:dyDescent="0.25">
      <c r="O10" s="79" t="s">
        <v>171</v>
      </c>
      <c r="P10" s="79">
        <f>P6+P7</f>
        <v>16765</v>
      </c>
      <c r="R10" s="65" t="s">
        <v>172</v>
      </c>
      <c r="S10" s="65">
        <v>1020</v>
      </c>
    </row>
    <row r="11" spans="1:19" x14ac:dyDescent="0.25">
      <c r="A11" t="s">
        <v>103</v>
      </c>
      <c r="B11">
        <v>10000</v>
      </c>
      <c r="C11">
        <f>6300+5700</f>
        <v>12000</v>
      </c>
      <c r="R11" s="79" t="s">
        <v>173</v>
      </c>
      <c r="S11" s="79">
        <f>SUM(S4:S10)</f>
        <v>13759</v>
      </c>
    </row>
    <row r="18" spans="15:16" x14ac:dyDescent="0.25">
      <c r="O18" s="79" t="s">
        <v>174</v>
      </c>
      <c r="P18" s="79">
        <f>P10-S11</f>
        <v>3006</v>
      </c>
    </row>
  </sheetData>
  <mergeCells count="2">
    <mergeCell ref="O3:P3"/>
    <mergeCell ref="R3:S3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8" sqref="B8"/>
    </sheetView>
  </sheetViews>
  <sheetFormatPr defaultRowHeight="15" x14ac:dyDescent="0.25"/>
  <cols>
    <col min="1" max="1" width="19.42578125" bestFit="1" customWidth="1"/>
  </cols>
  <sheetData>
    <row r="1" spans="1:10" ht="15.75" x14ac:dyDescent="0.25">
      <c r="A1" s="77" t="s">
        <v>48</v>
      </c>
      <c r="B1" s="77" t="s">
        <v>89</v>
      </c>
    </row>
    <row r="2" spans="1:10" ht="15.75" x14ac:dyDescent="0.25">
      <c r="A2" s="78" t="s">
        <v>60</v>
      </c>
      <c r="B2" s="78">
        <v>-2000</v>
      </c>
      <c r="E2">
        <f>B2/5</f>
        <v>-400</v>
      </c>
    </row>
    <row r="3" spans="1:10" ht="15.75" x14ac:dyDescent="0.25">
      <c r="A3" s="78" t="s">
        <v>6</v>
      </c>
      <c r="B3" s="78">
        <v>3000</v>
      </c>
      <c r="E3">
        <f t="shared" ref="E3:E14" si="0">B3/5</f>
        <v>600</v>
      </c>
      <c r="I3" s="64" t="s">
        <v>137</v>
      </c>
      <c r="J3" s="64" t="s">
        <v>126</v>
      </c>
    </row>
    <row r="4" spans="1:10" ht="15.75" x14ac:dyDescent="0.25">
      <c r="A4" s="78" t="s">
        <v>8</v>
      </c>
      <c r="B4" s="78">
        <v>2500</v>
      </c>
      <c r="E4">
        <f t="shared" si="0"/>
        <v>500</v>
      </c>
      <c r="I4" s="79" t="s">
        <v>30</v>
      </c>
      <c r="J4" s="79">
        <v>5500</v>
      </c>
    </row>
    <row r="5" spans="1:10" ht="15.75" x14ac:dyDescent="0.25">
      <c r="A5" s="78" t="s">
        <v>130</v>
      </c>
      <c r="B5" s="78">
        <v>900</v>
      </c>
      <c r="E5">
        <f t="shared" si="0"/>
        <v>180</v>
      </c>
      <c r="I5" s="79" t="s">
        <v>9</v>
      </c>
      <c r="J5" s="79">
        <v>5500</v>
      </c>
    </row>
    <row r="6" spans="1:10" ht="15.75" x14ac:dyDescent="0.25">
      <c r="A6" s="78" t="s">
        <v>160</v>
      </c>
      <c r="B6" s="78">
        <v>700</v>
      </c>
      <c r="E6">
        <f t="shared" si="0"/>
        <v>140</v>
      </c>
      <c r="I6" s="79" t="s">
        <v>11</v>
      </c>
      <c r="J6" s="79">
        <v>5500</v>
      </c>
    </row>
    <row r="7" spans="1:10" ht="15.75" x14ac:dyDescent="0.25">
      <c r="A7" s="78" t="s">
        <v>14</v>
      </c>
      <c r="B7" s="78">
        <v>8500</v>
      </c>
      <c r="E7">
        <f t="shared" si="0"/>
        <v>1700</v>
      </c>
      <c r="I7" s="79" t="s">
        <v>93</v>
      </c>
      <c r="J7" s="79">
        <v>5500</v>
      </c>
    </row>
    <row r="8" spans="1:10" ht="15.75" x14ac:dyDescent="0.25">
      <c r="A8" s="78" t="s">
        <v>18</v>
      </c>
      <c r="B8" s="78">
        <v>7000</v>
      </c>
      <c r="E8">
        <f t="shared" si="0"/>
        <v>1400</v>
      </c>
      <c r="I8" s="79" t="s">
        <v>103</v>
      </c>
      <c r="J8" s="79">
        <v>5500</v>
      </c>
    </row>
    <row r="9" spans="1:10" ht="15.75" x14ac:dyDescent="0.25">
      <c r="A9" s="78" t="s">
        <v>19</v>
      </c>
      <c r="B9" s="78">
        <v>1500</v>
      </c>
      <c r="E9">
        <f t="shared" si="0"/>
        <v>300</v>
      </c>
    </row>
    <row r="10" spans="1:10" ht="15.75" x14ac:dyDescent="0.25">
      <c r="A10" s="78" t="s">
        <v>132</v>
      </c>
      <c r="B10" s="78">
        <v>120</v>
      </c>
      <c r="E10">
        <f t="shared" si="0"/>
        <v>24</v>
      </c>
    </row>
    <row r="11" spans="1:10" ht="15.75" x14ac:dyDescent="0.25">
      <c r="A11" s="78" t="s">
        <v>20</v>
      </c>
      <c r="B11" s="78">
        <v>850</v>
      </c>
      <c r="E11">
        <f t="shared" si="0"/>
        <v>170</v>
      </c>
    </row>
    <row r="12" spans="1:10" ht="15.75" x14ac:dyDescent="0.25">
      <c r="A12" s="78" t="s">
        <v>40</v>
      </c>
      <c r="B12" s="78">
        <v>1000</v>
      </c>
      <c r="E12">
        <f t="shared" si="0"/>
        <v>200</v>
      </c>
      <c r="J12" t="s">
        <v>144</v>
      </c>
    </row>
    <row r="13" spans="1:10" ht="15.75" x14ac:dyDescent="0.25">
      <c r="A13" s="78" t="s">
        <v>141</v>
      </c>
      <c r="B13" s="78">
        <v>3298</v>
      </c>
      <c r="E13">
        <f t="shared" si="0"/>
        <v>659.6</v>
      </c>
    </row>
    <row r="14" spans="1:10" ht="18" x14ac:dyDescent="0.3">
      <c r="A14" s="44" t="s">
        <v>17</v>
      </c>
      <c r="B14" s="45">
        <f>SUM(B2:B13)</f>
        <v>27368</v>
      </c>
      <c r="E14">
        <f t="shared" si="0"/>
        <v>5473.6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" sqref="G1"/>
    </sheetView>
  </sheetViews>
  <sheetFormatPr defaultRowHeight="15" x14ac:dyDescent="0.25"/>
  <cols>
    <col min="1" max="1" width="23" customWidth="1"/>
    <col min="9" max="9" width="0" hidden="1" customWidth="1"/>
    <col min="12" max="12" width="22.5703125" bestFit="1" customWidth="1"/>
  </cols>
  <sheetData>
    <row r="1" spans="1:16" ht="15.75" x14ac:dyDescent="0.25">
      <c r="A1" s="77" t="s">
        <v>48</v>
      </c>
      <c r="B1" s="77" t="s">
        <v>89</v>
      </c>
    </row>
    <row r="2" spans="1:16" ht="15.75" x14ac:dyDescent="0.25">
      <c r="A2" s="78" t="s">
        <v>60</v>
      </c>
      <c r="B2" s="78">
        <v>1655</v>
      </c>
      <c r="E2">
        <f>B2/5</f>
        <v>331</v>
      </c>
      <c r="L2" t="s">
        <v>175</v>
      </c>
    </row>
    <row r="3" spans="1:16" ht="15.75" x14ac:dyDescent="0.25">
      <c r="A3" s="78" t="s">
        <v>6</v>
      </c>
      <c r="B3" s="78">
        <v>3000</v>
      </c>
      <c r="E3">
        <f t="shared" ref="E3:E14" si="0">B3/5</f>
        <v>600</v>
      </c>
    </row>
    <row r="4" spans="1:16" ht="15.75" x14ac:dyDescent="0.25">
      <c r="A4" s="78" t="s">
        <v>8</v>
      </c>
      <c r="B4" s="78">
        <v>2500</v>
      </c>
      <c r="E4">
        <f t="shared" si="0"/>
        <v>500</v>
      </c>
      <c r="L4" t="s">
        <v>16</v>
      </c>
      <c r="M4">
        <v>780</v>
      </c>
      <c r="N4" t="s">
        <v>176</v>
      </c>
      <c r="O4" t="s">
        <v>30</v>
      </c>
      <c r="P4">
        <f>M4+M5+M9-266.31</f>
        <v>616.69000000000005</v>
      </c>
    </row>
    <row r="5" spans="1:16" ht="15.75" x14ac:dyDescent="0.25">
      <c r="A5" s="78" t="s">
        <v>130</v>
      </c>
      <c r="B5" s="78">
        <v>900</v>
      </c>
      <c r="E5">
        <f t="shared" si="0"/>
        <v>180</v>
      </c>
      <c r="H5" s="64" t="s">
        <v>137</v>
      </c>
      <c r="I5" s="64" t="s">
        <v>126</v>
      </c>
      <c r="J5" s="64" t="s">
        <v>177</v>
      </c>
      <c r="L5" t="s">
        <v>178</v>
      </c>
      <c r="M5">
        <v>30</v>
      </c>
      <c r="N5" t="s">
        <v>176</v>
      </c>
      <c r="O5" t="s">
        <v>11</v>
      </c>
      <c r="P5">
        <f>M6+M7+M8+M10</f>
        <v>614</v>
      </c>
    </row>
    <row r="6" spans="1:16" ht="15.75" x14ac:dyDescent="0.25">
      <c r="A6" s="78" t="s">
        <v>160</v>
      </c>
      <c r="B6" s="78">
        <v>700</v>
      </c>
      <c r="E6">
        <f t="shared" si="0"/>
        <v>140</v>
      </c>
      <c r="H6" s="79" t="s">
        <v>30</v>
      </c>
      <c r="I6" s="79">
        <v>5500</v>
      </c>
      <c r="J6" s="79">
        <f>I6-616.69</f>
        <v>4883.3099999999995</v>
      </c>
      <c r="L6" t="s">
        <v>179</v>
      </c>
      <c r="M6">
        <v>80</v>
      </c>
      <c r="N6" t="s">
        <v>162</v>
      </c>
      <c r="O6" t="s">
        <v>93</v>
      </c>
      <c r="P6">
        <v>158</v>
      </c>
    </row>
    <row r="7" spans="1:16" ht="15.75" x14ac:dyDescent="0.25">
      <c r="A7" s="78" t="s">
        <v>14</v>
      </c>
      <c r="B7" s="78">
        <v>7000</v>
      </c>
      <c r="E7">
        <f t="shared" si="0"/>
        <v>1400</v>
      </c>
      <c r="H7" s="79" t="s">
        <v>9</v>
      </c>
      <c r="I7" s="79">
        <v>5500</v>
      </c>
      <c r="J7" s="79">
        <v>5500</v>
      </c>
      <c r="L7" t="s">
        <v>180</v>
      </c>
      <c r="M7">
        <v>90</v>
      </c>
      <c r="N7" t="s">
        <v>162</v>
      </c>
    </row>
    <row r="8" spans="1:16" ht="15.75" x14ac:dyDescent="0.25">
      <c r="A8" s="78" t="s">
        <v>18</v>
      </c>
      <c r="B8" s="78">
        <v>7000</v>
      </c>
      <c r="E8">
        <f t="shared" si="0"/>
        <v>1400</v>
      </c>
      <c r="H8" s="79" t="s">
        <v>11</v>
      </c>
      <c r="I8" s="79">
        <v>5500</v>
      </c>
      <c r="J8" s="79">
        <f>5500-614</f>
        <v>4886</v>
      </c>
      <c r="L8" t="s">
        <v>115</v>
      </c>
      <c r="M8">
        <v>30</v>
      </c>
      <c r="N8" t="s">
        <v>162</v>
      </c>
    </row>
    <row r="9" spans="1:16" ht="15.75" x14ac:dyDescent="0.25">
      <c r="A9" s="78" t="s">
        <v>16</v>
      </c>
      <c r="B9" s="78">
        <v>514</v>
      </c>
      <c r="E9">
        <f t="shared" si="0"/>
        <v>102.8</v>
      </c>
      <c r="H9" s="79" t="s">
        <v>93</v>
      </c>
      <c r="I9" s="79">
        <v>5500</v>
      </c>
      <c r="J9" s="79">
        <f>5500-158</f>
        <v>5342</v>
      </c>
      <c r="L9" t="s">
        <v>181</v>
      </c>
      <c r="M9">
        <v>73</v>
      </c>
      <c r="N9" t="s">
        <v>176</v>
      </c>
    </row>
    <row r="10" spans="1:16" ht="15.75" x14ac:dyDescent="0.25">
      <c r="A10" s="78" t="s">
        <v>19</v>
      </c>
      <c r="B10" s="78">
        <v>700</v>
      </c>
      <c r="E10">
        <f t="shared" si="0"/>
        <v>140</v>
      </c>
      <c r="H10" s="79" t="s">
        <v>103</v>
      </c>
      <c r="I10" s="79">
        <v>5500</v>
      </c>
      <c r="J10" s="79">
        <v>5500</v>
      </c>
      <c r="L10" t="s">
        <v>8</v>
      </c>
      <c r="M10">
        <v>414</v>
      </c>
      <c r="N10" t="s">
        <v>162</v>
      </c>
    </row>
    <row r="11" spans="1:16" ht="15.75" x14ac:dyDescent="0.25">
      <c r="A11" s="78" t="s">
        <v>20</v>
      </c>
      <c r="B11" s="78">
        <v>850</v>
      </c>
      <c r="E11">
        <f t="shared" si="0"/>
        <v>170</v>
      </c>
      <c r="L11" t="s">
        <v>182</v>
      </c>
      <c r="M11">
        <v>158</v>
      </c>
      <c r="N11" t="s">
        <v>183</v>
      </c>
    </row>
    <row r="12" spans="1:16" ht="15.75" x14ac:dyDescent="0.25">
      <c r="A12" s="78" t="s">
        <v>40</v>
      </c>
      <c r="B12" s="78">
        <v>1000</v>
      </c>
      <c r="E12">
        <f t="shared" si="0"/>
        <v>200</v>
      </c>
      <c r="J12">
        <f>SUM(J6:J10)</f>
        <v>26111.309999999998</v>
      </c>
    </row>
    <row r="13" spans="1:16" ht="15.75" x14ac:dyDescent="0.25">
      <c r="A13" s="78" t="s">
        <v>141</v>
      </c>
      <c r="B13" s="78">
        <v>1000</v>
      </c>
      <c r="E13">
        <f t="shared" si="0"/>
        <v>200</v>
      </c>
    </row>
    <row r="14" spans="1:16" ht="18" x14ac:dyDescent="0.3">
      <c r="A14" s="44" t="s">
        <v>17</v>
      </c>
      <c r="B14" s="45">
        <f>SUM(B2:B13)</f>
        <v>26819</v>
      </c>
      <c r="E14">
        <f t="shared" si="0"/>
        <v>5363.8</v>
      </c>
    </row>
    <row r="16" spans="1:16" x14ac:dyDescent="0.25">
      <c r="M16">
        <f>SUM(M4:M11)</f>
        <v>1655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20" sqref="I20"/>
    </sheetView>
  </sheetViews>
  <sheetFormatPr defaultRowHeight="15" x14ac:dyDescent="0.25"/>
  <cols>
    <col min="1" max="1" width="19.42578125" bestFit="1" customWidth="1"/>
  </cols>
  <sheetData>
    <row r="1" spans="1:9" ht="15.75" x14ac:dyDescent="0.25">
      <c r="A1" s="77" t="s">
        <v>48</v>
      </c>
      <c r="B1" s="77" t="s">
        <v>89</v>
      </c>
    </row>
    <row r="2" spans="1:9" ht="15.75" x14ac:dyDescent="0.25">
      <c r="A2" s="78" t="s">
        <v>60</v>
      </c>
      <c r="B2" s="78">
        <v>-3631</v>
      </c>
      <c r="E2">
        <f>B2/5</f>
        <v>-726.2</v>
      </c>
    </row>
    <row r="3" spans="1:9" ht="15.75" x14ac:dyDescent="0.25">
      <c r="A3" s="78" t="s">
        <v>159</v>
      </c>
      <c r="B3" s="78">
        <v>-272.31</v>
      </c>
      <c r="E3">
        <f t="shared" ref="E3:E14" si="0">B3/5</f>
        <v>-54.462000000000003</v>
      </c>
    </row>
    <row r="4" spans="1:9" ht="15" customHeight="1" x14ac:dyDescent="0.25">
      <c r="A4" s="78" t="s">
        <v>6</v>
      </c>
      <c r="B4" s="78">
        <v>3000</v>
      </c>
      <c r="E4">
        <f t="shared" si="0"/>
        <v>600</v>
      </c>
    </row>
    <row r="5" spans="1:9" ht="15.75" x14ac:dyDescent="0.25">
      <c r="A5" s="78" t="s">
        <v>8</v>
      </c>
      <c r="B5" s="78">
        <v>2500</v>
      </c>
      <c r="E5">
        <f t="shared" si="0"/>
        <v>500</v>
      </c>
    </row>
    <row r="6" spans="1:9" ht="15.75" x14ac:dyDescent="0.25">
      <c r="A6" s="78" t="s">
        <v>130</v>
      </c>
      <c r="B6" s="78">
        <v>900</v>
      </c>
      <c r="E6">
        <f t="shared" si="0"/>
        <v>180</v>
      </c>
      <c r="H6" s="64" t="s">
        <v>137</v>
      </c>
      <c r="I6" s="64" t="s">
        <v>126</v>
      </c>
    </row>
    <row r="7" spans="1:9" ht="15.75" x14ac:dyDescent="0.25">
      <c r="A7" s="78" t="s">
        <v>160</v>
      </c>
      <c r="B7" s="78">
        <v>700</v>
      </c>
      <c r="E7">
        <f t="shared" si="0"/>
        <v>140</v>
      </c>
      <c r="H7" s="79" t="s">
        <v>30</v>
      </c>
      <c r="I7" s="79">
        <v>5000</v>
      </c>
    </row>
    <row r="8" spans="1:9" ht="15.75" x14ac:dyDescent="0.25">
      <c r="A8" s="78" t="s">
        <v>14</v>
      </c>
      <c r="B8" s="78">
        <v>8500</v>
      </c>
      <c r="E8">
        <f t="shared" si="0"/>
        <v>1700</v>
      </c>
      <c r="H8" s="79" t="s">
        <v>9</v>
      </c>
      <c r="I8" s="79">
        <v>5000</v>
      </c>
    </row>
    <row r="9" spans="1:9" ht="15.75" x14ac:dyDescent="0.25">
      <c r="A9" s="78" t="s">
        <v>105</v>
      </c>
      <c r="B9" s="78">
        <v>7000</v>
      </c>
      <c r="E9">
        <f t="shared" si="0"/>
        <v>1400</v>
      </c>
      <c r="H9" s="79" t="s">
        <v>11</v>
      </c>
      <c r="I9" s="79">
        <v>5000</v>
      </c>
    </row>
    <row r="10" spans="1:9" ht="15.75" x14ac:dyDescent="0.25">
      <c r="A10" s="78" t="s">
        <v>19</v>
      </c>
      <c r="B10" s="78">
        <v>700</v>
      </c>
      <c r="E10">
        <f t="shared" si="0"/>
        <v>140</v>
      </c>
      <c r="H10" s="79" t="s">
        <v>93</v>
      </c>
      <c r="I10" s="79">
        <v>5000</v>
      </c>
    </row>
    <row r="11" spans="1:9" ht="15.75" x14ac:dyDescent="0.25">
      <c r="A11" s="78" t="s">
        <v>20</v>
      </c>
      <c r="B11" s="78">
        <v>850</v>
      </c>
      <c r="E11">
        <f t="shared" si="0"/>
        <v>170</v>
      </c>
      <c r="H11" s="79" t="s">
        <v>103</v>
      </c>
      <c r="I11" s="79">
        <v>5000</v>
      </c>
    </row>
    <row r="12" spans="1:9" ht="15.75" x14ac:dyDescent="0.25">
      <c r="A12" s="78" t="s">
        <v>40</v>
      </c>
      <c r="B12" s="78">
        <v>1000</v>
      </c>
      <c r="E12">
        <f t="shared" si="0"/>
        <v>200</v>
      </c>
    </row>
    <row r="13" spans="1:9" ht="15.75" x14ac:dyDescent="0.25">
      <c r="A13" s="78" t="s">
        <v>141</v>
      </c>
      <c r="B13" s="78">
        <v>1912</v>
      </c>
      <c r="E13">
        <f t="shared" si="0"/>
        <v>382.4</v>
      </c>
    </row>
    <row r="14" spans="1:9" ht="18" x14ac:dyDescent="0.3">
      <c r="A14" s="44" t="s">
        <v>17</v>
      </c>
      <c r="B14" s="45">
        <f>SUM(B2:B13)</f>
        <v>23158.690000000002</v>
      </c>
      <c r="E14">
        <f t="shared" si="0"/>
        <v>4631.7380000000003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I16"/>
    </sheetView>
  </sheetViews>
  <sheetFormatPr defaultRowHeight="15" x14ac:dyDescent="0.25"/>
  <cols>
    <col min="1" max="1" width="19.42578125" bestFit="1" customWidth="1"/>
  </cols>
  <sheetData>
    <row r="1" spans="1:9" ht="15.75" x14ac:dyDescent="0.25">
      <c r="A1" s="77" t="s">
        <v>48</v>
      </c>
      <c r="B1" s="77" t="s">
        <v>89</v>
      </c>
    </row>
    <row r="2" spans="1:9" ht="15.75" x14ac:dyDescent="0.25">
      <c r="A2" s="78" t="s">
        <v>60</v>
      </c>
      <c r="B2" s="78">
        <v>-1825</v>
      </c>
      <c r="E2">
        <f>B2/5</f>
        <v>-365</v>
      </c>
    </row>
    <row r="3" spans="1:9" ht="15.75" x14ac:dyDescent="0.25">
      <c r="A3" s="78" t="s">
        <v>16</v>
      </c>
      <c r="B3" s="78">
        <v>670</v>
      </c>
      <c r="E3">
        <f t="shared" ref="E3:E15" si="0">B3/5</f>
        <v>134</v>
      </c>
    </row>
    <row r="4" spans="1:9" ht="15" customHeight="1" x14ac:dyDescent="0.25">
      <c r="A4" s="78" t="s">
        <v>6</v>
      </c>
      <c r="B4" s="78">
        <v>3000</v>
      </c>
      <c r="E4">
        <f t="shared" si="0"/>
        <v>600</v>
      </c>
    </row>
    <row r="5" spans="1:9" ht="15.75" x14ac:dyDescent="0.25">
      <c r="A5" s="78" t="s">
        <v>8</v>
      </c>
      <c r="B5" s="78">
        <v>2500</v>
      </c>
      <c r="E5">
        <f t="shared" si="0"/>
        <v>500</v>
      </c>
    </row>
    <row r="6" spans="1:9" ht="15.75" x14ac:dyDescent="0.25">
      <c r="A6" s="78" t="s">
        <v>130</v>
      </c>
      <c r="B6" s="78">
        <v>900</v>
      </c>
      <c r="E6">
        <f t="shared" si="0"/>
        <v>180</v>
      </c>
      <c r="H6" s="64" t="s">
        <v>137</v>
      </c>
      <c r="I6" s="64" t="s">
        <v>126</v>
      </c>
    </row>
    <row r="7" spans="1:9" ht="15.75" x14ac:dyDescent="0.25">
      <c r="A7" s="78" t="s">
        <v>160</v>
      </c>
      <c r="B7" s="78">
        <v>700</v>
      </c>
      <c r="E7">
        <f t="shared" si="0"/>
        <v>140</v>
      </c>
      <c r="H7" s="79" t="s">
        <v>30</v>
      </c>
      <c r="I7" s="79">
        <v>5500</v>
      </c>
    </row>
    <row r="8" spans="1:9" ht="15.75" x14ac:dyDescent="0.25">
      <c r="A8" s="78" t="s">
        <v>14</v>
      </c>
      <c r="B8" s="78">
        <v>10000</v>
      </c>
      <c r="E8">
        <f t="shared" si="0"/>
        <v>2000</v>
      </c>
      <c r="H8" s="79" t="s">
        <v>9</v>
      </c>
      <c r="I8" s="79">
        <v>5500</v>
      </c>
    </row>
    <row r="9" spans="1:9" ht="15.75" x14ac:dyDescent="0.25">
      <c r="A9" s="78" t="s">
        <v>105</v>
      </c>
      <c r="B9" s="78">
        <v>5500</v>
      </c>
      <c r="E9">
        <f t="shared" si="0"/>
        <v>1100</v>
      </c>
      <c r="H9" s="79" t="s">
        <v>11</v>
      </c>
      <c r="I9" s="79">
        <v>5500</v>
      </c>
    </row>
    <row r="10" spans="1:9" ht="15.75" x14ac:dyDescent="0.25">
      <c r="A10" s="78" t="s">
        <v>184</v>
      </c>
      <c r="B10" s="78">
        <v>1500</v>
      </c>
      <c r="E10">
        <f t="shared" si="0"/>
        <v>300</v>
      </c>
      <c r="H10" s="79" t="s">
        <v>93</v>
      </c>
      <c r="I10" s="79">
        <v>5500</v>
      </c>
    </row>
    <row r="11" spans="1:9" ht="15.75" x14ac:dyDescent="0.25">
      <c r="A11" s="78" t="s">
        <v>19</v>
      </c>
      <c r="B11" s="78">
        <v>500</v>
      </c>
      <c r="E11">
        <f t="shared" si="0"/>
        <v>100</v>
      </c>
      <c r="H11" s="79" t="s">
        <v>103</v>
      </c>
      <c r="I11" s="79">
        <v>5500</v>
      </c>
    </row>
    <row r="12" spans="1:9" ht="15.75" x14ac:dyDescent="0.25">
      <c r="A12" s="78" t="s">
        <v>20</v>
      </c>
      <c r="B12" s="78">
        <v>850</v>
      </c>
      <c r="E12">
        <f t="shared" si="0"/>
        <v>170</v>
      </c>
    </row>
    <row r="13" spans="1:9" ht="15.75" x14ac:dyDescent="0.25">
      <c r="A13" s="78" t="s">
        <v>40</v>
      </c>
      <c r="B13" s="78">
        <v>1000</v>
      </c>
      <c r="E13">
        <f t="shared" si="0"/>
        <v>200</v>
      </c>
    </row>
    <row r="14" spans="1:9" ht="15.75" x14ac:dyDescent="0.25">
      <c r="A14" s="78" t="s">
        <v>141</v>
      </c>
      <c r="B14" s="78">
        <v>1000</v>
      </c>
      <c r="E14">
        <f t="shared" si="0"/>
        <v>200</v>
      </c>
    </row>
    <row r="15" spans="1:9" ht="18" x14ac:dyDescent="0.3">
      <c r="A15" s="44" t="s">
        <v>17</v>
      </c>
      <c r="B15" s="45">
        <f>SUM(B2:B14)</f>
        <v>26295</v>
      </c>
      <c r="E15">
        <f t="shared" si="0"/>
        <v>5259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K22" sqref="K22"/>
    </sheetView>
  </sheetViews>
  <sheetFormatPr defaultRowHeight="15" x14ac:dyDescent="0.25"/>
  <cols>
    <col min="1" max="1" width="19.42578125" bestFit="1" customWidth="1"/>
    <col min="2" max="2" width="8.140625" bestFit="1" customWidth="1"/>
    <col min="5" max="5" width="5" bestFit="1" customWidth="1"/>
    <col min="9" max="9" width="6" bestFit="1" customWidth="1"/>
    <col min="13" max="13" width="11.42578125" bestFit="1" customWidth="1"/>
    <col min="14" max="14" width="7" bestFit="1" customWidth="1"/>
  </cols>
  <sheetData>
    <row r="1" spans="1:14" ht="15.75" x14ac:dyDescent="0.25">
      <c r="A1" s="77" t="s">
        <v>48</v>
      </c>
      <c r="B1" s="77" t="s">
        <v>89</v>
      </c>
    </row>
    <row r="2" spans="1:14" ht="15.75" x14ac:dyDescent="0.25">
      <c r="A2" s="78" t="s">
        <v>60</v>
      </c>
      <c r="B2" s="78">
        <v>-525</v>
      </c>
      <c r="E2">
        <f>B2/5</f>
        <v>-105</v>
      </c>
    </row>
    <row r="3" spans="1:14" ht="15.75" x14ac:dyDescent="0.25">
      <c r="A3" s="78" t="s">
        <v>150</v>
      </c>
      <c r="B3" s="78">
        <v>-262.23</v>
      </c>
      <c r="E3">
        <f t="shared" ref="E3:E15" si="0">B3/5</f>
        <v>-52.446000000000005</v>
      </c>
    </row>
    <row r="4" spans="1:14" ht="15.75" x14ac:dyDescent="0.25">
      <c r="A4" s="78" t="s">
        <v>6</v>
      </c>
      <c r="B4" s="78">
        <v>3000</v>
      </c>
      <c r="E4">
        <f t="shared" si="0"/>
        <v>600</v>
      </c>
      <c r="M4" t="s">
        <v>159</v>
      </c>
      <c r="N4">
        <v>262.23</v>
      </c>
    </row>
    <row r="5" spans="1:14" ht="15.75" x14ac:dyDescent="0.25">
      <c r="A5" s="78" t="s">
        <v>8</v>
      </c>
      <c r="B5" s="78">
        <v>2500</v>
      </c>
      <c r="E5">
        <f t="shared" si="0"/>
        <v>500</v>
      </c>
    </row>
    <row r="6" spans="1:14" ht="15.75" x14ac:dyDescent="0.25">
      <c r="A6" s="78" t="s">
        <v>130</v>
      </c>
      <c r="B6" s="78">
        <v>900</v>
      </c>
      <c r="E6">
        <f t="shared" si="0"/>
        <v>180</v>
      </c>
      <c r="H6" s="64" t="s">
        <v>137</v>
      </c>
      <c r="I6" s="64" t="s">
        <v>126</v>
      </c>
    </row>
    <row r="7" spans="1:14" ht="15.75" x14ac:dyDescent="0.25">
      <c r="A7" s="78" t="s">
        <v>160</v>
      </c>
      <c r="B7" s="78">
        <v>700</v>
      </c>
      <c r="E7">
        <f t="shared" si="0"/>
        <v>140</v>
      </c>
      <c r="H7" s="79" t="s">
        <v>30</v>
      </c>
      <c r="I7" s="79">
        <v>5500</v>
      </c>
    </row>
    <row r="8" spans="1:14" ht="15.75" x14ac:dyDescent="0.25">
      <c r="A8" s="78" t="s">
        <v>14</v>
      </c>
      <c r="B8" s="78">
        <v>10000</v>
      </c>
      <c r="E8">
        <f t="shared" si="0"/>
        <v>2000</v>
      </c>
      <c r="H8" s="79" t="s">
        <v>9</v>
      </c>
      <c r="I8" s="79">
        <v>5500</v>
      </c>
    </row>
    <row r="9" spans="1:14" ht="15.75" x14ac:dyDescent="0.25">
      <c r="A9" s="78" t="s">
        <v>105</v>
      </c>
      <c r="B9" s="78">
        <v>5500</v>
      </c>
      <c r="E9">
        <f t="shared" si="0"/>
        <v>1100</v>
      </c>
      <c r="H9" s="79" t="s">
        <v>11</v>
      </c>
      <c r="I9" s="79">
        <v>5500</v>
      </c>
    </row>
    <row r="10" spans="1:14" ht="15.75" x14ac:dyDescent="0.25">
      <c r="A10" s="78" t="s">
        <v>184</v>
      </c>
      <c r="B10" s="78">
        <v>1500</v>
      </c>
      <c r="E10">
        <f t="shared" si="0"/>
        <v>300</v>
      </c>
      <c r="H10" s="79" t="s">
        <v>93</v>
      </c>
      <c r="I10" s="79">
        <v>5500</v>
      </c>
    </row>
    <row r="11" spans="1:14" ht="15.75" x14ac:dyDescent="0.25">
      <c r="A11" s="78" t="s">
        <v>19</v>
      </c>
      <c r="B11" s="78">
        <v>500</v>
      </c>
      <c r="E11">
        <f t="shared" si="0"/>
        <v>100</v>
      </c>
      <c r="H11" s="79" t="s">
        <v>103</v>
      </c>
      <c r="I11" s="79">
        <v>5500</v>
      </c>
    </row>
    <row r="12" spans="1:14" ht="15.75" x14ac:dyDescent="0.25">
      <c r="A12" s="78" t="s">
        <v>20</v>
      </c>
      <c r="B12" s="78">
        <v>850</v>
      </c>
      <c r="E12">
        <f t="shared" si="0"/>
        <v>170</v>
      </c>
    </row>
    <row r="13" spans="1:14" ht="15.75" x14ac:dyDescent="0.25">
      <c r="A13" s="78" t="s">
        <v>40</v>
      </c>
      <c r="B13" s="78">
        <v>1000</v>
      </c>
      <c r="E13">
        <f t="shared" si="0"/>
        <v>200</v>
      </c>
    </row>
    <row r="14" spans="1:14" ht="15.75" x14ac:dyDescent="0.25">
      <c r="A14" s="78" t="s">
        <v>141</v>
      </c>
      <c r="B14" s="78">
        <v>920</v>
      </c>
      <c r="E14">
        <f t="shared" si="0"/>
        <v>184</v>
      </c>
    </row>
    <row r="15" spans="1:14" ht="18" x14ac:dyDescent="0.3">
      <c r="A15" s="44" t="s">
        <v>17</v>
      </c>
      <c r="B15" s="45">
        <f>SUM(B2:B14)</f>
        <v>26582.77</v>
      </c>
      <c r="E15">
        <f t="shared" si="0"/>
        <v>5316.5540000000001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C23" sqref="C23"/>
    </sheetView>
  </sheetViews>
  <sheetFormatPr defaultRowHeight="15" x14ac:dyDescent="0.25"/>
  <cols>
    <col min="1" max="1" width="24.28515625" bestFit="1" customWidth="1"/>
    <col min="2" max="2" width="11.7109375" bestFit="1" customWidth="1"/>
    <col min="3" max="3" width="22.42578125" bestFit="1" customWidth="1"/>
    <col min="4" max="4" width="12.7109375" bestFit="1" customWidth="1"/>
  </cols>
  <sheetData>
    <row r="1" spans="1:12" ht="15.75" x14ac:dyDescent="0.25">
      <c r="A1" s="77" t="s">
        <v>43</v>
      </c>
      <c r="B1" s="77" t="s">
        <v>1</v>
      </c>
      <c r="C1" s="77" t="s">
        <v>37</v>
      </c>
    </row>
    <row r="2" spans="1:12" ht="15.75" x14ac:dyDescent="0.25">
      <c r="A2" s="78" t="s">
        <v>6</v>
      </c>
      <c r="B2" s="78">
        <v>2500</v>
      </c>
      <c r="C2" s="10">
        <f>B2/6</f>
        <v>416.66666666666669</v>
      </c>
      <c r="E2">
        <f>C2+C3+C4+C5+C7+C12</f>
        <v>1160</v>
      </c>
    </row>
    <row r="3" spans="1:12" ht="15.75" x14ac:dyDescent="0.25">
      <c r="A3" s="78" t="s">
        <v>8</v>
      </c>
      <c r="B3" s="78">
        <v>2000</v>
      </c>
      <c r="C3" s="10">
        <f>B3/6</f>
        <v>333.33333333333331</v>
      </c>
    </row>
    <row r="4" spans="1:12" ht="15.75" x14ac:dyDescent="0.25">
      <c r="A4" s="78" t="s">
        <v>10</v>
      </c>
      <c r="B4" s="78">
        <v>600</v>
      </c>
      <c r="C4" s="10">
        <f>B4/6</f>
        <v>100</v>
      </c>
      <c r="K4" t="s">
        <v>44</v>
      </c>
      <c r="L4">
        <v>146</v>
      </c>
    </row>
    <row r="5" spans="1:12" ht="15.75" x14ac:dyDescent="0.25">
      <c r="A5" s="78" t="s">
        <v>38</v>
      </c>
      <c r="B5" s="78">
        <v>720</v>
      </c>
      <c r="C5" s="10">
        <f>B5/6</f>
        <v>120</v>
      </c>
      <c r="K5" t="s">
        <v>30</v>
      </c>
      <c r="L5">
        <v>45</v>
      </c>
    </row>
    <row r="6" spans="1:12" ht="15.75" x14ac:dyDescent="0.25">
      <c r="A6" s="78" t="s">
        <v>14</v>
      </c>
      <c r="B6" s="78">
        <v>8500</v>
      </c>
      <c r="C6" s="10">
        <f t="shared" ref="C6:C11" si="0">B6/5</f>
        <v>1700</v>
      </c>
      <c r="K6" t="s">
        <v>9</v>
      </c>
      <c r="L6">
        <v>100</v>
      </c>
    </row>
    <row r="7" spans="1:12" ht="15.75" x14ac:dyDescent="0.25">
      <c r="A7" s="78" t="s">
        <v>16</v>
      </c>
      <c r="B7" s="78">
        <v>640</v>
      </c>
      <c r="C7" s="10">
        <f>B7/6</f>
        <v>106.66666666666667</v>
      </c>
      <c r="K7" t="s">
        <v>45</v>
      </c>
      <c r="L7">
        <v>100</v>
      </c>
    </row>
    <row r="8" spans="1:12" ht="15.75" x14ac:dyDescent="0.25">
      <c r="A8" s="78" t="s">
        <v>18</v>
      </c>
      <c r="B8" s="78">
        <v>5500</v>
      </c>
      <c r="C8" s="10">
        <f>B8/5</f>
        <v>1100</v>
      </c>
      <c r="E8" s="90">
        <f>D66</f>
        <v>20460</v>
      </c>
      <c r="F8" s="90"/>
      <c r="G8" s="90"/>
      <c r="H8" s="90"/>
      <c r="I8" s="90"/>
    </row>
    <row r="9" spans="1:12" ht="15.75" x14ac:dyDescent="0.25">
      <c r="A9" s="78" t="s">
        <v>19</v>
      </c>
      <c r="B9" s="78">
        <v>1000</v>
      </c>
      <c r="C9" s="10">
        <f t="shared" si="0"/>
        <v>200</v>
      </c>
      <c r="E9" s="90"/>
      <c r="F9" s="90"/>
      <c r="G9" s="90"/>
      <c r="H9" s="90"/>
      <c r="I9" s="90"/>
      <c r="L9">
        <f>SUM(L4:L7)</f>
        <v>391</v>
      </c>
    </row>
    <row r="10" spans="1:12" ht="15.75" x14ac:dyDescent="0.25">
      <c r="A10" s="78" t="s">
        <v>20</v>
      </c>
      <c r="B10" s="78">
        <v>1500</v>
      </c>
      <c r="C10" s="10">
        <f t="shared" si="0"/>
        <v>300</v>
      </c>
      <c r="E10" s="90"/>
      <c r="F10" s="90"/>
      <c r="G10" s="90"/>
      <c r="H10" s="90"/>
      <c r="I10" s="90"/>
    </row>
    <row r="11" spans="1:12" ht="15.75" x14ac:dyDescent="0.25">
      <c r="A11" s="78" t="s">
        <v>39</v>
      </c>
      <c r="B11" s="78">
        <v>1720</v>
      </c>
      <c r="C11" s="10">
        <f t="shared" si="0"/>
        <v>344</v>
      </c>
      <c r="E11" s="90"/>
      <c r="F11" s="90"/>
      <c r="G11" s="90"/>
      <c r="H11" s="90"/>
      <c r="I11" s="90"/>
    </row>
    <row r="12" spans="1:12" ht="15.75" x14ac:dyDescent="0.25">
      <c r="A12" s="78" t="s">
        <v>40</v>
      </c>
      <c r="B12" s="78">
        <v>500</v>
      </c>
      <c r="C12" s="10">
        <f>B12/6</f>
        <v>83.333333333333329</v>
      </c>
      <c r="E12" s="90"/>
      <c r="F12" s="90"/>
      <c r="G12" s="90"/>
      <c r="H12" s="90"/>
      <c r="I12" s="90"/>
    </row>
    <row r="13" spans="1:12" ht="15.75" x14ac:dyDescent="0.25">
      <c r="A13" s="8" t="s">
        <v>17</v>
      </c>
      <c r="B13" s="8">
        <f>SUM(B2:B12)</f>
        <v>25180</v>
      </c>
      <c r="C13" s="10">
        <f>SUM(C2:C12)</f>
        <v>4803.9999999999991</v>
      </c>
    </row>
    <row r="15" spans="1:12" ht="15.75" x14ac:dyDescent="0.25">
      <c r="A15" s="9" t="s">
        <v>23</v>
      </c>
      <c r="B15" s="9" t="s">
        <v>3</v>
      </c>
      <c r="C15" s="9"/>
    </row>
    <row r="16" spans="1:12" ht="15.75" x14ac:dyDescent="0.25">
      <c r="A16" s="78" t="s">
        <v>7</v>
      </c>
      <c r="B16" s="78">
        <f>C13+L4</f>
        <v>4949.9999999999991</v>
      </c>
    </row>
    <row r="17" spans="1:3" ht="15.75" x14ac:dyDescent="0.25">
      <c r="A17" s="78" t="s">
        <v>9</v>
      </c>
      <c r="B17" s="78">
        <v>5004</v>
      </c>
      <c r="C17" s="10"/>
    </row>
    <row r="18" spans="1:3" ht="15.75" x14ac:dyDescent="0.25">
      <c r="A18" s="78" t="s">
        <v>11</v>
      </c>
      <c r="B18" s="10">
        <v>4804</v>
      </c>
    </row>
    <row r="19" spans="1:3" ht="15.75" x14ac:dyDescent="0.25">
      <c r="A19" s="6" t="s">
        <v>30</v>
      </c>
      <c r="B19" s="78">
        <f>C13+L5</f>
        <v>4848.9999999999991</v>
      </c>
      <c r="C19" s="10"/>
    </row>
    <row r="20" spans="1:3" ht="15.75" x14ac:dyDescent="0.25">
      <c r="A20" s="6" t="s">
        <v>15</v>
      </c>
      <c r="B20" s="6">
        <v>4804</v>
      </c>
      <c r="C20" s="10"/>
    </row>
    <row r="21" spans="1:3" ht="15.75" x14ac:dyDescent="0.25">
      <c r="A21" s="6" t="s">
        <v>46</v>
      </c>
      <c r="B21" s="6">
        <f>E2</f>
        <v>1160</v>
      </c>
    </row>
    <row r="28" spans="1:3" x14ac:dyDescent="0.25">
      <c r="A28" t="s">
        <v>11</v>
      </c>
      <c r="B28">
        <v>4800</v>
      </c>
    </row>
    <row r="29" spans="1:3" x14ac:dyDescent="0.25">
      <c r="A29" t="s">
        <v>7</v>
      </c>
      <c r="B29">
        <v>5200</v>
      </c>
    </row>
    <row r="30" spans="1:3" x14ac:dyDescent="0.25">
      <c r="A30" t="s">
        <v>45</v>
      </c>
      <c r="B30">
        <v>5800</v>
      </c>
    </row>
    <row r="31" spans="1:3" x14ac:dyDescent="0.25">
      <c r="A31" t="s">
        <v>47</v>
      </c>
      <c r="B31">
        <v>1160</v>
      </c>
    </row>
    <row r="34" spans="1:4" x14ac:dyDescent="0.25">
      <c r="A34" s="79" t="s">
        <v>48</v>
      </c>
      <c r="B34" s="79" t="s">
        <v>49</v>
      </c>
      <c r="C34" s="79" t="s">
        <v>50</v>
      </c>
      <c r="D34" s="79" t="s">
        <v>51</v>
      </c>
    </row>
    <row r="35" spans="1:4" x14ac:dyDescent="0.25">
      <c r="A35" s="79" t="s">
        <v>45</v>
      </c>
      <c r="B35" s="79">
        <v>4800</v>
      </c>
      <c r="C35" s="79"/>
      <c r="D35" s="79"/>
    </row>
    <row r="36" spans="1:4" x14ac:dyDescent="0.25">
      <c r="A36" s="79" t="s">
        <v>11</v>
      </c>
      <c r="B36" s="79">
        <v>4800</v>
      </c>
      <c r="C36" s="79"/>
      <c r="D36" s="79"/>
    </row>
    <row r="37" spans="1:4" x14ac:dyDescent="0.25">
      <c r="A37" s="79" t="s">
        <v>7</v>
      </c>
      <c r="B37" s="79">
        <v>5000</v>
      </c>
      <c r="C37" s="79"/>
      <c r="D37" s="79"/>
    </row>
    <row r="38" spans="1:4" x14ac:dyDescent="0.25">
      <c r="A38" s="79" t="s">
        <v>47</v>
      </c>
      <c r="B38" s="79">
        <v>1160</v>
      </c>
      <c r="C38" s="79"/>
      <c r="D38" s="79"/>
    </row>
    <row r="39" spans="1:4" x14ac:dyDescent="0.25">
      <c r="A39" s="79" t="s">
        <v>30</v>
      </c>
      <c r="B39" s="79">
        <v>4700</v>
      </c>
      <c r="C39" s="79"/>
      <c r="D39" s="79"/>
    </row>
    <row r="40" spans="1:4" x14ac:dyDescent="0.25">
      <c r="A40" s="79"/>
      <c r="B40" s="79"/>
      <c r="C40" s="79"/>
      <c r="D40" s="79"/>
    </row>
    <row r="41" spans="1:4" x14ac:dyDescent="0.25">
      <c r="A41" s="79"/>
      <c r="B41" s="79"/>
      <c r="C41" s="79"/>
      <c r="D41" s="79"/>
    </row>
    <row r="42" spans="1:4" x14ac:dyDescent="0.25">
      <c r="A42" s="79"/>
      <c r="B42" s="79"/>
      <c r="C42" s="79"/>
      <c r="D42" s="79"/>
    </row>
    <row r="43" spans="1:4" x14ac:dyDescent="0.25">
      <c r="A43" s="79"/>
      <c r="B43" s="79"/>
      <c r="C43" s="79"/>
      <c r="D43" s="79"/>
    </row>
    <row r="44" spans="1:4" x14ac:dyDescent="0.25">
      <c r="A44" s="79"/>
      <c r="B44" s="79"/>
      <c r="C44" s="79"/>
      <c r="D44" s="79"/>
    </row>
    <row r="45" spans="1:4" x14ac:dyDescent="0.25">
      <c r="A45" s="79"/>
      <c r="B45" s="79"/>
      <c r="C45" s="79"/>
      <c r="D45" s="79"/>
    </row>
    <row r="46" spans="1:4" x14ac:dyDescent="0.25">
      <c r="A46" s="79"/>
      <c r="B46" s="79"/>
      <c r="C46" s="79"/>
      <c r="D46" s="79"/>
    </row>
    <row r="47" spans="1:4" x14ac:dyDescent="0.25">
      <c r="A47" s="79"/>
      <c r="B47" s="79"/>
      <c r="C47" s="79"/>
      <c r="D47" s="79"/>
    </row>
    <row r="48" spans="1:4" x14ac:dyDescent="0.25">
      <c r="A48" s="79"/>
      <c r="B48" s="79"/>
      <c r="C48" s="79"/>
      <c r="D48" s="79"/>
    </row>
    <row r="49" spans="1:4" x14ac:dyDescent="0.25">
      <c r="A49" s="79"/>
      <c r="B49" s="79"/>
      <c r="C49" s="79"/>
      <c r="D49" s="79"/>
    </row>
    <row r="50" spans="1:4" x14ac:dyDescent="0.25">
      <c r="A50" s="79"/>
      <c r="B50" s="79"/>
      <c r="C50" s="79"/>
      <c r="D50" s="79"/>
    </row>
    <row r="51" spans="1:4" x14ac:dyDescent="0.25">
      <c r="A51" s="79"/>
      <c r="B51" s="79"/>
      <c r="C51" s="79"/>
      <c r="D51" s="79"/>
    </row>
    <row r="52" spans="1:4" x14ac:dyDescent="0.25">
      <c r="A52" s="79"/>
      <c r="B52" s="79"/>
      <c r="C52" s="79"/>
      <c r="D52" s="79"/>
    </row>
    <row r="53" spans="1:4" x14ac:dyDescent="0.25">
      <c r="A53" s="79"/>
      <c r="B53" s="79"/>
      <c r="C53" s="79"/>
      <c r="D53" s="79"/>
    </row>
    <row r="54" spans="1:4" x14ac:dyDescent="0.25">
      <c r="A54" s="79"/>
      <c r="B54" s="79"/>
      <c r="C54" s="79"/>
      <c r="D54" s="79"/>
    </row>
    <row r="55" spans="1:4" x14ac:dyDescent="0.25">
      <c r="A55" s="79"/>
      <c r="B55" s="79"/>
      <c r="C55" s="79"/>
      <c r="D55" s="79"/>
    </row>
    <row r="56" spans="1:4" x14ac:dyDescent="0.25">
      <c r="A56" s="79"/>
      <c r="B56" s="79"/>
      <c r="C56" s="79"/>
      <c r="D56" s="79"/>
    </row>
    <row r="57" spans="1:4" x14ac:dyDescent="0.25">
      <c r="A57" s="79"/>
      <c r="B57" s="79"/>
      <c r="C57" s="79"/>
      <c r="D57" s="79"/>
    </row>
    <row r="58" spans="1:4" x14ac:dyDescent="0.25">
      <c r="A58" s="79"/>
      <c r="B58" s="79"/>
      <c r="C58" s="79"/>
      <c r="D58" s="79"/>
    </row>
    <row r="59" spans="1:4" x14ac:dyDescent="0.25">
      <c r="A59" s="79"/>
      <c r="B59" s="79"/>
      <c r="C59" s="79"/>
      <c r="D59" s="79"/>
    </row>
    <row r="60" spans="1:4" x14ac:dyDescent="0.25">
      <c r="A60" s="79"/>
      <c r="B60" s="79"/>
      <c r="C60" s="79"/>
      <c r="D60" s="79"/>
    </row>
    <row r="61" spans="1:4" x14ac:dyDescent="0.25">
      <c r="A61" s="79"/>
      <c r="B61" s="79"/>
      <c r="C61" s="79"/>
      <c r="D61" s="79"/>
    </row>
    <row r="62" spans="1:4" x14ac:dyDescent="0.25">
      <c r="A62" s="79"/>
      <c r="B62" s="79"/>
      <c r="C62" s="79"/>
      <c r="D62" s="79"/>
    </row>
    <row r="63" spans="1:4" x14ac:dyDescent="0.25">
      <c r="A63" s="79"/>
      <c r="B63" s="79"/>
      <c r="C63" s="79"/>
      <c r="D63" s="79"/>
    </row>
    <row r="64" spans="1:4" x14ac:dyDescent="0.25">
      <c r="A64" s="79"/>
      <c r="B64" s="79"/>
      <c r="C64" s="79"/>
      <c r="D64" s="79"/>
    </row>
    <row r="65" spans="1:4" x14ac:dyDescent="0.25">
      <c r="A65" s="79"/>
      <c r="B65" s="79"/>
      <c r="C65" s="79"/>
      <c r="D65" s="79"/>
    </row>
    <row r="66" spans="1:4" x14ac:dyDescent="0.25">
      <c r="A66" s="79"/>
      <c r="B66" s="79">
        <f>SUM(B35:B65)</f>
        <v>20460</v>
      </c>
      <c r="C66" s="79">
        <f>SUM(C35:C65)</f>
        <v>0</v>
      </c>
      <c r="D66" s="79">
        <f>B66-C66</f>
        <v>20460</v>
      </c>
    </row>
  </sheetData>
  <mergeCells count="1">
    <mergeCell ref="E8:I1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6" sqref="H6:I11"/>
    </sheetView>
  </sheetViews>
  <sheetFormatPr defaultRowHeight="15" x14ac:dyDescent="0.25"/>
  <cols>
    <col min="1" max="1" width="19.42578125" bestFit="1" customWidth="1"/>
    <col min="2" max="2" width="13.5703125" customWidth="1"/>
  </cols>
  <sheetData>
    <row r="1" spans="1:9" ht="15.75" x14ac:dyDescent="0.25">
      <c r="A1" s="77" t="s">
        <v>48</v>
      </c>
      <c r="B1" s="77" t="s">
        <v>89</v>
      </c>
    </row>
    <row r="2" spans="1:9" ht="15.75" x14ac:dyDescent="0.25">
      <c r="A2" s="78" t="s">
        <v>6</v>
      </c>
      <c r="B2" s="78">
        <v>3000</v>
      </c>
      <c r="E2">
        <f>B2/4</f>
        <v>750</v>
      </c>
    </row>
    <row r="3" spans="1:9" ht="15.75" x14ac:dyDescent="0.25">
      <c r="A3" s="78" t="s">
        <v>8</v>
      </c>
      <c r="B3" s="78">
        <v>2000</v>
      </c>
      <c r="E3">
        <f>B3/4</f>
        <v>500</v>
      </c>
    </row>
    <row r="4" spans="1:9" ht="15.75" x14ac:dyDescent="0.25">
      <c r="A4" s="78" t="s">
        <v>130</v>
      </c>
      <c r="B4" s="78">
        <v>900</v>
      </c>
      <c r="E4">
        <f t="shared" ref="E4:E5" si="0">B4/4</f>
        <v>225</v>
      </c>
    </row>
    <row r="5" spans="1:9" ht="15.75" x14ac:dyDescent="0.25">
      <c r="A5" s="78" t="s">
        <v>160</v>
      </c>
      <c r="B5" s="78">
        <v>700</v>
      </c>
      <c r="E5">
        <f t="shared" si="0"/>
        <v>175</v>
      </c>
    </row>
    <row r="6" spans="1:9" ht="15.75" x14ac:dyDescent="0.25">
      <c r="A6" s="78" t="s">
        <v>14</v>
      </c>
      <c r="B6" s="78">
        <v>10000</v>
      </c>
      <c r="E6">
        <f t="shared" ref="E6:E10" si="1">B6/5</f>
        <v>2000</v>
      </c>
      <c r="H6" s="64" t="s">
        <v>137</v>
      </c>
      <c r="I6" s="64" t="s">
        <v>126</v>
      </c>
    </row>
    <row r="7" spans="1:9" ht="15.75" x14ac:dyDescent="0.25">
      <c r="A7" s="78" t="s">
        <v>105</v>
      </c>
      <c r="B7" s="78">
        <v>5500</v>
      </c>
      <c r="E7">
        <f t="shared" si="1"/>
        <v>1100</v>
      </c>
      <c r="H7" s="79" t="s">
        <v>30</v>
      </c>
      <c r="I7" s="79">
        <v>6000</v>
      </c>
    </row>
    <row r="8" spans="1:9" ht="15.75" x14ac:dyDescent="0.25">
      <c r="A8" s="78" t="s">
        <v>184</v>
      </c>
      <c r="B8" s="78">
        <v>1000</v>
      </c>
      <c r="E8">
        <f t="shared" si="1"/>
        <v>200</v>
      </c>
      <c r="H8" s="79" t="s">
        <v>9</v>
      </c>
      <c r="I8" s="79">
        <v>6000</v>
      </c>
    </row>
    <row r="9" spans="1:9" ht="15.75" x14ac:dyDescent="0.25">
      <c r="A9" s="78" t="s">
        <v>19</v>
      </c>
      <c r="B9" s="78">
        <v>800</v>
      </c>
      <c r="E9">
        <f>B9/4</f>
        <v>200</v>
      </c>
      <c r="H9" s="79" t="s">
        <v>11</v>
      </c>
      <c r="I9" s="79">
        <f>SUM(E6,E7,E8,E10,E12)</f>
        <v>3720</v>
      </c>
    </row>
    <row r="10" spans="1:9" ht="15.75" x14ac:dyDescent="0.25">
      <c r="A10" s="78" t="s">
        <v>20</v>
      </c>
      <c r="B10" s="78">
        <v>850</v>
      </c>
      <c r="E10">
        <f t="shared" si="1"/>
        <v>170</v>
      </c>
      <c r="H10" s="79" t="s">
        <v>93</v>
      </c>
      <c r="I10" s="79">
        <v>6000</v>
      </c>
    </row>
    <row r="11" spans="1:9" ht="15.75" x14ac:dyDescent="0.25">
      <c r="A11" s="78" t="s">
        <v>40</v>
      </c>
      <c r="B11" s="78">
        <v>1000</v>
      </c>
      <c r="E11">
        <f>B11/4</f>
        <v>250</v>
      </c>
      <c r="H11" s="79" t="s">
        <v>103</v>
      </c>
      <c r="I11" s="79">
        <v>6000</v>
      </c>
    </row>
    <row r="12" spans="1:9" ht="15.75" x14ac:dyDescent="0.25">
      <c r="A12" s="78" t="s">
        <v>141</v>
      </c>
      <c r="B12" s="78">
        <v>1000</v>
      </c>
      <c r="E12">
        <f>B12/4</f>
        <v>250</v>
      </c>
    </row>
    <row r="13" spans="1:9" ht="18" x14ac:dyDescent="0.3">
      <c r="A13" s="44" t="s">
        <v>17</v>
      </c>
      <c r="B13" s="45">
        <f>SUM(B2:B12)</f>
        <v>26750</v>
      </c>
      <c r="E13">
        <f>SUM(E2:E12)</f>
        <v>5820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I19"/>
    </sheetView>
  </sheetViews>
  <sheetFormatPr defaultRowHeight="15" x14ac:dyDescent="0.25"/>
  <cols>
    <col min="1" max="1" width="19.42578125" bestFit="1" customWidth="1"/>
  </cols>
  <sheetData>
    <row r="1" spans="1:8" ht="15.75" x14ac:dyDescent="0.25">
      <c r="A1" s="77" t="s">
        <v>48</v>
      </c>
      <c r="B1" s="77" t="s">
        <v>89</v>
      </c>
    </row>
    <row r="2" spans="1:8" ht="15.75" x14ac:dyDescent="0.25">
      <c r="A2" s="78" t="s">
        <v>60</v>
      </c>
      <c r="B2" s="78">
        <v>-2610</v>
      </c>
    </row>
    <row r="3" spans="1:8" ht="15.75" x14ac:dyDescent="0.25">
      <c r="A3" s="78" t="s">
        <v>6</v>
      </c>
      <c r="B3" s="78">
        <v>2500</v>
      </c>
      <c r="D3">
        <f>B3/4</f>
        <v>625</v>
      </c>
    </row>
    <row r="4" spans="1:8" ht="15.75" x14ac:dyDescent="0.25">
      <c r="A4" s="78" t="s">
        <v>8</v>
      </c>
      <c r="B4" s="78">
        <v>1500</v>
      </c>
      <c r="D4">
        <f t="shared" ref="D4:D14" si="0">B4/4</f>
        <v>375</v>
      </c>
    </row>
    <row r="5" spans="1:8" ht="15.75" x14ac:dyDescent="0.25">
      <c r="A5" s="78" t="s">
        <v>130</v>
      </c>
      <c r="B5" s="78">
        <v>700</v>
      </c>
      <c r="D5">
        <f t="shared" si="0"/>
        <v>175</v>
      </c>
    </row>
    <row r="6" spans="1:8" ht="15.75" x14ac:dyDescent="0.25">
      <c r="A6" s="78" t="s">
        <v>160</v>
      </c>
      <c r="B6" s="78">
        <v>600</v>
      </c>
      <c r="D6">
        <f t="shared" si="0"/>
        <v>150</v>
      </c>
      <c r="G6" s="64" t="s">
        <v>137</v>
      </c>
      <c r="H6" s="64" t="s">
        <v>126</v>
      </c>
    </row>
    <row r="7" spans="1:8" ht="15.75" x14ac:dyDescent="0.25">
      <c r="A7" s="78" t="s">
        <v>14</v>
      </c>
      <c r="B7" s="78">
        <v>10000</v>
      </c>
      <c r="D7">
        <f t="shared" si="0"/>
        <v>2500</v>
      </c>
      <c r="G7" s="79" t="s">
        <v>30</v>
      </c>
      <c r="H7" s="79">
        <v>6500</v>
      </c>
    </row>
    <row r="8" spans="1:8" ht="15.75" x14ac:dyDescent="0.25">
      <c r="A8" s="78" t="s">
        <v>105</v>
      </c>
      <c r="B8" s="78">
        <v>5500</v>
      </c>
      <c r="D8">
        <f t="shared" si="0"/>
        <v>1375</v>
      </c>
      <c r="G8" s="79" t="s">
        <v>9</v>
      </c>
      <c r="H8" s="79">
        <v>6500</v>
      </c>
    </row>
    <row r="9" spans="1:8" ht="15.75" x14ac:dyDescent="0.25">
      <c r="A9" s="78" t="s">
        <v>184</v>
      </c>
      <c r="B9" s="78">
        <v>1000</v>
      </c>
      <c r="D9">
        <f t="shared" si="0"/>
        <v>250</v>
      </c>
      <c r="G9" s="79" t="s">
        <v>93</v>
      </c>
      <c r="H9" s="79">
        <v>6500</v>
      </c>
    </row>
    <row r="10" spans="1:8" ht="15.75" x14ac:dyDescent="0.25">
      <c r="A10" s="78" t="s">
        <v>19</v>
      </c>
      <c r="B10" s="78">
        <v>800</v>
      </c>
      <c r="D10">
        <f t="shared" si="0"/>
        <v>200</v>
      </c>
      <c r="G10" s="79" t="s">
        <v>103</v>
      </c>
      <c r="H10" s="79">
        <v>6500</v>
      </c>
    </row>
    <row r="11" spans="1:8" ht="15.75" x14ac:dyDescent="0.25">
      <c r="A11" s="78" t="s">
        <v>20</v>
      </c>
      <c r="B11" s="78">
        <v>1000</v>
      </c>
      <c r="D11">
        <f t="shared" si="0"/>
        <v>250</v>
      </c>
    </row>
    <row r="12" spans="1:8" ht="15.75" x14ac:dyDescent="0.25">
      <c r="A12" s="78" t="s">
        <v>40</v>
      </c>
      <c r="B12" s="78">
        <v>500</v>
      </c>
      <c r="D12">
        <f t="shared" si="0"/>
        <v>125</v>
      </c>
    </row>
    <row r="13" spans="1:8" ht="15.75" x14ac:dyDescent="0.25">
      <c r="A13" s="78" t="s">
        <v>141</v>
      </c>
      <c r="B13" s="78">
        <v>4420</v>
      </c>
      <c r="D13">
        <f t="shared" si="0"/>
        <v>1105</v>
      </c>
    </row>
    <row r="14" spans="1:8" ht="18" x14ac:dyDescent="0.3">
      <c r="A14" s="44" t="s">
        <v>17</v>
      </c>
      <c r="B14" s="45">
        <f>SUM(B2:B13)</f>
        <v>25910</v>
      </c>
      <c r="D14">
        <f t="shared" si="0"/>
        <v>6477.5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I17" sqref="I17"/>
    </sheetView>
  </sheetViews>
  <sheetFormatPr defaultRowHeight="15" x14ac:dyDescent="0.25"/>
  <cols>
    <col min="1" max="1" width="22" customWidth="1"/>
    <col min="2" max="2" width="12.28515625" customWidth="1"/>
  </cols>
  <sheetData>
    <row r="1" spans="1:15" ht="15.75" x14ac:dyDescent="0.25">
      <c r="A1" s="77" t="s">
        <v>48</v>
      </c>
      <c r="B1" s="77" t="s">
        <v>89</v>
      </c>
    </row>
    <row r="2" spans="1:15" ht="15.75" x14ac:dyDescent="0.25">
      <c r="A2" s="78" t="s">
        <v>60</v>
      </c>
      <c r="B2" s="78">
        <v>3966</v>
      </c>
      <c r="D2">
        <f>B2/4</f>
        <v>991.5</v>
      </c>
    </row>
    <row r="3" spans="1:15" ht="15.75" x14ac:dyDescent="0.25">
      <c r="A3" s="78" t="s">
        <v>159</v>
      </c>
      <c r="B3" s="78">
        <v>-183</v>
      </c>
      <c r="D3">
        <f t="shared" ref="D3:D15" si="0">B3/4</f>
        <v>-45.75</v>
      </c>
      <c r="K3" t="s">
        <v>30</v>
      </c>
      <c r="L3">
        <v>1224</v>
      </c>
      <c r="N3" t="s">
        <v>30</v>
      </c>
      <c r="O3">
        <f>L3+L4+L6+L7-183</f>
        <v>1441</v>
      </c>
    </row>
    <row r="4" spans="1:15" ht="15.75" x14ac:dyDescent="0.25">
      <c r="A4" s="78" t="s">
        <v>114</v>
      </c>
      <c r="B4" s="78">
        <v>1000</v>
      </c>
      <c r="D4">
        <f t="shared" si="0"/>
        <v>250</v>
      </c>
      <c r="K4" t="s">
        <v>30</v>
      </c>
      <c r="L4">
        <v>270</v>
      </c>
    </row>
    <row r="5" spans="1:15" ht="15.75" x14ac:dyDescent="0.25">
      <c r="A5" s="78" t="s">
        <v>8</v>
      </c>
      <c r="B5" s="78">
        <v>1600</v>
      </c>
      <c r="D5">
        <f t="shared" si="0"/>
        <v>400</v>
      </c>
      <c r="K5" t="s">
        <v>9</v>
      </c>
      <c r="L5">
        <v>2342</v>
      </c>
    </row>
    <row r="6" spans="1:15" ht="15.75" x14ac:dyDescent="0.25">
      <c r="A6" s="78" t="s">
        <v>130</v>
      </c>
      <c r="B6" s="78">
        <v>700</v>
      </c>
      <c r="D6">
        <f t="shared" si="0"/>
        <v>175</v>
      </c>
      <c r="K6" t="s">
        <v>30</v>
      </c>
      <c r="L6">
        <v>90</v>
      </c>
    </row>
    <row r="7" spans="1:15" ht="15.75" x14ac:dyDescent="0.25">
      <c r="A7" s="78" t="s">
        <v>160</v>
      </c>
      <c r="B7" s="78">
        <v>600</v>
      </c>
      <c r="D7">
        <f t="shared" si="0"/>
        <v>150</v>
      </c>
      <c r="G7" s="64" t="s">
        <v>137</v>
      </c>
      <c r="H7" s="64" t="s">
        <v>126</v>
      </c>
      <c r="K7" t="s">
        <v>30</v>
      </c>
      <c r="L7">
        <v>40</v>
      </c>
    </row>
    <row r="8" spans="1:15" ht="15.75" x14ac:dyDescent="0.25">
      <c r="A8" s="78" t="s">
        <v>14</v>
      </c>
      <c r="B8" s="78">
        <v>10000</v>
      </c>
      <c r="D8">
        <f t="shared" si="0"/>
        <v>2500</v>
      </c>
      <c r="G8" s="79" t="s">
        <v>30</v>
      </c>
      <c r="H8" s="79">
        <f>D15-1441</f>
        <v>5454.75</v>
      </c>
    </row>
    <row r="9" spans="1:15" ht="15.75" x14ac:dyDescent="0.25">
      <c r="A9" s="78" t="s">
        <v>105</v>
      </c>
      <c r="B9" s="78">
        <v>5500</v>
      </c>
      <c r="D9">
        <f t="shared" si="0"/>
        <v>1375</v>
      </c>
      <c r="G9" s="79" t="s">
        <v>9</v>
      </c>
      <c r="H9" s="79">
        <f>D15-L5</f>
        <v>4553.75</v>
      </c>
      <c r="L9">
        <f>SUM(L3:L7)</f>
        <v>3966</v>
      </c>
    </row>
    <row r="10" spans="1:15" ht="15.75" x14ac:dyDescent="0.25">
      <c r="A10" s="78" t="s">
        <v>184</v>
      </c>
      <c r="B10" s="78">
        <v>500</v>
      </c>
      <c r="D10">
        <f t="shared" si="0"/>
        <v>125</v>
      </c>
      <c r="G10" s="79" t="s">
        <v>93</v>
      </c>
      <c r="H10" s="79">
        <v>6900</v>
      </c>
    </row>
    <row r="11" spans="1:15" ht="15.75" x14ac:dyDescent="0.25">
      <c r="A11" s="78" t="s">
        <v>19</v>
      </c>
      <c r="B11" s="78">
        <v>900</v>
      </c>
      <c r="D11">
        <f t="shared" si="0"/>
        <v>225</v>
      </c>
      <c r="G11" s="79" t="s">
        <v>103</v>
      </c>
      <c r="H11" s="79">
        <v>6900</v>
      </c>
    </row>
    <row r="12" spans="1:15" ht="15.75" x14ac:dyDescent="0.25">
      <c r="A12" s="78" t="s">
        <v>20</v>
      </c>
      <c r="B12" s="78">
        <v>1000</v>
      </c>
      <c r="D12">
        <f t="shared" si="0"/>
        <v>250</v>
      </c>
    </row>
    <row r="13" spans="1:15" ht="15.75" x14ac:dyDescent="0.25">
      <c r="A13" s="78" t="s">
        <v>40</v>
      </c>
      <c r="B13" s="78">
        <v>1000</v>
      </c>
      <c r="D13">
        <f t="shared" si="0"/>
        <v>250</v>
      </c>
    </row>
    <row r="14" spans="1:15" ht="15.75" x14ac:dyDescent="0.25">
      <c r="A14" s="78" t="s">
        <v>141</v>
      </c>
      <c r="B14" s="78">
        <v>1000</v>
      </c>
      <c r="D14">
        <f t="shared" si="0"/>
        <v>250</v>
      </c>
    </row>
    <row r="15" spans="1:15" ht="18" x14ac:dyDescent="0.3">
      <c r="A15" s="44" t="s">
        <v>17</v>
      </c>
      <c r="B15" s="45">
        <f>SUM(B2:B14)</f>
        <v>27583</v>
      </c>
      <c r="D15" s="68">
        <f t="shared" si="0"/>
        <v>6895.75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21" sqref="G21"/>
    </sheetView>
  </sheetViews>
  <sheetFormatPr defaultRowHeight="15" x14ac:dyDescent="0.25"/>
  <cols>
    <col min="1" max="1" width="19.42578125" bestFit="1" customWidth="1"/>
  </cols>
  <sheetData>
    <row r="1" spans="1:8" ht="15.75" x14ac:dyDescent="0.25">
      <c r="A1" s="77" t="s">
        <v>48</v>
      </c>
      <c r="B1" s="77" t="s">
        <v>89</v>
      </c>
    </row>
    <row r="2" spans="1:8" ht="15.75" x14ac:dyDescent="0.25">
      <c r="A2" s="78" t="s">
        <v>16</v>
      </c>
      <c r="B2" s="78">
        <v>700</v>
      </c>
      <c r="D2">
        <f>B2/4</f>
        <v>175</v>
      </c>
    </row>
    <row r="3" spans="1:8" ht="15.75" x14ac:dyDescent="0.25">
      <c r="A3" s="78" t="s">
        <v>114</v>
      </c>
      <c r="B3" s="78">
        <v>1000</v>
      </c>
      <c r="D3">
        <f t="shared" ref="D3:D14" si="0">B3/4</f>
        <v>250</v>
      </c>
    </row>
    <row r="4" spans="1:8" ht="15.75" x14ac:dyDescent="0.25">
      <c r="A4" s="78" t="s">
        <v>109</v>
      </c>
      <c r="B4" s="78">
        <v>1000</v>
      </c>
      <c r="D4">
        <f t="shared" si="0"/>
        <v>250</v>
      </c>
    </row>
    <row r="5" spans="1:8" ht="15.75" x14ac:dyDescent="0.25">
      <c r="A5" s="78" t="s">
        <v>8</v>
      </c>
      <c r="B5" s="78">
        <v>1600</v>
      </c>
      <c r="D5">
        <f t="shared" si="0"/>
        <v>400</v>
      </c>
    </row>
    <row r="6" spans="1:8" ht="15.75" x14ac:dyDescent="0.25">
      <c r="A6" s="78" t="s">
        <v>130</v>
      </c>
      <c r="B6" s="78">
        <v>700</v>
      </c>
      <c r="D6">
        <f t="shared" si="0"/>
        <v>175</v>
      </c>
    </row>
    <row r="7" spans="1:8" ht="15.75" x14ac:dyDescent="0.25">
      <c r="A7" s="78" t="s">
        <v>160</v>
      </c>
      <c r="B7" s="78">
        <v>500</v>
      </c>
      <c r="D7">
        <f t="shared" si="0"/>
        <v>125</v>
      </c>
    </row>
    <row r="8" spans="1:8" ht="15.75" x14ac:dyDescent="0.25">
      <c r="A8" s="78" t="s">
        <v>14</v>
      </c>
      <c r="B8" s="78">
        <v>10000</v>
      </c>
      <c r="D8">
        <f t="shared" si="0"/>
        <v>2500</v>
      </c>
      <c r="G8" s="64" t="s">
        <v>137</v>
      </c>
      <c r="H8" s="64" t="s">
        <v>126</v>
      </c>
    </row>
    <row r="9" spans="1:8" ht="15.75" x14ac:dyDescent="0.25">
      <c r="A9" s="78" t="s">
        <v>105</v>
      </c>
      <c r="B9" s="78">
        <v>5500</v>
      </c>
      <c r="D9">
        <f t="shared" si="0"/>
        <v>1375</v>
      </c>
      <c r="G9" s="79" t="s">
        <v>30</v>
      </c>
      <c r="H9" s="79">
        <v>7500</v>
      </c>
    </row>
    <row r="10" spans="1:8" ht="15.75" x14ac:dyDescent="0.25">
      <c r="A10" s="78" t="s">
        <v>184</v>
      </c>
      <c r="B10" s="78">
        <v>1500</v>
      </c>
      <c r="D10">
        <f t="shared" si="0"/>
        <v>375</v>
      </c>
      <c r="G10" s="79" t="s">
        <v>9</v>
      </c>
      <c r="H10" s="79">
        <v>7500</v>
      </c>
    </row>
    <row r="11" spans="1:8" ht="15.75" x14ac:dyDescent="0.25">
      <c r="A11" s="78" t="s">
        <v>19</v>
      </c>
      <c r="B11" s="78">
        <v>900</v>
      </c>
      <c r="D11">
        <f t="shared" si="0"/>
        <v>225</v>
      </c>
      <c r="G11" s="79" t="s">
        <v>93</v>
      </c>
      <c r="H11" s="79">
        <v>7500</v>
      </c>
    </row>
    <row r="12" spans="1:8" ht="15.75" x14ac:dyDescent="0.25">
      <c r="A12" s="78" t="s">
        <v>20</v>
      </c>
      <c r="B12" s="78">
        <v>945</v>
      </c>
      <c r="D12">
        <f t="shared" si="0"/>
        <v>236.25</v>
      </c>
      <c r="G12" s="79" t="s">
        <v>103</v>
      </c>
      <c r="H12" s="79">
        <v>7500</v>
      </c>
    </row>
    <row r="13" spans="1:8" ht="15.75" x14ac:dyDescent="0.25">
      <c r="A13" s="78" t="s">
        <v>141</v>
      </c>
      <c r="B13" s="78">
        <v>5608</v>
      </c>
      <c r="D13">
        <f t="shared" si="0"/>
        <v>1402</v>
      </c>
    </row>
    <row r="14" spans="1:8" ht="18" x14ac:dyDescent="0.3">
      <c r="A14" s="44" t="s">
        <v>17</v>
      </c>
      <c r="B14" s="45">
        <f>SUM(B2:B13)</f>
        <v>29953</v>
      </c>
      <c r="D14">
        <f t="shared" si="0"/>
        <v>7488.25</v>
      </c>
    </row>
    <row r="16" spans="1:8" x14ac:dyDescent="0.25">
      <c r="D16" s="68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16" sqref="F16"/>
    </sheetView>
  </sheetViews>
  <sheetFormatPr defaultRowHeight="15" x14ac:dyDescent="0.25"/>
  <cols>
    <col min="1" max="1" width="23.5703125" bestFit="1" customWidth="1"/>
  </cols>
  <sheetData>
    <row r="1" spans="1:8" ht="15.75" x14ac:dyDescent="0.25">
      <c r="A1" s="77" t="s">
        <v>48</v>
      </c>
      <c r="B1" s="77" t="s">
        <v>89</v>
      </c>
    </row>
    <row r="2" spans="1:8" ht="15.75" x14ac:dyDescent="0.25">
      <c r="A2" s="78" t="s">
        <v>185</v>
      </c>
      <c r="B2" s="78">
        <v>3000</v>
      </c>
      <c r="D2">
        <f t="shared" ref="D2:D13" si="0">B2/4</f>
        <v>750</v>
      </c>
    </row>
    <row r="3" spans="1:8" ht="15.75" x14ac:dyDescent="0.25">
      <c r="A3" s="78" t="s">
        <v>114</v>
      </c>
      <c r="B3" s="78">
        <v>1000</v>
      </c>
      <c r="D3">
        <f t="shared" si="0"/>
        <v>250</v>
      </c>
    </row>
    <row r="4" spans="1:8" ht="15.75" x14ac:dyDescent="0.25">
      <c r="A4" s="78" t="s">
        <v>8</v>
      </c>
      <c r="B4" s="78">
        <v>1600</v>
      </c>
      <c r="D4">
        <f t="shared" si="0"/>
        <v>400</v>
      </c>
    </row>
    <row r="5" spans="1:8" ht="15.75" x14ac:dyDescent="0.25">
      <c r="A5" s="78" t="s">
        <v>130</v>
      </c>
      <c r="B5" s="78">
        <v>700</v>
      </c>
      <c r="D5">
        <f t="shared" si="0"/>
        <v>175</v>
      </c>
    </row>
    <row r="6" spans="1:8" ht="15.75" x14ac:dyDescent="0.25">
      <c r="A6" s="78" t="s">
        <v>160</v>
      </c>
      <c r="B6" s="78">
        <v>500</v>
      </c>
      <c r="D6">
        <f t="shared" si="0"/>
        <v>125</v>
      </c>
    </row>
    <row r="7" spans="1:8" ht="15.75" x14ac:dyDescent="0.25">
      <c r="A7" s="78" t="s">
        <v>14</v>
      </c>
      <c r="B7" s="78">
        <v>10000</v>
      </c>
      <c r="D7">
        <f t="shared" si="0"/>
        <v>2500</v>
      </c>
      <c r="G7" s="64" t="s">
        <v>137</v>
      </c>
      <c r="H7" s="64" t="s">
        <v>126</v>
      </c>
    </row>
    <row r="8" spans="1:8" ht="15.75" x14ac:dyDescent="0.25">
      <c r="A8" s="78" t="s">
        <v>105</v>
      </c>
      <c r="B8" s="78">
        <v>5500</v>
      </c>
      <c r="D8">
        <f t="shared" si="0"/>
        <v>1375</v>
      </c>
      <c r="G8" s="79" t="s">
        <v>30</v>
      </c>
      <c r="H8" s="79">
        <v>7000</v>
      </c>
    </row>
    <row r="9" spans="1:8" ht="15.75" x14ac:dyDescent="0.25">
      <c r="A9" s="78" t="s">
        <v>184</v>
      </c>
      <c r="B9" s="78">
        <v>1500</v>
      </c>
      <c r="D9">
        <f t="shared" si="0"/>
        <v>375</v>
      </c>
      <c r="G9" s="79" t="s">
        <v>9</v>
      </c>
      <c r="H9" s="79">
        <v>7000</v>
      </c>
    </row>
    <row r="10" spans="1:8" ht="15.75" x14ac:dyDescent="0.25">
      <c r="A10" s="78" t="s">
        <v>19</v>
      </c>
      <c r="B10" s="78">
        <v>1200</v>
      </c>
      <c r="D10">
        <f t="shared" si="0"/>
        <v>300</v>
      </c>
      <c r="G10" s="79" t="s">
        <v>93</v>
      </c>
      <c r="H10" s="79">
        <v>7000</v>
      </c>
    </row>
    <row r="11" spans="1:8" ht="15.75" x14ac:dyDescent="0.25">
      <c r="A11" s="78" t="s">
        <v>20</v>
      </c>
      <c r="B11" s="78">
        <v>945</v>
      </c>
      <c r="D11">
        <f t="shared" si="0"/>
        <v>236.25</v>
      </c>
      <c r="G11" s="79" t="s">
        <v>103</v>
      </c>
      <c r="H11" s="79">
        <v>7000</v>
      </c>
    </row>
    <row r="12" spans="1:8" ht="15.75" x14ac:dyDescent="0.25">
      <c r="A12" s="78" t="s">
        <v>186</v>
      </c>
      <c r="B12" s="78">
        <v>2000</v>
      </c>
      <c r="D12">
        <f t="shared" si="0"/>
        <v>500</v>
      </c>
      <c r="G12" s="65" t="s">
        <v>140</v>
      </c>
      <c r="H12" s="65">
        <v>1000</v>
      </c>
    </row>
    <row r="13" spans="1:8" ht="18" x14ac:dyDescent="0.3">
      <c r="A13" s="44" t="s">
        <v>17</v>
      </c>
      <c r="B13" s="45">
        <f>SUM(B2:B12)</f>
        <v>27945</v>
      </c>
      <c r="D13">
        <f t="shared" si="0"/>
        <v>6986.25</v>
      </c>
    </row>
    <row r="15" spans="1:8" x14ac:dyDescent="0.25">
      <c r="D15" s="68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I18" sqref="I18"/>
    </sheetView>
  </sheetViews>
  <sheetFormatPr defaultRowHeight="15" x14ac:dyDescent="0.25"/>
  <cols>
    <col min="1" max="1" width="23.5703125" bestFit="1" customWidth="1"/>
    <col min="9" max="9" width="16.7109375" customWidth="1"/>
    <col min="10" max="10" width="7.7109375" bestFit="1" customWidth="1"/>
    <col min="11" max="11" width="11.85546875" bestFit="1" customWidth="1"/>
  </cols>
  <sheetData>
    <row r="1" spans="1:11" ht="15.75" x14ac:dyDescent="0.25">
      <c r="A1" s="77" t="s">
        <v>48</v>
      </c>
      <c r="B1" s="77" t="s">
        <v>89</v>
      </c>
    </row>
    <row r="2" spans="1:11" ht="15.75" x14ac:dyDescent="0.25">
      <c r="A2" s="78" t="s">
        <v>185</v>
      </c>
      <c r="B2" s="78">
        <v>1000</v>
      </c>
    </row>
    <row r="3" spans="1:11" ht="15.75" x14ac:dyDescent="0.25">
      <c r="A3" s="78" t="s">
        <v>109</v>
      </c>
      <c r="B3" s="78">
        <v>950</v>
      </c>
      <c r="H3" s="79"/>
      <c r="I3" s="64" t="s">
        <v>187</v>
      </c>
      <c r="J3" s="64" t="s">
        <v>188</v>
      </c>
      <c r="K3" s="64" t="s">
        <v>189</v>
      </c>
    </row>
    <row r="4" spans="1:11" ht="15.75" x14ac:dyDescent="0.25">
      <c r="A4" s="78" t="s">
        <v>114</v>
      </c>
      <c r="B4" s="78">
        <v>1500</v>
      </c>
      <c r="H4" s="79" t="s">
        <v>30</v>
      </c>
      <c r="I4" s="79">
        <v>7286.3</v>
      </c>
      <c r="J4" s="79">
        <v>1850</v>
      </c>
      <c r="K4" s="8">
        <f>I4-J4</f>
        <v>5436.3</v>
      </c>
    </row>
    <row r="5" spans="1:11" ht="15.75" x14ac:dyDescent="0.25">
      <c r="A5" s="78" t="s">
        <v>8</v>
      </c>
      <c r="B5" s="78">
        <v>1600</v>
      </c>
      <c r="H5" s="79" t="s">
        <v>9</v>
      </c>
      <c r="I5" s="79">
        <v>7286.3</v>
      </c>
      <c r="J5" s="79">
        <v>1130</v>
      </c>
      <c r="K5" s="8">
        <f t="shared" ref="K5:K7" si="0">I5-J5</f>
        <v>6156.3</v>
      </c>
    </row>
    <row r="6" spans="1:11" ht="15.75" x14ac:dyDescent="0.25">
      <c r="A6" s="78" t="s">
        <v>130</v>
      </c>
      <c r="B6" s="78">
        <v>700</v>
      </c>
      <c r="H6" s="79" t="s">
        <v>103</v>
      </c>
      <c r="I6" s="79">
        <v>7286.3</v>
      </c>
      <c r="J6" s="79">
        <v>0</v>
      </c>
      <c r="K6" s="8">
        <f t="shared" si="0"/>
        <v>7286.3</v>
      </c>
    </row>
    <row r="7" spans="1:11" ht="15.75" x14ac:dyDescent="0.25">
      <c r="A7" s="78" t="s">
        <v>160</v>
      </c>
      <c r="B7" s="78">
        <v>500</v>
      </c>
      <c r="H7" s="79" t="s">
        <v>93</v>
      </c>
      <c r="I7" s="79">
        <v>7286.3</v>
      </c>
      <c r="J7" s="79">
        <v>392</v>
      </c>
      <c r="K7" s="8">
        <f t="shared" si="0"/>
        <v>6894.3</v>
      </c>
    </row>
    <row r="8" spans="1:11" ht="15.75" x14ac:dyDescent="0.25">
      <c r="A8" s="78" t="s">
        <v>14</v>
      </c>
      <c r="B8" s="78">
        <v>10000</v>
      </c>
    </row>
    <row r="9" spans="1:11" ht="15.75" x14ac:dyDescent="0.25">
      <c r="A9" s="78" t="s">
        <v>105</v>
      </c>
      <c r="B9" s="78">
        <v>5500</v>
      </c>
    </row>
    <row r="10" spans="1:11" ht="15.75" x14ac:dyDescent="0.25">
      <c r="A10" s="78" t="s">
        <v>184</v>
      </c>
      <c r="B10" s="78">
        <v>1500</v>
      </c>
    </row>
    <row r="11" spans="1:11" ht="15.75" x14ac:dyDescent="0.25">
      <c r="A11" s="78" t="s">
        <v>16</v>
      </c>
      <c r="B11" s="78">
        <v>850</v>
      </c>
    </row>
    <row r="12" spans="1:11" ht="15.75" x14ac:dyDescent="0.25">
      <c r="A12" s="78" t="s">
        <v>19</v>
      </c>
      <c r="B12" s="78">
        <v>1000</v>
      </c>
    </row>
    <row r="13" spans="1:11" ht="15.75" x14ac:dyDescent="0.25">
      <c r="A13" s="78" t="s">
        <v>20</v>
      </c>
      <c r="B13" s="78">
        <v>945</v>
      </c>
    </row>
    <row r="14" spans="1:11" ht="15.75" x14ac:dyDescent="0.25">
      <c r="A14" s="78" t="s">
        <v>31</v>
      </c>
      <c r="B14" s="78">
        <v>3100</v>
      </c>
    </row>
    <row r="15" spans="1:11" ht="18" x14ac:dyDescent="0.3">
      <c r="A15" s="44" t="s">
        <v>17</v>
      </c>
      <c r="B15" s="45">
        <f>SUM(B2:B14)</f>
        <v>29145</v>
      </c>
    </row>
    <row r="17" spans="1:2" ht="18" x14ac:dyDescent="0.3">
      <c r="A17" s="7" t="s">
        <v>190</v>
      </c>
      <c r="B17" s="45">
        <f>B15/4</f>
        <v>7286.25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18" sqref="K18"/>
    </sheetView>
  </sheetViews>
  <sheetFormatPr defaultRowHeight="15" x14ac:dyDescent="0.25"/>
  <cols>
    <col min="1" max="1" width="23.5703125" bestFit="1" customWidth="1"/>
    <col min="2" max="2" width="10.28515625" bestFit="1" customWidth="1"/>
    <col min="9" max="9" width="16.28515625" bestFit="1" customWidth="1"/>
    <col min="10" max="10" width="7.7109375" bestFit="1" customWidth="1"/>
    <col min="11" max="11" width="11.85546875" bestFit="1" customWidth="1"/>
  </cols>
  <sheetData>
    <row r="1" spans="1:15" ht="15.75" x14ac:dyDescent="0.25">
      <c r="A1" s="77" t="s">
        <v>48</v>
      </c>
      <c r="B1" s="77" t="s">
        <v>89</v>
      </c>
    </row>
    <row r="2" spans="1:15" ht="15.75" x14ac:dyDescent="0.25">
      <c r="A2" s="78" t="s">
        <v>185</v>
      </c>
      <c r="B2" s="78">
        <v>500</v>
      </c>
      <c r="D2">
        <f>B2/5</f>
        <v>100</v>
      </c>
    </row>
    <row r="3" spans="1:15" ht="15.75" x14ac:dyDescent="0.25">
      <c r="A3" s="78" t="s">
        <v>109</v>
      </c>
      <c r="B3" s="78">
        <v>950</v>
      </c>
      <c r="D3">
        <f>B3/5</f>
        <v>190</v>
      </c>
    </row>
    <row r="4" spans="1:15" ht="15.75" x14ac:dyDescent="0.25">
      <c r="A4" s="78" t="s">
        <v>114</v>
      </c>
      <c r="B4" s="78">
        <v>1500</v>
      </c>
      <c r="D4">
        <f>B4/5</f>
        <v>300</v>
      </c>
    </row>
    <row r="5" spans="1:15" ht="15.75" x14ac:dyDescent="0.25">
      <c r="A5" s="78" t="s">
        <v>8</v>
      </c>
      <c r="B5" s="78">
        <v>1600</v>
      </c>
      <c r="D5">
        <f t="shared" ref="D5:D13" si="0">B5/5</f>
        <v>320</v>
      </c>
      <c r="H5" s="79"/>
      <c r="I5" s="64" t="s">
        <v>187</v>
      </c>
      <c r="J5" s="64" t="s">
        <v>188</v>
      </c>
      <c r="K5" s="64" t="s">
        <v>189</v>
      </c>
      <c r="N5" s="69" t="s">
        <v>191</v>
      </c>
      <c r="O5">
        <f>D14*4</f>
        <v>23440</v>
      </c>
    </row>
    <row r="6" spans="1:15" ht="15.75" x14ac:dyDescent="0.25">
      <c r="A6" s="78" t="s">
        <v>130</v>
      </c>
      <c r="B6" s="78">
        <v>700</v>
      </c>
      <c r="D6">
        <f t="shared" si="0"/>
        <v>140</v>
      </c>
      <c r="H6" s="79" t="s">
        <v>30</v>
      </c>
      <c r="I6" s="79">
        <v>5880</v>
      </c>
      <c r="J6" s="79"/>
      <c r="K6" s="8">
        <v>5880</v>
      </c>
      <c r="O6">
        <f>SUM(D2,D3,D4,D5,D6,D7,D9,D10,D11,(D12/2),D13)</f>
        <v>3255</v>
      </c>
    </row>
    <row r="7" spans="1:15" ht="15.75" x14ac:dyDescent="0.25">
      <c r="A7" s="78" t="s">
        <v>160</v>
      </c>
      <c r="B7" s="78">
        <v>1000</v>
      </c>
      <c r="D7">
        <f t="shared" si="0"/>
        <v>200</v>
      </c>
      <c r="H7" s="79" t="s">
        <v>9</v>
      </c>
      <c r="I7" s="79">
        <v>5880</v>
      </c>
      <c r="J7" s="79">
        <v>500</v>
      </c>
      <c r="K7" s="8">
        <v>5380</v>
      </c>
    </row>
    <row r="8" spans="1:15" ht="15.75" x14ac:dyDescent="0.25">
      <c r="A8" s="78" t="s">
        <v>14</v>
      </c>
      <c r="B8" s="78">
        <v>10000</v>
      </c>
      <c r="D8">
        <f>B8/4</f>
        <v>2500</v>
      </c>
      <c r="H8" s="79" t="s">
        <v>103</v>
      </c>
      <c r="I8" s="79">
        <v>5880</v>
      </c>
      <c r="J8" s="79"/>
      <c r="K8" s="8">
        <v>5880</v>
      </c>
    </row>
    <row r="9" spans="1:15" ht="15.75" x14ac:dyDescent="0.25">
      <c r="A9" s="78" t="s">
        <v>105</v>
      </c>
      <c r="B9" s="78">
        <v>5500</v>
      </c>
      <c r="D9">
        <f>B9/5</f>
        <v>1100</v>
      </c>
      <c r="H9" s="79" t="s">
        <v>93</v>
      </c>
      <c r="I9" s="79">
        <v>5880</v>
      </c>
      <c r="J9" s="79"/>
      <c r="K9" s="8">
        <v>5880</v>
      </c>
    </row>
    <row r="10" spans="1:15" ht="15.75" x14ac:dyDescent="0.25">
      <c r="A10" s="78" t="s">
        <v>184</v>
      </c>
      <c r="B10" s="78">
        <v>1500</v>
      </c>
      <c r="D10">
        <f>B10/5</f>
        <v>300</v>
      </c>
      <c r="H10" s="65" t="s">
        <v>192</v>
      </c>
      <c r="I10" s="79">
        <v>3275</v>
      </c>
      <c r="J10" s="79"/>
      <c r="K10" s="8">
        <v>3275</v>
      </c>
    </row>
    <row r="11" spans="1:15" ht="15.75" x14ac:dyDescent="0.25">
      <c r="A11" s="78" t="s">
        <v>19</v>
      </c>
      <c r="B11" s="78">
        <v>500</v>
      </c>
      <c r="D11">
        <f t="shared" si="0"/>
        <v>100</v>
      </c>
    </row>
    <row r="12" spans="1:15" ht="15.75" x14ac:dyDescent="0.25">
      <c r="A12" s="78" t="s">
        <v>20</v>
      </c>
      <c r="B12" s="78">
        <v>945</v>
      </c>
      <c r="D12">
        <f>B12/4.5</f>
        <v>210</v>
      </c>
    </row>
    <row r="13" spans="1:15" ht="15.75" x14ac:dyDescent="0.25">
      <c r="A13" s="78" t="s">
        <v>193</v>
      </c>
      <c r="B13" s="78">
        <v>2000</v>
      </c>
      <c r="D13">
        <f t="shared" si="0"/>
        <v>400</v>
      </c>
    </row>
    <row r="14" spans="1:15" ht="18" x14ac:dyDescent="0.3">
      <c r="A14" s="44" t="s">
        <v>17</v>
      </c>
      <c r="B14" s="45">
        <f>SUM(B2:B13)</f>
        <v>26695</v>
      </c>
      <c r="D14">
        <f>SUM(D2:D13)</f>
        <v>5860</v>
      </c>
    </row>
    <row r="16" spans="1:15" ht="18" x14ac:dyDescent="0.3">
      <c r="A16" s="7" t="s">
        <v>190</v>
      </c>
      <c r="B16" s="45">
        <f>B14/4</f>
        <v>6673.75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24" sqref="C24"/>
    </sheetView>
  </sheetViews>
  <sheetFormatPr defaultRowHeight="15" x14ac:dyDescent="0.25"/>
  <cols>
    <col min="1" max="1" width="23.5703125" bestFit="1" customWidth="1"/>
    <col min="2" max="2" width="10.28515625" bestFit="1" customWidth="1"/>
    <col min="9" max="9" width="16.28515625" bestFit="1" customWidth="1"/>
    <col min="10" max="10" width="7.7109375" bestFit="1" customWidth="1"/>
    <col min="11" max="11" width="11.85546875" bestFit="1" customWidth="1"/>
  </cols>
  <sheetData>
    <row r="1" spans="1:11" ht="15.75" x14ac:dyDescent="0.25">
      <c r="A1" s="77" t="s">
        <v>48</v>
      </c>
      <c r="B1" s="77" t="s">
        <v>89</v>
      </c>
    </row>
    <row r="2" spans="1:11" ht="15.75" x14ac:dyDescent="0.25">
      <c r="A2" s="78" t="s">
        <v>185</v>
      </c>
      <c r="B2" s="78">
        <v>-500</v>
      </c>
      <c r="D2">
        <f>B2/5</f>
        <v>-100</v>
      </c>
    </row>
    <row r="3" spans="1:11" ht="15.75" x14ac:dyDescent="0.25">
      <c r="A3" s="78" t="s">
        <v>159</v>
      </c>
      <c r="B3" s="78">
        <v>-407</v>
      </c>
      <c r="D3">
        <f t="shared" ref="D3:D16" si="0">B3/5</f>
        <v>-81.400000000000006</v>
      </c>
    </row>
    <row r="4" spans="1:11" ht="15.75" x14ac:dyDescent="0.25">
      <c r="A4" s="78" t="s">
        <v>109</v>
      </c>
      <c r="B4" s="78">
        <v>950</v>
      </c>
      <c r="D4">
        <f t="shared" si="0"/>
        <v>190</v>
      </c>
    </row>
    <row r="5" spans="1:11" ht="15.75" x14ac:dyDescent="0.25">
      <c r="A5" s="78" t="s">
        <v>16</v>
      </c>
      <c r="B5" s="78">
        <v>940</v>
      </c>
      <c r="D5">
        <f t="shared" si="0"/>
        <v>188</v>
      </c>
    </row>
    <row r="6" spans="1:11" ht="15.75" x14ac:dyDescent="0.25">
      <c r="A6" s="78" t="s">
        <v>114</v>
      </c>
      <c r="B6" s="78">
        <v>1500</v>
      </c>
      <c r="D6">
        <f t="shared" si="0"/>
        <v>300</v>
      </c>
    </row>
    <row r="7" spans="1:11" ht="15.75" x14ac:dyDescent="0.25">
      <c r="A7" s="78" t="s">
        <v>8</v>
      </c>
      <c r="B7" s="78">
        <v>1600</v>
      </c>
      <c r="D7">
        <f t="shared" si="0"/>
        <v>320</v>
      </c>
      <c r="H7" s="79"/>
      <c r="I7" s="64" t="s">
        <v>187</v>
      </c>
      <c r="J7" s="64" t="s">
        <v>188</v>
      </c>
      <c r="K7" s="64" t="s">
        <v>189</v>
      </c>
    </row>
    <row r="8" spans="1:11" ht="15.75" x14ac:dyDescent="0.25">
      <c r="A8" s="78" t="s">
        <v>130</v>
      </c>
      <c r="B8" s="78">
        <v>700</v>
      </c>
      <c r="D8">
        <f t="shared" si="0"/>
        <v>140</v>
      </c>
      <c r="H8" s="79" t="s">
        <v>30</v>
      </c>
      <c r="I8" s="79">
        <v>6200</v>
      </c>
      <c r="J8" s="79"/>
      <c r="K8" s="8">
        <f>I8-J8</f>
        <v>6200</v>
      </c>
    </row>
    <row r="9" spans="1:11" ht="15.75" x14ac:dyDescent="0.25">
      <c r="A9" s="78" t="s">
        <v>160</v>
      </c>
      <c r="B9" s="78">
        <v>1000</v>
      </c>
      <c r="D9">
        <f t="shared" si="0"/>
        <v>200</v>
      </c>
      <c r="H9" s="79" t="s">
        <v>9</v>
      </c>
      <c r="I9" s="79">
        <v>6200</v>
      </c>
      <c r="J9" s="79">
        <v>940</v>
      </c>
      <c r="K9" s="8">
        <f t="shared" ref="K9:K12" si="1">I9-J9</f>
        <v>5260</v>
      </c>
    </row>
    <row r="10" spans="1:11" ht="15.75" x14ac:dyDescent="0.25">
      <c r="A10" s="78" t="s">
        <v>14</v>
      </c>
      <c r="B10" s="78">
        <v>10000</v>
      </c>
      <c r="D10">
        <f t="shared" si="0"/>
        <v>2000</v>
      </c>
      <c r="H10" s="79" t="s">
        <v>103</v>
      </c>
      <c r="I10" s="79">
        <v>6200</v>
      </c>
      <c r="J10" s="79">
        <v>180</v>
      </c>
      <c r="K10" s="8">
        <f t="shared" si="1"/>
        <v>6020</v>
      </c>
    </row>
    <row r="11" spans="1:11" ht="15.75" x14ac:dyDescent="0.25">
      <c r="A11" s="78" t="s">
        <v>105</v>
      </c>
      <c r="B11" s="78">
        <v>7000</v>
      </c>
      <c r="D11">
        <f t="shared" si="0"/>
        <v>1400</v>
      </c>
      <c r="H11" s="79" t="s">
        <v>93</v>
      </c>
      <c r="I11" s="79">
        <v>6200</v>
      </c>
      <c r="J11" s="79"/>
      <c r="K11" s="8">
        <f t="shared" si="1"/>
        <v>6200</v>
      </c>
    </row>
    <row r="12" spans="1:11" ht="15.75" x14ac:dyDescent="0.25">
      <c r="A12" s="78" t="s">
        <v>184</v>
      </c>
      <c r="B12" s="78">
        <v>1500</v>
      </c>
      <c r="D12">
        <f t="shared" si="0"/>
        <v>300</v>
      </c>
      <c r="H12" s="65" t="s">
        <v>192</v>
      </c>
      <c r="I12" s="79">
        <v>6200</v>
      </c>
      <c r="J12" s="79"/>
      <c r="K12" s="8">
        <f t="shared" si="1"/>
        <v>6200</v>
      </c>
    </row>
    <row r="13" spans="1:11" ht="15.75" x14ac:dyDescent="0.25">
      <c r="A13" s="78" t="s">
        <v>19</v>
      </c>
      <c r="B13" s="78">
        <v>500</v>
      </c>
      <c r="D13">
        <f t="shared" si="0"/>
        <v>100</v>
      </c>
    </row>
    <row r="14" spans="1:11" ht="15.75" x14ac:dyDescent="0.25">
      <c r="A14" s="78" t="s">
        <v>20</v>
      </c>
      <c r="B14" s="78">
        <v>945</v>
      </c>
      <c r="D14">
        <f t="shared" si="0"/>
        <v>189</v>
      </c>
    </row>
    <row r="15" spans="1:11" ht="15.75" x14ac:dyDescent="0.25">
      <c r="A15" s="78" t="s">
        <v>193</v>
      </c>
      <c r="B15" s="78">
        <v>4364</v>
      </c>
      <c r="D15">
        <f t="shared" si="0"/>
        <v>872.8</v>
      </c>
    </row>
    <row r="16" spans="1:11" ht="18" x14ac:dyDescent="0.3">
      <c r="A16" s="44" t="s">
        <v>17</v>
      </c>
      <c r="B16" s="45">
        <f>SUM(B2:B15)</f>
        <v>30092</v>
      </c>
      <c r="D16">
        <f t="shared" si="0"/>
        <v>6018.4</v>
      </c>
    </row>
    <row r="18" spans="1:2" ht="18" x14ac:dyDescent="0.3">
      <c r="A18" s="7" t="s">
        <v>190</v>
      </c>
      <c r="B18" s="45">
        <f>B16/5</f>
        <v>6018.4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J7" sqref="J7"/>
    </sheetView>
  </sheetViews>
  <sheetFormatPr defaultRowHeight="15" x14ac:dyDescent="0.25"/>
  <cols>
    <col min="1" max="1" width="23.5703125" bestFit="1" customWidth="1"/>
    <col min="11" max="11" width="11.85546875" bestFit="1" customWidth="1"/>
  </cols>
  <sheetData>
    <row r="1" spans="1:11" ht="15.75" x14ac:dyDescent="0.25">
      <c r="A1" s="77" t="s">
        <v>48</v>
      </c>
      <c r="B1" s="77" t="s">
        <v>89</v>
      </c>
    </row>
    <row r="2" spans="1:11" ht="15.75" x14ac:dyDescent="0.25">
      <c r="A2" s="78" t="s">
        <v>185</v>
      </c>
      <c r="B2" s="78">
        <v>600</v>
      </c>
      <c r="D2">
        <f>B2/5</f>
        <v>120</v>
      </c>
    </row>
    <row r="3" spans="1:11" ht="15.75" x14ac:dyDescent="0.25">
      <c r="A3" s="78" t="s">
        <v>109</v>
      </c>
      <c r="B3" s="78">
        <v>950</v>
      </c>
      <c r="D3">
        <f t="shared" ref="D3:D16" si="0">B3/5</f>
        <v>190</v>
      </c>
    </row>
    <row r="4" spans="1:11" ht="15.75" x14ac:dyDescent="0.25">
      <c r="A4" s="78" t="s">
        <v>16</v>
      </c>
      <c r="B4" s="78">
        <v>940</v>
      </c>
      <c r="D4">
        <f t="shared" si="0"/>
        <v>188</v>
      </c>
    </row>
    <row r="5" spans="1:11" ht="15.75" x14ac:dyDescent="0.25">
      <c r="A5" s="78" t="s">
        <v>114</v>
      </c>
      <c r="B5" s="78">
        <v>1500</v>
      </c>
      <c r="D5">
        <f t="shared" si="0"/>
        <v>300</v>
      </c>
    </row>
    <row r="6" spans="1:11" ht="15.75" x14ac:dyDescent="0.25">
      <c r="A6" s="78" t="s">
        <v>8</v>
      </c>
      <c r="B6" s="78">
        <v>2000</v>
      </c>
      <c r="D6">
        <f t="shared" si="0"/>
        <v>400</v>
      </c>
      <c r="H6" s="79"/>
      <c r="I6" s="64" t="s">
        <v>187</v>
      </c>
      <c r="J6" s="64" t="s">
        <v>188</v>
      </c>
      <c r="K6" s="64" t="s">
        <v>189</v>
      </c>
    </row>
    <row r="7" spans="1:11" ht="15.75" x14ac:dyDescent="0.25">
      <c r="A7" s="78" t="s">
        <v>194</v>
      </c>
      <c r="B7" s="78">
        <v>1000</v>
      </c>
      <c r="D7">
        <f t="shared" si="0"/>
        <v>200</v>
      </c>
      <c r="H7" s="79" t="s">
        <v>30</v>
      </c>
      <c r="I7" s="79">
        <v>6000</v>
      </c>
      <c r="J7" s="79">
        <v>967</v>
      </c>
      <c r="K7" s="8">
        <f>I7-J7</f>
        <v>5033</v>
      </c>
    </row>
    <row r="8" spans="1:11" ht="15.75" x14ac:dyDescent="0.25">
      <c r="A8" s="78" t="s">
        <v>130</v>
      </c>
      <c r="B8" s="78">
        <v>700</v>
      </c>
      <c r="D8">
        <f t="shared" si="0"/>
        <v>140</v>
      </c>
      <c r="H8" s="79" t="s">
        <v>9</v>
      </c>
      <c r="I8" s="79">
        <v>6000</v>
      </c>
      <c r="J8" s="79"/>
      <c r="K8" s="8">
        <f t="shared" ref="K8:K11" si="1">I8-J8</f>
        <v>6000</v>
      </c>
    </row>
    <row r="9" spans="1:11" ht="15.75" x14ac:dyDescent="0.25">
      <c r="A9" s="78" t="s">
        <v>160</v>
      </c>
      <c r="B9" s="78">
        <v>1000</v>
      </c>
      <c r="D9">
        <f t="shared" si="0"/>
        <v>200</v>
      </c>
      <c r="H9" s="79" t="s">
        <v>103</v>
      </c>
      <c r="I9" s="79">
        <v>6000</v>
      </c>
      <c r="J9" s="79"/>
      <c r="K9" s="8">
        <f t="shared" si="1"/>
        <v>6000</v>
      </c>
    </row>
    <row r="10" spans="1:11" ht="15.75" x14ac:dyDescent="0.25">
      <c r="A10" s="78" t="s">
        <v>14</v>
      </c>
      <c r="B10" s="78">
        <v>10000</v>
      </c>
      <c r="D10">
        <f t="shared" si="0"/>
        <v>2000</v>
      </c>
      <c r="H10" s="79" t="s">
        <v>93</v>
      </c>
      <c r="I10" s="79">
        <v>6000</v>
      </c>
      <c r="J10" s="79"/>
      <c r="K10" s="8">
        <f t="shared" si="1"/>
        <v>6000</v>
      </c>
    </row>
    <row r="11" spans="1:11" ht="15.75" x14ac:dyDescent="0.25">
      <c r="A11" s="78" t="s">
        <v>105</v>
      </c>
      <c r="B11" s="78">
        <v>5500</v>
      </c>
      <c r="D11">
        <f t="shared" si="0"/>
        <v>1100</v>
      </c>
      <c r="H11" s="65" t="s">
        <v>192</v>
      </c>
      <c r="I11" s="79">
        <v>6000</v>
      </c>
      <c r="J11" s="79"/>
      <c r="K11" s="8">
        <f t="shared" si="1"/>
        <v>6000</v>
      </c>
    </row>
    <row r="12" spans="1:11" ht="15.75" x14ac:dyDescent="0.25">
      <c r="A12" s="78" t="s">
        <v>184</v>
      </c>
      <c r="B12" s="78">
        <v>1500</v>
      </c>
      <c r="D12">
        <f t="shared" si="0"/>
        <v>300</v>
      </c>
    </row>
    <row r="13" spans="1:11" ht="15.75" x14ac:dyDescent="0.25">
      <c r="A13" s="78" t="s">
        <v>19</v>
      </c>
      <c r="B13" s="78">
        <v>500</v>
      </c>
      <c r="D13">
        <f t="shared" si="0"/>
        <v>100</v>
      </c>
    </row>
    <row r="14" spans="1:11" ht="15.75" x14ac:dyDescent="0.25">
      <c r="A14" s="78" t="s">
        <v>20</v>
      </c>
      <c r="B14" s="78">
        <v>945</v>
      </c>
      <c r="D14">
        <f t="shared" si="0"/>
        <v>189</v>
      </c>
    </row>
    <row r="15" spans="1:11" ht="15.75" x14ac:dyDescent="0.25">
      <c r="A15" s="78" t="s">
        <v>193</v>
      </c>
      <c r="B15" s="78">
        <v>2000</v>
      </c>
      <c r="D15">
        <f t="shared" si="0"/>
        <v>400</v>
      </c>
    </row>
    <row r="16" spans="1:11" ht="18" x14ac:dyDescent="0.3">
      <c r="A16" s="44" t="s">
        <v>17</v>
      </c>
      <c r="B16" s="45">
        <f>SUM(B2:B15)</f>
        <v>29135</v>
      </c>
      <c r="D16">
        <f t="shared" si="0"/>
        <v>5827</v>
      </c>
    </row>
    <row r="18" spans="1:2" ht="18" x14ac:dyDescent="0.3">
      <c r="A18" s="7" t="s">
        <v>190</v>
      </c>
      <c r="B18" s="45">
        <f>B16/5</f>
        <v>5827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20" sqref="F20"/>
    </sheetView>
  </sheetViews>
  <sheetFormatPr defaultRowHeight="15" x14ac:dyDescent="0.25"/>
  <cols>
    <col min="1" max="1" width="24.28515625" bestFit="1" customWidth="1"/>
    <col min="2" max="2" width="11.7109375" bestFit="1" customWidth="1"/>
    <col min="3" max="3" width="22.42578125" bestFit="1" customWidth="1"/>
    <col min="4" max="4" width="12.7109375" bestFit="1" customWidth="1"/>
    <col min="7" max="7" width="51.5703125" bestFit="1" customWidth="1"/>
  </cols>
  <sheetData>
    <row r="1" spans="1:9" ht="15.75" x14ac:dyDescent="0.25">
      <c r="A1" s="77" t="s">
        <v>43</v>
      </c>
      <c r="B1" s="77" t="s">
        <v>1</v>
      </c>
      <c r="C1" s="77" t="s">
        <v>37</v>
      </c>
    </row>
    <row r="2" spans="1:9" ht="15.75" x14ac:dyDescent="0.25">
      <c r="A2" s="78" t="s">
        <v>6</v>
      </c>
      <c r="B2" s="78">
        <v>3000</v>
      </c>
      <c r="C2" s="17">
        <f>B2/6</f>
        <v>500</v>
      </c>
      <c r="G2" t="s">
        <v>52</v>
      </c>
    </row>
    <row r="3" spans="1:9" ht="15.75" x14ac:dyDescent="0.25">
      <c r="A3" s="78" t="s">
        <v>8</v>
      </c>
      <c r="B3" s="78">
        <v>2500</v>
      </c>
      <c r="C3" s="17">
        <f t="shared" ref="C3:C13" si="0">B3/6</f>
        <v>416.66666666666669</v>
      </c>
    </row>
    <row r="4" spans="1:9" ht="15.75" x14ac:dyDescent="0.25">
      <c r="A4" s="78" t="s">
        <v>10</v>
      </c>
      <c r="B4" s="78">
        <v>800</v>
      </c>
      <c r="C4" s="17">
        <f t="shared" si="0"/>
        <v>133.33333333333334</v>
      </c>
    </row>
    <row r="5" spans="1:9" ht="15.75" x14ac:dyDescent="0.25">
      <c r="A5" s="78" t="s">
        <v>53</v>
      </c>
      <c r="B5" s="78">
        <v>1000</v>
      </c>
      <c r="C5" s="17">
        <f t="shared" si="0"/>
        <v>166.66666666666666</v>
      </c>
    </row>
    <row r="6" spans="1:9" ht="15.75" x14ac:dyDescent="0.25">
      <c r="A6" s="78" t="s">
        <v>54</v>
      </c>
      <c r="B6" s="78">
        <v>750</v>
      </c>
      <c r="C6" s="17">
        <f t="shared" si="0"/>
        <v>125</v>
      </c>
    </row>
    <row r="7" spans="1:9" ht="15.75" x14ac:dyDescent="0.25">
      <c r="A7" s="78" t="s">
        <v>14</v>
      </c>
      <c r="B7" s="78">
        <v>8500</v>
      </c>
      <c r="C7" s="17">
        <f t="shared" si="0"/>
        <v>1416.6666666666667</v>
      </c>
    </row>
    <row r="8" spans="1:9" ht="15.75" x14ac:dyDescent="0.25">
      <c r="A8" s="78" t="s">
        <v>18</v>
      </c>
      <c r="B8" s="78">
        <v>5500</v>
      </c>
      <c r="C8" s="17">
        <f t="shared" si="0"/>
        <v>916.66666666666663</v>
      </c>
      <c r="E8" s="91">
        <f>C13</f>
        <v>4458.333333333333</v>
      </c>
      <c r="F8" s="92"/>
      <c r="G8" s="92"/>
      <c r="H8" s="92"/>
      <c r="I8" s="93"/>
    </row>
    <row r="9" spans="1:9" ht="15.75" x14ac:dyDescent="0.25">
      <c r="A9" s="78" t="s">
        <v>19</v>
      </c>
      <c r="B9" s="78">
        <v>1200</v>
      </c>
      <c r="C9" s="17">
        <f t="shared" si="0"/>
        <v>200</v>
      </c>
      <c r="E9" s="94"/>
      <c r="F9" s="95"/>
      <c r="G9" s="95"/>
      <c r="H9" s="95"/>
      <c r="I9" s="96"/>
    </row>
    <row r="10" spans="1:9" ht="15.75" x14ac:dyDescent="0.25">
      <c r="A10" s="78" t="s">
        <v>20</v>
      </c>
      <c r="B10" s="78">
        <v>1500</v>
      </c>
      <c r="C10" s="17">
        <f t="shared" si="0"/>
        <v>250</v>
      </c>
      <c r="E10" s="94"/>
      <c r="F10" s="95"/>
      <c r="G10" s="95"/>
      <c r="H10" s="95"/>
      <c r="I10" s="96"/>
    </row>
    <row r="11" spans="1:9" ht="15.75" x14ac:dyDescent="0.25">
      <c r="A11" s="78" t="s">
        <v>39</v>
      </c>
      <c r="B11" s="78">
        <v>1500</v>
      </c>
      <c r="C11" s="17">
        <f t="shared" si="0"/>
        <v>250</v>
      </c>
      <c r="E11" s="94"/>
      <c r="F11" s="95"/>
      <c r="G11" s="95"/>
      <c r="H11" s="95"/>
      <c r="I11" s="96"/>
    </row>
    <row r="12" spans="1:9" ht="15.75" x14ac:dyDescent="0.25">
      <c r="A12" s="78" t="s">
        <v>40</v>
      </c>
      <c r="B12" s="78">
        <v>500</v>
      </c>
      <c r="C12" s="17">
        <f t="shared" si="0"/>
        <v>83.333333333333329</v>
      </c>
      <c r="E12" s="97"/>
      <c r="F12" s="98"/>
      <c r="G12" s="98"/>
      <c r="H12" s="98"/>
      <c r="I12" s="99"/>
    </row>
    <row r="13" spans="1:9" ht="15.75" x14ac:dyDescent="0.25">
      <c r="A13" s="8" t="s">
        <v>17</v>
      </c>
      <c r="B13" s="8">
        <f>SUM(B2:B12)</f>
        <v>26750</v>
      </c>
      <c r="C13" s="17">
        <f t="shared" si="0"/>
        <v>4458.333333333333</v>
      </c>
    </row>
    <row r="15" spans="1:9" ht="15.75" x14ac:dyDescent="0.25">
      <c r="A15" s="9" t="s">
        <v>23</v>
      </c>
      <c r="B15" s="9" t="s">
        <v>3</v>
      </c>
      <c r="C15" s="9"/>
    </row>
    <row r="16" spans="1:9" ht="15.75" x14ac:dyDescent="0.25">
      <c r="A16" s="78" t="s">
        <v>7</v>
      </c>
      <c r="B16" s="78">
        <f>C13+L4</f>
        <v>4458.333333333333</v>
      </c>
    </row>
    <row r="17" spans="1:3" ht="15.75" x14ac:dyDescent="0.25">
      <c r="A17" s="78" t="s">
        <v>9</v>
      </c>
      <c r="B17" s="78">
        <v>5004</v>
      </c>
      <c r="C17" s="10"/>
    </row>
    <row r="18" spans="1:3" ht="15.75" x14ac:dyDescent="0.25">
      <c r="A18" s="78" t="s">
        <v>11</v>
      </c>
      <c r="B18" s="10">
        <v>4804</v>
      </c>
    </row>
    <row r="19" spans="1:3" ht="15.75" x14ac:dyDescent="0.25">
      <c r="A19" s="6" t="s">
        <v>30</v>
      </c>
      <c r="B19" s="78">
        <f>C13+L6</f>
        <v>4458.333333333333</v>
      </c>
      <c r="C19" s="10"/>
    </row>
    <row r="20" spans="1:3" ht="15.75" x14ac:dyDescent="0.25">
      <c r="A20" s="6" t="s">
        <v>15</v>
      </c>
      <c r="B20" s="6">
        <v>4804</v>
      </c>
      <c r="C20" s="10"/>
    </row>
    <row r="21" spans="1:3" ht="15.75" x14ac:dyDescent="0.25">
      <c r="A21" s="6" t="s">
        <v>46</v>
      </c>
      <c r="B21" s="6">
        <f>E2</f>
        <v>0</v>
      </c>
    </row>
    <row r="28" spans="1:3" x14ac:dyDescent="0.25">
      <c r="A28" t="s">
        <v>11</v>
      </c>
      <c r="B28">
        <v>4800</v>
      </c>
    </row>
    <row r="29" spans="1:3" x14ac:dyDescent="0.25">
      <c r="A29" t="s">
        <v>7</v>
      </c>
      <c r="B29">
        <v>5200</v>
      </c>
    </row>
    <row r="30" spans="1:3" x14ac:dyDescent="0.25">
      <c r="A30" t="s">
        <v>45</v>
      </c>
      <c r="B30">
        <v>5800</v>
      </c>
    </row>
    <row r="31" spans="1:3" x14ac:dyDescent="0.25">
      <c r="A31" t="s">
        <v>47</v>
      </c>
      <c r="B31">
        <v>1160</v>
      </c>
    </row>
  </sheetData>
  <mergeCells count="1">
    <mergeCell ref="E8:I12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21" sqref="F21"/>
    </sheetView>
  </sheetViews>
  <sheetFormatPr defaultRowHeight="15" x14ac:dyDescent="0.25"/>
  <cols>
    <col min="1" max="1" width="23.5703125" bestFit="1" customWidth="1"/>
    <col min="11" max="11" width="11.85546875" bestFit="1" customWidth="1"/>
  </cols>
  <sheetData>
    <row r="1" spans="1:11" ht="15.75" x14ac:dyDescent="0.25">
      <c r="A1" s="77" t="s">
        <v>48</v>
      </c>
      <c r="B1" s="77" t="s">
        <v>89</v>
      </c>
    </row>
    <row r="2" spans="1:11" ht="15.75" x14ac:dyDescent="0.25">
      <c r="A2" s="78" t="s">
        <v>185</v>
      </c>
      <c r="B2" s="78">
        <v>500</v>
      </c>
      <c r="D2">
        <f>B2/5</f>
        <v>100</v>
      </c>
    </row>
    <row r="3" spans="1:11" ht="15.75" x14ac:dyDescent="0.25">
      <c r="A3" s="78" t="s">
        <v>109</v>
      </c>
      <c r="B3" s="78">
        <v>950</v>
      </c>
      <c r="D3">
        <f t="shared" ref="D3:D16" si="0">B3/5</f>
        <v>190</v>
      </c>
    </row>
    <row r="4" spans="1:11" ht="15.75" x14ac:dyDescent="0.25">
      <c r="A4" s="78" t="s">
        <v>16</v>
      </c>
      <c r="B4" s="78">
        <v>600</v>
      </c>
      <c r="D4">
        <f t="shared" si="0"/>
        <v>120</v>
      </c>
    </row>
    <row r="5" spans="1:11" ht="15.75" x14ac:dyDescent="0.25">
      <c r="A5" s="78" t="s">
        <v>114</v>
      </c>
      <c r="B5" s="78">
        <v>2000</v>
      </c>
      <c r="D5">
        <f t="shared" si="0"/>
        <v>400</v>
      </c>
    </row>
    <row r="6" spans="1:11" ht="15.75" x14ac:dyDescent="0.25">
      <c r="A6" s="78" t="s">
        <v>8</v>
      </c>
      <c r="B6" s="78">
        <v>2000</v>
      </c>
      <c r="D6">
        <f t="shared" si="0"/>
        <v>400</v>
      </c>
      <c r="H6" s="79"/>
      <c r="I6" s="64" t="s">
        <v>187</v>
      </c>
      <c r="J6" s="64" t="s">
        <v>188</v>
      </c>
      <c r="K6" s="64" t="s">
        <v>189</v>
      </c>
    </row>
    <row r="7" spans="1:11" ht="15.75" x14ac:dyDescent="0.25">
      <c r="A7" s="78" t="s">
        <v>194</v>
      </c>
      <c r="B7" s="78">
        <v>1000</v>
      </c>
      <c r="D7">
        <f t="shared" si="0"/>
        <v>200</v>
      </c>
      <c r="H7" s="79" t="s">
        <v>30</v>
      </c>
      <c r="I7" s="79">
        <v>6000</v>
      </c>
      <c r="J7" s="79">
        <v>255</v>
      </c>
      <c r="K7" s="8">
        <f>I7-J7</f>
        <v>5745</v>
      </c>
    </row>
    <row r="8" spans="1:11" ht="15.75" x14ac:dyDescent="0.25">
      <c r="A8" s="78" t="s">
        <v>130</v>
      </c>
      <c r="B8" s="78">
        <v>700</v>
      </c>
      <c r="D8">
        <f t="shared" si="0"/>
        <v>140</v>
      </c>
      <c r="H8" s="79" t="s">
        <v>9</v>
      </c>
      <c r="I8" s="79">
        <v>6000</v>
      </c>
      <c r="J8" s="79">
        <v>231</v>
      </c>
      <c r="K8" s="8">
        <f t="shared" ref="K8:K11" si="1">I8-J8</f>
        <v>5769</v>
      </c>
    </row>
    <row r="9" spans="1:11" ht="15.75" x14ac:dyDescent="0.25">
      <c r="A9" s="78" t="s">
        <v>160</v>
      </c>
      <c r="B9" s="78">
        <v>1000</v>
      </c>
      <c r="D9">
        <f t="shared" si="0"/>
        <v>200</v>
      </c>
      <c r="H9" s="79" t="s">
        <v>103</v>
      </c>
      <c r="I9" s="79">
        <v>6000</v>
      </c>
      <c r="J9" s="79"/>
      <c r="K9" s="8">
        <f t="shared" si="1"/>
        <v>6000</v>
      </c>
    </row>
    <row r="10" spans="1:11" ht="15.75" x14ac:dyDescent="0.25">
      <c r="A10" s="78" t="s">
        <v>14</v>
      </c>
      <c r="B10" s="78">
        <v>10000</v>
      </c>
      <c r="D10">
        <f t="shared" si="0"/>
        <v>2000</v>
      </c>
      <c r="H10" s="79" t="s">
        <v>93</v>
      </c>
      <c r="I10" s="79">
        <v>6000</v>
      </c>
      <c r="J10" s="79"/>
      <c r="K10" s="8">
        <f t="shared" si="1"/>
        <v>6000</v>
      </c>
    </row>
    <row r="11" spans="1:11" ht="15.75" x14ac:dyDescent="0.25">
      <c r="A11" s="78" t="s">
        <v>105</v>
      </c>
      <c r="B11" s="78">
        <v>5500</v>
      </c>
      <c r="D11">
        <f t="shared" si="0"/>
        <v>1100</v>
      </c>
      <c r="H11" s="65" t="s">
        <v>192</v>
      </c>
      <c r="I11" s="79">
        <v>6000</v>
      </c>
      <c r="J11" s="79"/>
      <c r="K11" s="8">
        <f t="shared" si="1"/>
        <v>6000</v>
      </c>
    </row>
    <row r="12" spans="1:11" ht="15.75" x14ac:dyDescent="0.25">
      <c r="A12" s="78" t="s">
        <v>184</v>
      </c>
      <c r="B12" s="78">
        <v>1500</v>
      </c>
      <c r="D12">
        <f t="shared" si="0"/>
        <v>300</v>
      </c>
    </row>
    <row r="13" spans="1:11" ht="15.75" x14ac:dyDescent="0.25">
      <c r="A13" s="78" t="s">
        <v>19</v>
      </c>
      <c r="B13" s="78">
        <v>700</v>
      </c>
      <c r="D13">
        <f t="shared" si="0"/>
        <v>140</v>
      </c>
    </row>
    <row r="14" spans="1:11" ht="15.75" x14ac:dyDescent="0.25">
      <c r="A14" s="78" t="s">
        <v>20</v>
      </c>
      <c r="B14" s="78">
        <v>945</v>
      </c>
      <c r="D14">
        <f t="shared" si="0"/>
        <v>189</v>
      </c>
    </row>
    <row r="15" spans="1:11" ht="15.75" x14ac:dyDescent="0.25">
      <c r="A15" s="78" t="s">
        <v>193</v>
      </c>
      <c r="B15" s="78">
        <v>2000</v>
      </c>
      <c r="D15">
        <f t="shared" si="0"/>
        <v>400</v>
      </c>
    </row>
    <row r="16" spans="1:11" ht="18" x14ac:dyDescent="0.3">
      <c r="A16" s="44" t="s">
        <v>17</v>
      </c>
      <c r="B16" s="45">
        <f>SUM(B2:B15)</f>
        <v>29395</v>
      </c>
      <c r="D16">
        <f t="shared" si="0"/>
        <v>5879</v>
      </c>
    </row>
    <row r="18" spans="1:2" ht="18" x14ac:dyDescent="0.3">
      <c r="A18" s="7" t="s">
        <v>190</v>
      </c>
      <c r="B18" s="45">
        <f>B16/5</f>
        <v>5879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9" sqref="I19"/>
    </sheetView>
  </sheetViews>
  <sheetFormatPr defaultRowHeight="15" x14ac:dyDescent="0.25"/>
  <cols>
    <col min="1" max="1" width="23.5703125" bestFit="1" customWidth="1"/>
    <col min="9" max="9" width="16.28515625" bestFit="1" customWidth="1"/>
    <col min="11" max="11" width="11.85546875" bestFit="1" customWidth="1"/>
  </cols>
  <sheetData>
    <row r="1" spans="1:11" ht="15.75" x14ac:dyDescent="0.25">
      <c r="A1" s="77" t="s">
        <v>48</v>
      </c>
      <c r="B1" s="77" t="s">
        <v>89</v>
      </c>
    </row>
    <row r="2" spans="1:11" ht="15.75" x14ac:dyDescent="0.25">
      <c r="A2" s="78" t="s">
        <v>185</v>
      </c>
      <c r="B2" s="78">
        <v>-1926</v>
      </c>
      <c r="D2">
        <f>B2/5</f>
        <v>-385.2</v>
      </c>
    </row>
    <row r="3" spans="1:11" ht="15.75" x14ac:dyDescent="0.25">
      <c r="A3" s="78" t="s">
        <v>16</v>
      </c>
      <c r="B3" s="78">
        <v>950</v>
      </c>
      <c r="D3">
        <f t="shared" ref="D3:D14" si="0">B3/5</f>
        <v>190</v>
      </c>
    </row>
    <row r="4" spans="1:11" ht="15.75" x14ac:dyDescent="0.25">
      <c r="A4" s="78" t="s">
        <v>114</v>
      </c>
      <c r="B4" s="78">
        <v>2000</v>
      </c>
      <c r="D4">
        <f t="shared" si="0"/>
        <v>400</v>
      </c>
    </row>
    <row r="5" spans="1:11" ht="15.75" x14ac:dyDescent="0.25">
      <c r="A5" s="78" t="s">
        <v>8</v>
      </c>
      <c r="B5" s="78">
        <v>2000</v>
      </c>
      <c r="D5">
        <f t="shared" si="0"/>
        <v>400</v>
      </c>
      <c r="H5" s="79"/>
      <c r="I5" s="64" t="s">
        <v>187</v>
      </c>
      <c r="J5" s="64" t="s">
        <v>188</v>
      </c>
      <c r="K5" s="64" t="s">
        <v>189</v>
      </c>
    </row>
    <row r="6" spans="1:11" ht="15.75" x14ac:dyDescent="0.25">
      <c r="A6" s="78" t="s">
        <v>130</v>
      </c>
      <c r="B6" s="78">
        <v>700</v>
      </c>
      <c r="D6">
        <f t="shared" si="0"/>
        <v>140</v>
      </c>
      <c r="H6" s="79" t="s">
        <v>30</v>
      </c>
      <c r="I6" s="79">
        <v>4900</v>
      </c>
      <c r="J6" s="79">
        <v>-1300</v>
      </c>
      <c r="K6" s="8">
        <f>I6-J6</f>
        <v>6200</v>
      </c>
    </row>
    <row r="7" spans="1:11" ht="15.75" x14ac:dyDescent="0.25">
      <c r="A7" s="78" t="s">
        <v>160</v>
      </c>
      <c r="B7" s="78">
        <v>1000</v>
      </c>
      <c r="D7">
        <f t="shared" si="0"/>
        <v>200</v>
      </c>
      <c r="H7" s="79" t="s">
        <v>9</v>
      </c>
      <c r="I7" s="79">
        <v>4900</v>
      </c>
      <c r="J7" s="79"/>
      <c r="K7" s="8">
        <f t="shared" ref="K7:K10" si="1">I7-J7</f>
        <v>4900</v>
      </c>
    </row>
    <row r="8" spans="1:11" ht="15.75" x14ac:dyDescent="0.25">
      <c r="A8" s="78" t="s">
        <v>14</v>
      </c>
      <c r="B8" s="78">
        <v>10000</v>
      </c>
      <c r="D8">
        <f t="shared" si="0"/>
        <v>2000</v>
      </c>
      <c r="H8" s="79" t="s">
        <v>103</v>
      </c>
      <c r="I8" s="79">
        <v>4900</v>
      </c>
      <c r="J8" s="79"/>
      <c r="K8" s="8">
        <f t="shared" si="1"/>
        <v>4900</v>
      </c>
    </row>
    <row r="9" spans="1:11" ht="15.75" x14ac:dyDescent="0.25">
      <c r="A9" s="78" t="s">
        <v>105</v>
      </c>
      <c r="B9" s="78">
        <v>5500</v>
      </c>
      <c r="D9">
        <f t="shared" si="0"/>
        <v>1100</v>
      </c>
      <c r="H9" s="79" t="s">
        <v>93</v>
      </c>
      <c r="I9" s="79">
        <v>4900</v>
      </c>
      <c r="J9" s="79"/>
      <c r="K9" s="8">
        <f t="shared" si="1"/>
        <v>4900</v>
      </c>
    </row>
    <row r="10" spans="1:11" ht="15.75" x14ac:dyDescent="0.25">
      <c r="A10" s="78" t="s">
        <v>184</v>
      </c>
      <c r="B10" s="78">
        <v>1500</v>
      </c>
      <c r="D10">
        <f t="shared" si="0"/>
        <v>300</v>
      </c>
      <c r="H10" s="65" t="s">
        <v>192</v>
      </c>
      <c r="I10" s="79">
        <v>4900</v>
      </c>
      <c r="J10" s="79"/>
      <c r="K10" s="8">
        <f t="shared" si="1"/>
        <v>4900</v>
      </c>
    </row>
    <row r="11" spans="1:11" ht="15.75" x14ac:dyDescent="0.25">
      <c r="A11" s="78" t="s">
        <v>19</v>
      </c>
      <c r="B11" s="78">
        <v>800</v>
      </c>
      <c r="D11">
        <f t="shared" si="0"/>
        <v>160</v>
      </c>
    </row>
    <row r="12" spans="1:11" ht="15.75" x14ac:dyDescent="0.25">
      <c r="A12" s="78" t="s">
        <v>20</v>
      </c>
      <c r="B12" s="78">
        <v>945</v>
      </c>
      <c r="D12">
        <f t="shared" si="0"/>
        <v>189</v>
      </c>
    </row>
    <row r="13" spans="1:11" ht="15.75" x14ac:dyDescent="0.25">
      <c r="A13" s="78" t="s">
        <v>31</v>
      </c>
      <c r="B13" s="78">
        <v>1130</v>
      </c>
      <c r="D13">
        <f t="shared" si="0"/>
        <v>226</v>
      </c>
    </row>
    <row r="14" spans="1:11" ht="18" x14ac:dyDescent="0.3">
      <c r="A14" s="44" t="s">
        <v>17</v>
      </c>
      <c r="B14" s="45">
        <f>SUM(B2:B13)</f>
        <v>24599</v>
      </c>
      <c r="D14">
        <f t="shared" si="0"/>
        <v>4919.8</v>
      </c>
    </row>
    <row r="16" spans="1:11" ht="18" x14ac:dyDescent="0.3">
      <c r="A16" s="7" t="s">
        <v>190</v>
      </c>
      <c r="B16" s="45">
        <f>B14/5</f>
        <v>4919.8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1" sqref="A11"/>
    </sheetView>
  </sheetViews>
  <sheetFormatPr defaultRowHeight="15" x14ac:dyDescent="0.25"/>
  <cols>
    <col min="1" max="1" width="23.5703125" bestFit="1" customWidth="1"/>
    <col min="2" max="2" width="9" bestFit="1" customWidth="1"/>
    <col min="4" max="4" width="7" bestFit="1" customWidth="1"/>
    <col min="8" max="8" width="9.42578125" bestFit="1" customWidth="1"/>
    <col min="9" max="9" width="16.28515625" bestFit="1" customWidth="1"/>
    <col min="10" max="10" width="7.7109375" bestFit="1" customWidth="1"/>
    <col min="11" max="11" width="11.85546875" bestFit="1" customWidth="1"/>
    <col min="14" max="14" width="10.85546875" bestFit="1" customWidth="1"/>
  </cols>
  <sheetData>
    <row r="1" spans="1:11" ht="15.75" x14ac:dyDescent="0.25">
      <c r="A1" s="77" t="s">
        <v>48</v>
      </c>
      <c r="B1" s="77" t="s">
        <v>89</v>
      </c>
    </row>
    <row r="2" spans="1:11" ht="15.75" x14ac:dyDescent="0.25">
      <c r="A2" s="78" t="s">
        <v>185</v>
      </c>
      <c r="B2" s="78">
        <v>-1100</v>
      </c>
      <c r="D2">
        <f>B2/5</f>
        <v>-220</v>
      </c>
    </row>
    <row r="3" spans="1:11" ht="15.75" x14ac:dyDescent="0.25">
      <c r="A3" s="78" t="s">
        <v>16</v>
      </c>
      <c r="B3" s="78">
        <v>526.49</v>
      </c>
      <c r="D3">
        <f t="shared" ref="D3:D15" si="0">B3/5</f>
        <v>105.298</v>
      </c>
    </row>
    <row r="4" spans="1:11" ht="15.75" x14ac:dyDescent="0.25">
      <c r="A4" s="78" t="s">
        <v>109</v>
      </c>
      <c r="B4" s="78">
        <v>960</v>
      </c>
      <c r="D4">
        <f t="shared" si="0"/>
        <v>192</v>
      </c>
    </row>
    <row r="5" spans="1:11" ht="15.75" x14ac:dyDescent="0.25">
      <c r="A5" s="78" t="s">
        <v>114</v>
      </c>
      <c r="B5" s="78">
        <v>2000</v>
      </c>
      <c r="D5">
        <f t="shared" si="0"/>
        <v>400</v>
      </c>
      <c r="F5">
        <v>1450</v>
      </c>
    </row>
    <row r="6" spans="1:11" ht="15.75" x14ac:dyDescent="0.25">
      <c r="A6" s="78" t="s">
        <v>8</v>
      </c>
      <c r="B6" s="78">
        <v>2000</v>
      </c>
      <c r="D6">
        <f t="shared" si="0"/>
        <v>400</v>
      </c>
      <c r="H6" s="79"/>
      <c r="I6" s="64" t="s">
        <v>187</v>
      </c>
      <c r="J6" s="64" t="s">
        <v>188</v>
      </c>
      <c r="K6" s="64" t="s">
        <v>189</v>
      </c>
    </row>
    <row r="7" spans="1:11" ht="15.75" x14ac:dyDescent="0.25">
      <c r="A7" s="78" t="s">
        <v>130</v>
      </c>
      <c r="B7" s="78">
        <v>700</v>
      </c>
      <c r="D7">
        <f t="shared" si="0"/>
        <v>140</v>
      </c>
      <c r="H7" s="79" t="s">
        <v>30</v>
      </c>
      <c r="I7" s="79">
        <v>5500</v>
      </c>
      <c r="J7" s="79"/>
      <c r="K7" s="8">
        <f>I7-J7</f>
        <v>5500</v>
      </c>
    </row>
    <row r="8" spans="1:11" ht="15.75" x14ac:dyDescent="0.25">
      <c r="A8" s="78" t="s">
        <v>160</v>
      </c>
      <c r="B8" s="78">
        <v>1000</v>
      </c>
      <c r="D8">
        <f t="shared" si="0"/>
        <v>200</v>
      </c>
      <c r="H8" s="79" t="s">
        <v>9</v>
      </c>
      <c r="I8" s="79">
        <v>5500</v>
      </c>
      <c r="J8" s="79"/>
      <c r="K8" s="8">
        <f t="shared" ref="K8:K11" si="1">I8-J8</f>
        <v>5500</v>
      </c>
    </row>
    <row r="9" spans="1:11" ht="15.75" x14ac:dyDescent="0.25">
      <c r="A9" s="78" t="s">
        <v>14</v>
      </c>
      <c r="B9" s="78">
        <v>10000</v>
      </c>
      <c r="D9">
        <f t="shared" si="0"/>
        <v>2000</v>
      </c>
      <c r="H9" s="79" t="s">
        <v>103</v>
      </c>
      <c r="I9" s="79">
        <v>5500</v>
      </c>
      <c r="J9" s="79"/>
      <c r="K9" s="8">
        <f t="shared" si="1"/>
        <v>5500</v>
      </c>
    </row>
    <row r="10" spans="1:11" ht="15.75" x14ac:dyDescent="0.25">
      <c r="A10" s="78" t="s">
        <v>105</v>
      </c>
      <c r="B10" s="78">
        <v>5500</v>
      </c>
      <c r="D10">
        <f t="shared" si="0"/>
        <v>1100</v>
      </c>
      <c r="H10" s="79" t="s">
        <v>93</v>
      </c>
      <c r="I10" s="79">
        <v>5500</v>
      </c>
      <c r="J10" s="79"/>
      <c r="K10" s="8">
        <f t="shared" si="1"/>
        <v>5500</v>
      </c>
    </row>
    <row r="11" spans="1:11" ht="15.75" x14ac:dyDescent="0.25">
      <c r="A11" s="78" t="s">
        <v>184</v>
      </c>
      <c r="B11" s="78">
        <v>1500</v>
      </c>
      <c r="D11">
        <f t="shared" si="0"/>
        <v>300</v>
      </c>
      <c r="H11" s="65" t="s">
        <v>192</v>
      </c>
      <c r="I11" s="79">
        <v>5500</v>
      </c>
      <c r="J11" s="79"/>
      <c r="K11" s="8">
        <f t="shared" si="1"/>
        <v>5500</v>
      </c>
    </row>
    <row r="12" spans="1:11" ht="15.75" x14ac:dyDescent="0.25">
      <c r="A12" s="78" t="s">
        <v>19</v>
      </c>
      <c r="B12" s="78">
        <v>900</v>
      </c>
      <c r="D12">
        <f t="shared" si="0"/>
        <v>180</v>
      </c>
    </row>
    <row r="13" spans="1:11" ht="15.75" x14ac:dyDescent="0.25">
      <c r="A13" s="78" t="s">
        <v>20</v>
      </c>
      <c r="B13" s="78">
        <v>945</v>
      </c>
      <c r="D13">
        <f t="shared" si="0"/>
        <v>189</v>
      </c>
    </row>
    <row r="14" spans="1:11" ht="15.75" x14ac:dyDescent="0.25">
      <c r="A14" s="78" t="s">
        <v>31</v>
      </c>
      <c r="B14" s="78">
        <v>2000</v>
      </c>
      <c r="D14">
        <f t="shared" si="0"/>
        <v>400</v>
      </c>
    </row>
    <row r="15" spans="1:11" ht="18" x14ac:dyDescent="0.3">
      <c r="A15" s="44" t="s">
        <v>17</v>
      </c>
      <c r="B15" s="45">
        <f>SUM(B2:B14)</f>
        <v>26931.489999999998</v>
      </c>
      <c r="D15">
        <f t="shared" si="0"/>
        <v>5386.2979999999998</v>
      </c>
    </row>
    <row r="17" spans="1:2" ht="18" x14ac:dyDescent="0.3">
      <c r="A17" s="7" t="s">
        <v>190</v>
      </c>
      <c r="B17" s="45">
        <f>B15/5</f>
        <v>5386.2979999999998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2"/>
  <sheetViews>
    <sheetView workbookViewId="0">
      <selection activeCell="K19" sqref="K19"/>
    </sheetView>
  </sheetViews>
  <sheetFormatPr defaultRowHeight="15" x14ac:dyDescent="0.25"/>
  <cols>
    <col min="1" max="1" width="17.28515625" bestFit="1" customWidth="1"/>
    <col min="5" max="5" width="11" bestFit="1" customWidth="1"/>
    <col min="6" max="6" width="9.7109375" bestFit="1" customWidth="1"/>
    <col min="8" max="8" width="17.28515625" bestFit="1" customWidth="1"/>
    <col min="13" max="13" width="10.140625" bestFit="1" customWidth="1"/>
  </cols>
  <sheetData>
    <row r="4" spans="1:17" x14ac:dyDescent="0.25">
      <c r="I4" s="79"/>
      <c r="J4" s="79" t="s">
        <v>9</v>
      </c>
      <c r="K4" s="79" t="s">
        <v>103</v>
      </c>
      <c r="L4" s="79" t="s">
        <v>93</v>
      </c>
      <c r="M4" s="79" t="s">
        <v>195</v>
      </c>
      <c r="N4" s="79" t="s">
        <v>30</v>
      </c>
      <c r="O4" s="79"/>
      <c r="P4" s="79"/>
      <c r="Q4" s="79"/>
    </row>
    <row r="5" spans="1:17" x14ac:dyDescent="0.25">
      <c r="A5" t="s">
        <v>196</v>
      </c>
      <c r="B5">
        <v>70</v>
      </c>
      <c r="I5" s="79">
        <v>330</v>
      </c>
      <c r="J5" s="79">
        <v>1</v>
      </c>
      <c r="K5" s="79"/>
      <c r="L5" s="79">
        <v>1</v>
      </c>
      <c r="M5" s="79">
        <v>1</v>
      </c>
      <c r="N5" s="79">
        <v>1</v>
      </c>
      <c r="O5" s="79"/>
      <c r="P5" s="79">
        <f>I5/SUM(J5:N5)</f>
        <v>82.5</v>
      </c>
      <c r="Q5" s="79">
        <v>82.5</v>
      </c>
    </row>
    <row r="6" spans="1:17" x14ac:dyDescent="0.25">
      <c r="A6" t="s">
        <v>197</v>
      </c>
      <c r="B6">
        <v>1500</v>
      </c>
      <c r="I6" s="79">
        <v>330</v>
      </c>
      <c r="J6" s="79">
        <v>1</v>
      </c>
      <c r="K6" s="79">
        <v>1</v>
      </c>
      <c r="L6" s="79">
        <v>1</v>
      </c>
      <c r="M6" s="79">
        <v>1</v>
      </c>
      <c r="N6" s="79"/>
      <c r="O6" s="79"/>
      <c r="P6" s="79">
        <f t="shared" ref="P6:P8" si="0">I6/SUM(J6:N6)</f>
        <v>82.5</v>
      </c>
      <c r="Q6" s="79">
        <v>82.5</v>
      </c>
    </row>
    <row r="7" spans="1:17" x14ac:dyDescent="0.25">
      <c r="A7" t="s">
        <v>109</v>
      </c>
      <c r="B7">
        <v>1000</v>
      </c>
      <c r="I7" s="79">
        <v>330</v>
      </c>
      <c r="J7" s="79">
        <v>1</v>
      </c>
      <c r="K7" s="79">
        <v>1</v>
      </c>
      <c r="L7" s="79">
        <v>1</v>
      </c>
      <c r="M7" s="79">
        <v>1</v>
      </c>
      <c r="N7" s="79"/>
      <c r="O7" s="79"/>
      <c r="P7" s="79">
        <f t="shared" si="0"/>
        <v>82.5</v>
      </c>
      <c r="Q7" s="79">
        <v>82.5</v>
      </c>
    </row>
    <row r="8" spans="1:17" x14ac:dyDescent="0.25">
      <c r="A8" t="s">
        <v>198</v>
      </c>
      <c r="B8">
        <v>115</v>
      </c>
      <c r="I8" s="79">
        <v>330</v>
      </c>
      <c r="J8" s="79">
        <v>1</v>
      </c>
      <c r="K8" s="79">
        <v>1</v>
      </c>
      <c r="L8" s="79">
        <v>1</v>
      </c>
      <c r="M8" s="79"/>
      <c r="N8" s="79"/>
      <c r="O8" s="79"/>
      <c r="P8" s="79">
        <f t="shared" si="0"/>
        <v>110</v>
      </c>
      <c r="Q8" s="79">
        <v>110</v>
      </c>
    </row>
    <row r="9" spans="1:17" x14ac:dyDescent="0.25">
      <c r="A9" t="s">
        <v>114</v>
      </c>
      <c r="B9">
        <v>1450</v>
      </c>
      <c r="D9" s="79" t="s">
        <v>199</v>
      </c>
      <c r="E9" s="79" t="s">
        <v>8</v>
      </c>
      <c r="F9" s="79" t="s">
        <v>160</v>
      </c>
      <c r="G9" s="79" t="s">
        <v>180</v>
      </c>
      <c r="I9" s="79"/>
      <c r="J9" s="79"/>
      <c r="K9" s="79"/>
      <c r="L9" s="79"/>
      <c r="M9" s="79"/>
      <c r="N9" s="79"/>
      <c r="O9" s="79"/>
      <c r="P9" s="79"/>
      <c r="Q9" s="79"/>
    </row>
    <row r="10" spans="1:17" x14ac:dyDescent="0.25">
      <c r="A10" t="s">
        <v>200</v>
      </c>
      <c r="B10">
        <v>30</v>
      </c>
      <c r="D10" s="79">
        <v>45</v>
      </c>
      <c r="E10" s="79">
        <v>90</v>
      </c>
      <c r="F10" s="79">
        <v>38</v>
      </c>
      <c r="G10" s="79">
        <v>120</v>
      </c>
      <c r="I10" s="79"/>
      <c r="J10" s="79"/>
      <c r="K10" s="79"/>
      <c r="L10" s="79"/>
      <c r="M10" s="79"/>
      <c r="N10" s="79"/>
      <c r="O10" s="79"/>
      <c r="P10" s="79"/>
      <c r="Q10" s="79"/>
    </row>
    <row r="11" spans="1:17" x14ac:dyDescent="0.25">
      <c r="A11" t="s">
        <v>201</v>
      </c>
      <c r="B11">
        <v>410</v>
      </c>
      <c r="D11" s="79">
        <v>50</v>
      </c>
      <c r="E11" s="79">
        <v>470</v>
      </c>
      <c r="F11" s="79">
        <v>38</v>
      </c>
      <c r="G11" s="79">
        <v>90</v>
      </c>
      <c r="I11" s="79"/>
      <c r="J11" s="79">
        <f>SUM(Q5:Q8)</f>
        <v>357.5</v>
      </c>
      <c r="K11" s="79">
        <v>275</v>
      </c>
      <c r="L11" s="79">
        <v>357.5</v>
      </c>
      <c r="M11" s="79">
        <v>247.5</v>
      </c>
      <c r="N11" s="79">
        <v>82.5</v>
      </c>
      <c r="O11" s="79"/>
      <c r="P11" s="79"/>
      <c r="Q11" s="79"/>
    </row>
    <row r="12" spans="1:17" x14ac:dyDescent="0.25">
      <c r="A12" t="s">
        <v>202</v>
      </c>
      <c r="B12">
        <v>90</v>
      </c>
      <c r="D12" s="79">
        <v>50</v>
      </c>
      <c r="E12" s="79">
        <v>206</v>
      </c>
      <c r="F12" s="79">
        <v>38</v>
      </c>
      <c r="G12" s="79">
        <v>90</v>
      </c>
    </row>
    <row r="13" spans="1:17" x14ac:dyDescent="0.25">
      <c r="A13" t="s">
        <v>115</v>
      </c>
      <c r="B13">
        <v>100</v>
      </c>
      <c r="D13" s="79">
        <v>45</v>
      </c>
      <c r="E13" s="79">
        <v>370</v>
      </c>
      <c r="F13" s="79">
        <v>102</v>
      </c>
      <c r="G13" s="79">
        <v>90</v>
      </c>
    </row>
    <row r="14" spans="1:17" x14ac:dyDescent="0.25">
      <c r="A14" t="s">
        <v>203</v>
      </c>
      <c r="B14">
        <v>145</v>
      </c>
      <c r="D14" s="79">
        <v>45</v>
      </c>
      <c r="E14" s="79">
        <v>250</v>
      </c>
      <c r="F14" s="79">
        <v>35</v>
      </c>
      <c r="G14" s="79">
        <v>80</v>
      </c>
    </row>
    <row r="15" spans="1:17" x14ac:dyDescent="0.25">
      <c r="A15" t="s">
        <v>204</v>
      </c>
      <c r="B15">
        <v>82</v>
      </c>
      <c r="D15" s="79"/>
      <c r="E15" s="79">
        <v>405</v>
      </c>
      <c r="F15" s="79">
        <v>114</v>
      </c>
      <c r="G15" s="79"/>
      <c r="I15">
        <f>SUM(I5:I8)</f>
        <v>1320</v>
      </c>
    </row>
    <row r="16" spans="1:17" x14ac:dyDescent="0.25">
      <c r="A16" t="s">
        <v>205</v>
      </c>
      <c r="B16">
        <v>990</v>
      </c>
      <c r="D16" s="79"/>
      <c r="E16" s="79"/>
      <c r="F16" s="79">
        <v>76</v>
      </c>
      <c r="G16" s="79"/>
    </row>
    <row r="17" spans="1:7" x14ac:dyDescent="0.25">
      <c r="A17" t="s">
        <v>8</v>
      </c>
      <c r="B17">
        <v>1296</v>
      </c>
      <c r="D17" s="79"/>
      <c r="E17" s="79"/>
      <c r="F17" s="79"/>
      <c r="G17" s="79"/>
    </row>
    <row r="18" spans="1:7" x14ac:dyDescent="0.25">
      <c r="A18" t="s">
        <v>180</v>
      </c>
      <c r="B18">
        <v>390</v>
      </c>
      <c r="D18" s="79"/>
      <c r="E18" s="79"/>
      <c r="F18" s="79"/>
      <c r="G18" s="79"/>
    </row>
    <row r="19" spans="1:7" x14ac:dyDescent="0.25">
      <c r="A19" t="s">
        <v>95</v>
      </c>
      <c r="B19">
        <v>251</v>
      </c>
      <c r="D19" s="79">
        <f>SUM(D10:D18)</f>
        <v>235</v>
      </c>
      <c r="E19" s="79">
        <f t="shared" ref="E19:G19" si="1">SUM(E10:E18)</f>
        <v>1791</v>
      </c>
      <c r="F19" s="79">
        <f t="shared" si="1"/>
        <v>441</v>
      </c>
      <c r="G19" s="79">
        <f t="shared" si="1"/>
        <v>470</v>
      </c>
    </row>
    <row r="22" spans="1:7" x14ac:dyDescent="0.25">
      <c r="D22">
        <f>SUM(D19:G19)</f>
        <v>2937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J11" sqref="J11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0.42578125" bestFit="1" customWidth="1"/>
    <col min="4" max="4" width="7" bestFit="1" customWidth="1"/>
    <col min="6" max="6" width="10.42578125" bestFit="1" customWidth="1"/>
    <col min="8" max="8" width="9.42578125" bestFit="1" customWidth="1"/>
    <col min="9" max="9" width="16.28515625" bestFit="1" customWidth="1"/>
    <col min="10" max="10" width="19.140625" bestFit="1" customWidth="1"/>
    <col min="11" max="11" width="7.7109375" bestFit="1" customWidth="1"/>
    <col min="12" max="12" width="11.85546875" bestFit="1" customWidth="1"/>
    <col min="13" max="13" width="11.85546875" customWidth="1"/>
    <col min="16" max="16" width="10.85546875" bestFit="1" customWidth="1"/>
  </cols>
  <sheetData>
    <row r="1" spans="1:14" ht="15.75" x14ac:dyDescent="0.25">
      <c r="A1" s="77" t="s">
        <v>48</v>
      </c>
      <c r="B1" s="77" t="s">
        <v>89</v>
      </c>
    </row>
    <row r="2" spans="1:14" ht="15.75" x14ac:dyDescent="0.25">
      <c r="A2" s="78" t="s">
        <v>185</v>
      </c>
      <c r="B2" s="78">
        <v>3047</v>
      </c>
      <c r="D2">
        <f>B2/5</f>
        <v>609.4</v>
      </c>
    </row>
    <row r="3" spans="1:14" ht="15.75" x14ac:dyDescent="0.25">
      <c r="A3" s="78" t="s">
        <v>16</v>
      </c>
      <c r="B3" s="78">
        <v>950</v>
      </c>
      <c r="D3">
        <f t="shared" ref="D3:D14" si="0">B3/5</f>
        <v>190</v>
      </c>
    </row>
    <row r="4" spans="1:14" ht="15.75" x14ac:dyDescent="0.25">
      <c r="A4" s="78" t="s">
        <v>114</v>
      </c>
      <c r="B4" s="78">
        <v>2000</v>
      </c>
      <c r="D4">
        <f t="shared" si="0"/>
        <v>400</v>
      </c>
    </row>
    <row r="5" spans="1:14" ht="15.75" x14ac:dyDescent="0.25">
      <c r="A5" s="78" t="s">
        <v>8</v>
      </c>
      <c r="B5" s="78">
        <v>2000</v>
      </c>
      <c r="D5">
        <f t="shared" si="0"/>
        <v>400</v>
      </c>
      <c r="H5" s="79"/>
      <c r="I5" s="64" t="s">
        <v>187</v>
      </c>
      <c r="J5" s="64" t="s">
        <v>206</v>
      </c>
      <c r="K5" s="64" t="s">
        <v>188</v>
      </c>
      <c r="L5" s="64" t="s">
        <v>189</v>
      </c>
      <c r="M5" s="69"/>
    </row>
    <row r="6" spans="1:14" ht="15.75" x14ac:dyDescent="0.25">
      <c r="A6" s="78" t="s">
        <v>130</v>
      </c>
      <c r="B6" s="78">
        <v>700</v>
      </c>
      <c r="D6">
        <f t="shared" si="0"/>
        <v>140</v>
      </c>
      <c r="H6" s="79" t="s">
        <v>30</v>
      </c>
      <c r="I6" s="79">
        <v>6700</v>
      </c>
      <c r="J6" s="79">
        <v>82.5</v>
      </c>
      <c r="K6" s="79">
        <v>3642</v>
      </c>
      <c r="L6" s="8">
        <f>I6+J6-K6</f>
        <v>3140.5</v>
      </c>
      <c r="M6" s="11">
        <v>3140</v>
      </c>
      <c r="N6" t="s">
        <v>76</v>
      </c>
    </row>
    <row r="7" spans="1:14" ht="15.75" x14ac:dyDescent="0.25">
      <c r="A7" s="78" t="s">
        <v>160</v>
      </c>
      <c r="B7" s="78">
        <v>1000</v>
      </c>
      <c r="D7">
        <f t="shared" si="0"/>
        <v>200</v>
      </c>
      <c r="H7" s="79" t="s">
        <v>9</v>
      </c>
      <c r="I7" s="79">
        <v>6700</v>
      </c>
      <c r="J7" s="79">
        <v>357.5</v>
      </c>
      <c r="K7" s="79">
        <v>1375</v>
      </c>
      <c r="L7" s="8">
        <f t="shared" ref="L7:L10" si="1">I7+J7-K7</f>
        <v>5682.5</v>
      </c>
      <c r="M7" s="11">
        <v>5682</v>
      </c>
      <c r="N7" t="s">
        <v>76</v>
      </c>
    </row>
    <row r="8" spans="1:14" ht="15.75" x14ac:dyDescent="0.25">
      <c r="A8" s="78" t="s">
        <v>14</v>
      </c>
      <c r="B8" s="78">
        <v>10000</v>
      </c>
      <c r="D8">
        <f t="shared" si="0"/>
        <v>2000</v>
      </c>
      <c r="H8" s="79" t="s">
        <v>103</v>
      </c>
      <c r="I8" s="79">
        <v>6700</v>
      </c>
      <c r="J8" s="79">
        <v>275</v>
      </c>
      <c r="K8" s="79"/>
      <c r="L8" s="8">
        <f t="shared" si="1"/>
        <v>6975</v>
      </c>
      <c r="M8" s="11">
        <v>7000</v>
      </c>
      <c r="N8" t="s">
        <v>76</v>
      </c>
    </row>
    <row r="9" spans="1:14" ht="15.75" x14ac:dyDescent="0.25">
      <c r="A9" s="78" t="s">
        <v>105</v>
      </c>
      <c r="B9" s="78">
        <v>5500</v>
      </c>
      <c r="D9">
        <f t="shared" si="0"/>
        <v>1100</v>
      </c>
      <c r="H9" s="79" t="s">
        <v>93</v>
      </c>
      <c r="I9" s="79">
        <v>6700</v>
      </c>
      <c r="J9" s="79">
        <v>357.5</v>
      </c>
      <c r="K9" s="79"/>
      <c r="L9" s="8">
        <f t="shared" si="1"/>
        <v>7057.5</v>
      </c>
      <c r="M9" s="11">
        <v>6057</v>
      </c>
      <c r="N9" t="s">
        <v>76</v>
      </c>
    </row>
    <row r="10" spans="1:14" ht="15.75" x14ac:dyDescent="0.25">
      <c r="A10" s="78" t="s">
        <v>184</v>
      </c>
      <c r="B10" s="78">
        <v>1500</v>
      </c>
      <c r="D10">
        <f t="shared" si="0"/>
        <v>300</v>
      </c>
      <c r="H10" s="65" t="s">
        <v>207</v>
      </c>
      <c r="I10" s="79">
        <v>6700</v>
      </c>
      <c r="J10" s="79">
        <v>247.5</v>
      </c>
      <c r="K10" s="79"/>
      <c r="L10" s="8">
        <f t="shared" si="1"/>
        <v>6947.5</v>
      </c>
      <c r="M10" s="11">
        <v>6947</v>
      </c>
      <c r="N10" t="s">
        <v>76</v>
      </c>
    </row>
    <row r="11" spans="1:14" ht="15.75" x14ac:dyDescent="0.25">
      <c r="A11" s="78" t="s">
        <v>19</v>
      </c>
      <c r="B11" s="78">
        <v>1300</v>
      </c>
      <c r="D11">
        <f t="shared" si="0"/>
        <v>260</v>
      </c>
    </row>
    <row r="12" spans="1:14" ht="15.75" x14ac:dyDescent="0.25">
      <c r="A12" s="78" t="s">
        <v>20</v>
      </c>
      <c r="B12" s="78">
        <v>945</v>
      </c>
      <c r="D12">
        <f t="shared" si="0"/>
        <v>189</v>
      </c>
    </row>
    <row r="13" spans="1:14" ht="15.75" x14ac:dyDescent="0.25">
      <c r="A13" s="78" t="s">
        <v>31</v>
      </c>
      <c r="B13" s="78">
        <v>4420</v>
      </c>
      <c r="D13">
        <f t="shared" si="0"/>
        <v>884</v>
      </c>
    </row>
    <row r="14" spans="1:14" ht="18" x14ac:dyDescent="0.3">
      <c r="A14" s="44" t="s">
        <v>17</v>
      </c>
      <c r="B14" s="45">
        <f>SUM(B2:B13)</f>
        <v>33362</v>
      </c>
      <c r="D14">
        <f t="shared" si="0"/>
        <v>6672.4</v>
      </c>
      <c r="L14" t="s">
        <v>208</v>
      </c>
      <c r="M14">
        <f>SUM(M6:M13)</f>
        <v>28826</v>
      </c>
    </row>
    <row r="16" spans="1:14" ht="18" x14ac:dyDescent="0.3">
      <c r="A16" s="7" t="s">
        <v>190</v>
      </c>
      <c r="B16" s="45">
        <f>B14/5</f>
        <v>6672.4</v>
      </c>
      <c r="M16">
        <f>M14-G24</f>
        <v>7406</v>
      </c>
    </row>
    <row r="22" spans="1:10" x14ac:dyDescent="0.25">
      <c r="A22" s="105" t="s">
        <v>209</v>
      </c>
      <c r="B22" s="105"/>
      <c r="C22" s="79"/>
    </row>
    <row r="23" spans="1:10" ht="15.75" x14ac:dyDescent="0.25">
      <c r="A23" s="77" t="s">
        <v>48</v>
      </c>
      <c r="B23" s="77" t="s">
        <v>89</v>
      </c>
      <c r="C23" s="77" t="s">
        <v>210</v>
      </c>
    </row>
    <row r="24" spans="1:10" ht="15.75" x14ac:dyDescent="0.25">
      <c r="A24" s="78" t="s">
        <v>14</v>
      </c>
      <c r="B24" s="80">
        <v>10000</v>
      </c>
      <c r="C24" s="79"/>
      <c r="F24" t="s">
        <v>211</v>
      </c>
      <c r="G24">
        <f>SUM(B24:B27)</f>
        <v>21420</v>
      </c>
      <c r="I24" t="s">
        <v>212</v>
      </c>
      <c r="J24">
        <v>7334</v>
      </c>
    </row>
    <row r="25" spans="1:10" ht="15.75" x14ac:dyDescent="0.25">
      <c r="A25" s="78" t="s">
        <v>105</v>
      </c>
      <c r="B25" s="80">
        <v>5500</v>
      </c>
      <c r="C25" s="79"/>
      <c r="F25" t="s">
        <v>213</v>
      </c>
      <c r="G25">
        <f>SUM(M6:M10)</f>
        <v>28826</v>
      </c>
      <c r="I25" t="s">
        <v>214</v>
      </c>
      <c r="J25">
        <v>3623</v>
      </c>
    </row>
    <row r="26" spans="1:10" ht="15.75" x14ac:dyDescent="0.25">
      <c r="A26" s="78" t="s">
        <v>184</v>
      </c>
      <c r="B26" s="80">
        <v>1500</v>
      </c>
      <c r="C26" s="79"/>
      <c r="I26" t="s">
        <v>215</v>
      </c>
      <c r="J26">
        <v>343</v>
      </c>
    </row>
    <row r="27" spans="1:10" ht="15.75" x14ac:dyDescent="0.25">
      <c r="A27" s="78" t="s">
        <v>31</v>
      </c>
      <c r="B27" s="80">
        <v>4420</v>
      </c>
      <c r="C27" s="79"/>
    </row>
    <row r="28" spans="1:10" ht="15.75" x14ac:dyDescent="0.25">
      <c r="A28" s="78" t="s">
        <v>160</v>
      </c>
      <c r="B28" s="78">
        <v>38</v>
      </c>
      <c r="C28" s="79"/>
    </row>
    <row r="29" spans="1:10" ht="15.75" x14ac:dyDescent="0.25">
      <c r="A29" s="78" t="s">
        <v>8</v>
      </c>
      <c r="B29" s="78">
        <v>548</v>
      </c>
      <c r="C29" s="79"/>
      <c r="F29" t="s">
        <v>216</v>
      </c>
      <c r="G29">
        <f>G24-G25</f>
        <v>-7406</v>
      </c>
    </row>
    <row r="30" spans="1:10" ht="15.75" x14ac:dyDescent="0.25">
      <c r="A30" s="78" t="s">
        <v>217</v>
      </c>
      <c r="B30" s="78">
        <v>32</v>
      </c>
      <c r="C30" s="79"/>
    </row>
    <row r="31" spans="1:10" ht="15.75" x14ac:dyDescent="0.25">
      <c r="A31" s="6" t="s">
        <v>115</v>
      </c>
      <c r="B31" s="6">
        <v>25</v>
      </c>
      <c r="C31" s="81">
        <v>43590</v>
      </c>
    </row>
    <row r="32" spans="1:10" ht="15.75" x14ac:dyDescent="0.25">
      <c r="A32" s="6" t="s">
        <v>218</v>
      </c>
      <c r="B32" s="6">
        <v>10</v>
      </c>
      <c r="C32" s="81">
        <v>43590</v>
      </c>
    </row>
    <row r="33" spans="1:3" ht="15.75" x14ac:dyDescent="0.25">
      <c r="A33" s="6" t="s">
        <v>160</v>
      </c>
      <c r="B33" s="6">
        <v>35</v>
      </c>
      <c r="C33" s="81">
        <v>43592</v>
      </c>
    </row>
    <row r="34" spans="1:3" ht="15.75" x14ac:dyDescent="0.25">
      <c r="A34" s="6" t="s">
        <v>217</v>
      </c>
      <c r="B34" s="6">
        <v>72</v>
      </c>
      <c r="C34" s="81">
        <v>43592</v>
      </c>
    </row>
    <row r="35" spans="1:3" ht="15.75" x14ac:dyDescent="0.25">
      <c r="A35" s="6" t="s">
        <v>114</v>
      </c>
      <c r="B35" s="6">
        <v>1367</v>
      </c>
      <c r="C35" s="81">
        <v>43595</v>
      </c>
    </row>
    <row r="36" spans="1:3" ht="15.75" x14ac:dyDescent="0.25">
      <c r="A36" s="6" t="s">
        <v>8</v>
      </c>
      <c r="B36" s="6">
        <v>380</v>
      </c>
      <c r="C36" s="81">
        <v>43595</v>
      </c>
    </row>
    <row r="37" spans="1:3" ht="15.75" x14ac:dyDescent="0.25">
      <c r="A37" s="6" t="s">
        <v>160</v>
      </c>
      <c r="B37" s="6">
        <v>38</v>
      </c>
      <c r="C37" s="81">
        <v>43595</v>
      </c>
    </row>
    <row r="38" spans="1:3" ht="15.75" x14ac:dyDescent="0.25">
      <c r="A38" s="6" t="s">
        <v>16</v>
      </c>
      <c r="B38" s="6">
        <v>780</v>
      </c>
      <c r="C38" s="81">
        <v>43596</v>
      </c>
    </row>
    <row r="39" spans="1:3" ht="15.75" x14ac:dyDescent="0.25">
      <c r="A39" s="6" t="s">
        <v>180</v>
      </c>
      <c r="B39" s="6">
        <v>90</v>
      </c>
      <c r="C39" s="81">
        <v>43596</v>
      </c>
    </row>
    <row r="40" spans="1:3" ht="15.75" x14ac:dyDescent="0.25">
      <c r="A40" s="6" t="s">
        <v>160</v>
      </c>
      <c r="B40" s="6">
        <v>76</v>
      </c>
      <c r="C40" s="81">
        <v>43596</v>
      </c>
    </row>
    <row r="41" spans="1:3" ht="15.75" x14ac:dyDescent="0.25">
      <c r="A41" s="6" t="s">
        <v>219</v>
      </c>
      <c r="B41" s="6">
        <v>45</v>
      </c>
      <c r="C41" s="81">
        <v>43596</v>
      </c>
    </row>
    <row r="42" spans="1:3" ht="15.75" x14ac:dyDescent="0.25">
      <c r="A42" s="6" t="s">
        <v>220</v>
      </c>
      <c r="B42" s="6">
        <v>26</v>
      </c>
      <c r="C42" s="81">
        <v>43596</v>
      </c>
    </row>
    <row r="43" spans="1:3" ht="15.75" x14ac:dyDescent="0.25">
      <c r="A43" s="6" t="s">
        <v>205</v>
      </c>
      <c r="B43" s="6">
        <v>330</v>
      </c>
      <c r="C43" s="81">
        <v>43597</v>
      </c>
    </row>
    <row r="44" spans="1:3" ht="15.75" x14ac:dyDescent="0.25">
      <c r="A44" s="6" t="s">
        <v>8</v>
      </c>
      <c r="B44" s="6">
        <v>277</v>
      </c>
      <c r="C44" s="81">
        <v>43597</v>
      </c>
    </row>
    <row r="45" spans="1:3" ht="15.75" x14ac:dyDescent="0.25">
      <c r="A45" s="6" t="s">
        <v>203</v>
      </c>
      <c r="B45" s="6">
        <v>55</v>
      </c>
      <c r="C45" s="81">
        <v>43595</v>
      </c>
    </row>
    <row r="46" spans="1:3" x14ac:dyDescent="0.25">
      <c r="A46" s="79" t="s">
        <v>160</v>
      </c>
      <c r="B46" s="79">
        <v>38</v>
      </c>
      <c r="C46" s="81">
        <v>43600</v>
      </c>
    </row>
    <row r="47" spans="1:3" x14ac:dyDescent="0.25">
      <c r="A47" s="79" t="s">
        <v>221</v>
      </c>
      <c r="B47" s="79">
        <v>50</v>
      </c>
      <c r="C47" s="81">
        <v>43600</v>
      </c>
    </row>
    <row r="48" spans="1:3" x14ac:dyDescent="0.25">
      <c r="A48" s="79" t="s">
        <v>222</v>
      </c>
      <c r="B48" s="79">
        <v>57</v>
      </c>
      <c r="C48" s="81">
        <v>43600</v>
      </c>
    </row>
    <row r="49" spans="1:3" x14ac:dyDescent="0.25">
      <c r="A49" s="79" t="s">
        <v>223</v>
      </c>
      <c r="B49" s="79">
        <v>56</v>
      </c>
      <c r="C49" s="81">
        <v>43601</v>
      </c>
    </row>
    <row r="50" spans="1:3" x14ac:dyDescent="0.25">
      <c r="A50" s="79" t="s">
        <v>8</v>
      </c>
      <c r="B50" s="79">
        <v>260</v>
      </c>
      <c r="C50" s="81">
        <v>43603</v>
      </c>
    </row>
    <row r="51" spans="1:3" x14ac:dyDescent="0.25">
      <c r="A51" s="42" t="s">
        <v>224</v>
      </c>
      <c r="B51" s="42">
        <v>86</v>
      </c>
      <c r="C51" s="81">
        <v>43603</v>
      </c>
    </row>
    <row r="52" spans="1:3" x14ac:dyDescent="0.25">
      <c r="A52" s="79" t="s">
        <v>80</v>
      </c>
      <c r="B52" s="79">
        <v>1300</v>
      </c>
      <c r="C52" s="81">
        <v>43605</v>
      </c>
    </row>
    <row r="53" spans="1:3" x14ac:dyDescent="0.25">
      <c r="A53" s="79" t="s">
        <v>160</v>
      </c>
      <c r="B53" s="79">
        <v>76</v>
      </c>
      <c r="C53" s="81">
        <v>43605</v>
      </c>
    </row>
    <row r="54" spans="1:3" x14ac:dyDescent="0.25">
      <c r="A54" s="79" t="s">
        <v>180</v>
      </c>
      <c r="B54" s="79">
        <v>90</v>
      </c>
      <c r="C54" s="81">
        <v>43605</v>
      </c>
    </row>
    <row r="55" spans="1:3" x14ac:dyDescent="0.25">
      <c r="A55" s="79" t="s">
        <v>225</v>
      </c>
      <c r="B55" s="79">
        <v>250</v>
      </c>
      <c r="C55" s="81">
        <v>43605</v>
      </c>
    </row>
    <row r="56" spans="1:3" x14ac:dyDescent="0.25">
      <c r="A56" s="79" t="s">
        <v>95</v>
      </c>
      <c r="B56" s="79">
        <v>38</v>
      </c>
      <c r="C56" s="81">
        <v>43606</v>
      </c>
    </row>
    <row r="57" spans="1:3" x14ac:dyDescent="0.25">
      <c r="A57" s="79" t="s">
        <v>226</v>
      </c>
      <c r="B57" s="79">
        <v>140</v>
      </c>
      <c r="C57" s="81">
        <v>43606</v>
      </c>
    </row>
    <row r="58" spans="1:3" x14ac:dyDescent="0.25">
      <c r="A58" s="79" t="s">
        <v>227</v>
      </c>
      <c r="B58" s="79">
        <v>60</v>
      </c>
      <c r="C58" s="81">
        <v>43606</v>
      </c>
    </row>
    <row r="59" spans="1:3" x14ac:dyDescent="0.25">
      <c r="A59" s="79"/>
      <c r="B59" s="79"/>
      <c r="C59" s="79"/>
    </row>
    <row r="60" spans="1:3" x14ac:dyDescent="0.25">
      <c r="A60" s="79"/>
      <c r="B60" s="79"/>
      <c r="C60" s="79"/>
    </row>
    <row r="61" spans="1:3" x14ac:dyDescent="0.25">
      <c r="A61" s="79"/>
      <c r="B61" s="79"/>
      <c r="C61" s="79"/>
    </row>
    <row r="62" spans="1:3" x14ac:dyDescent="0.25">
      <c r="A62" s="79"/>
      <c r="B62" s="79"/>
      <c r="C62" s="79"/>
    </row>
    <row r="63" spans="1:3" x14ac:dyDescent="0.25">
      <c r="A63" s="79"/>
      <c r="B63" s="79"/>
      <c r="C63" s="79"/>
    </row>
    <row r="64" spans="1:3" x14ac:dyDescent="0.25">
      <c r="A64" s="79" t="s">
        <v>228</v>
      </c>
      <c r="B64" s="79">
        <f>SUM(M6:M10)</f>
        <v>28826</v>
      </c>
      <c r="C64" s="79"/>
    </row>
    <row r="65" spans="1:3" x14ac:dyDescent="0.25">
      <c r="A65" s="79" t="s">
        <v>17</v>
      </c>
      <c r="B65" s="79">
        <f>SUM(B24:B61)</f>
        <v>28145</v>
      </c>
      <c r="C65" s="79"/>
    </row>
    <row r="66" spans="1:3" x14ac:dyDescent="0.25">
      <c r="A66" s="79"/>
      <c r="B66" s="79"/>
      <c r="C66" s="79"/>
    </row>
    <row r="67" spans="1:3" x14ac:dyDescent="0.25">
      <c r="A67" s="79"/>
      <c r="B67" s="79"/>
      <c r="C67" s="79"/>
    </row>
    <row r="68" spans="1:3" x14ac:dyDescent="0.25">
      <c r="A68" s="79" t="s">
        <v>216</v>
      </c>
      <c r="B68" s="79">
        <f>B64-B65</f>
        <v>681</v>
      </c>
      <c r="C68" s="79"/>
    </row>
  </sheetData>
  <mergeCells count="1">
    <mergeCell ref="A22:B22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61" workbookViewId="0">
      <selection activeCell="A14" sqref="A14"/>
    </sheetView>
  </sheetViews>
  <sheetFormatPr defaultRowHeight="15" x14ac:dyDescent="0.25"/>
  <cols>
    <col min="1" max="1" width="24.7109375" bestFit="1" customWidth="1"/>
    <col min="2" max="2" width="8.140625" bestFit="1" customWidth="1"/>
    <col min="3" max="3" width="10.42578125" bestFit="1" customWidth="1"/>
    <col min="6" max="6" width="10.42578125" bestFit="1" customWidth="1"/>
    <col min="9" max="9" width="16.42578125" bestFit="1" customWidth="1"/>
    <col min="11" max="11" width="11.85546875" bestFit="1" customWidth="1"/>
  </cols>
  <sheetData>
    <row r="1" spans="1:12" ht="15.75" x14ac:dyDescent="0.25">
      <c r="A1" s="77" t="s">
        <v>48</v>
      </c>
      <c r="B1" s="77" t="s">
        <v>89</v>
      </c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5.75" x14ac:dyDescent="0.25">
      <c r="A2" s="78" t="s">
        <v>185</v>
      </c>
      <c r="B2" s="78">
        <v>1805</v>
      </c>
      <c r="C2" s="70"/>
      <c r="D2" s="70">
        <f t="shared" ref="D2:D8" si="0">B2/4</f>
        <v>451.25</v>
      </c>
      <c r="E2" s="70"/>
      <c r="F2" s="70"/>
      <c r="G2" s="70"/>
      <c r="H2" s="70"/>
      <c r="I2" s="70"/>
      <c r="J2" s="70"/>
      <c r="K2" s="70"/>
      <c r="L2" s="70"/>
    </row>
    <row r="3" spans="1:12" ht="15.75" x14ac:dyDescent="0.25">
      <c r="A3" s="78" t="s">
        <v>16</v>
      </c>
      <c r="B3" s="78">
        <v>780</v>
      </c>
      <c r="C3" s="70"/>
      <c r="D3" s="70">
        <f t="shared" si="0"/>
        <v>195</v>
      </c>
      <c r="E3" s="70"/>
      <c r="F3" s="70"/>
      <c r="G3" s="70"/>
      <c r="H3" s="70"/>
      <c r="I3" s="70"/>
      <c r="J3" s="70"/>
      <c r="K3" s="70"/>
      <c r="L3" s="70"/>
    </row>
    <row r="4" spans="1:12" ht="15.75" x14ac:dyDescent="0.25">
      <c r="A4" s="78" t="s">
        <v>109</v>
      </c>
      <c r="B4" s="78">
        <v>1000</v>
      </c>
      <c r="C4" s="70"/>
      <c r="D4" s="70">
        <f t="shared" si="0"/>
        <v>250</v>
      </c>
      <c r="E4" s="70"/>
      <c r="F4" s="70"/>
      <c r="G4" s="70"/>
      <c r="H4" s="70"/>
      <c r="I4" s="70"/>
      <c r="J4" s="70"/>
      <c r="K4" s="70"/>
      <c r="L4" s="70"/>
    </row>
    <row r="5" spans="1:12" ht="15.75" x14ac:dyDescent="0.25">
      <c r="A5" s="78" t="s">
        <v>114</v>
      </c>
      <c r="B5" s="78">
        <v>1500</v>
      </c>
      <c r="C5" s="70"/>
      <c r="D5" s="70">
        <f t="shared" si="0"/>
        <v>375</v>
      </c>
      <c r="E5" s="70"/>
      <c r="F5" s="70"/>
      <c r="G5" s="70"/>
      <c r="H5" s="70"/>
      <c r="I5" s="70"/>
      <c r="J5" s="70"/>
      <c r="K5" s="70"/>
      <c r="L5" s="70"/>
    </row>
    <row r="6" spans="1:12" ht="15.75" x14ac:dyDescent="0.25">
      <c r="A6" s="78" t="s">
        <v>8</v>
      </c>
      <c r="B6" s="78">
        <v>2000</v>
      </c>
      <c r="C6" s="70"/>
      <c r="D6" s="70">
        <f t="shared" si="0"/>
        <v>500</v>
      </c>
      <c r="E6" s="70"/>
      <c r="F6" s="70"/>
      <c r="G6" s="70"/>
      <c r="H6" s="71"/>
      <c r="I6" s="76" t="s">
        <v>229</v>
      </c>
      <c r="J6" s="72" t="s">
        <v>188</v>
      </c>
      <c r="K6" s="72" t="s">
        <v>189</v>
      </c>
      <c r="L6" s="72" t="s">
        <v>76</v>
      </c>
    </row>
    <row r="7" spans="1:12" ht="15.75" x14ac:dyDescent="0.25">
      <c r="A7" s="78" t="s">
        <v>230</v>
      </c>
      <c r="B7" s="78">
        <v>700</v>
      </c>
      <c r="C7" s="70"/>
      <c r="D7" s="70">
        <f t="shared" si="0"/>
        <v>175</v>
      </c>
      <c r="E7" s="70"/>
      <c r="F7" s="70"/>
      <c r="G7" s="70"/>
      <c r="H7" s="71" t="s">
        <v>30</v>
      </c>
      <c r="I7" s="71">
        <v>2000</v>
      </c>
      <c r="J7" s="71"/>
      <c r="K7" s="78">
        <f>I7-J7</f>
        <v>2000</v>
      </c>
      <c r="L7" s="78"/>
    </row>
    <row r="8" spans="1:12" ht="15.75" x14ac:dyDescent="0.25">
      <c r="A8" s="78" t="s">
        <v>160</v>
      </c>
      <c r="B8" s="78">
        <v>700</v>
      </c>
      <c r="C8" s="70"/>
      <c r="D8" s="70">
        <f t="shared" si="0"/>
        <v>175</v>
      </c>
      <c r="E8" s="70"/>
      <c r="F8" s="70"/>
      <c r="G8" s="70"/>
      <c r="H8" s="71" t="s">
        <v>9</v>
      </c>
      <c r="I8" s="71">
        <v>6500</v>
      </c>
      <c r="J8" s="71">
        <v>784</v>
      </c>
      <c r="K8" s="78">
        <f>I8-J8</f>
        <v>5716</v>
      </c>
      <c r="L8" s="78">
        <v>5716</v>
      </c>
    </row>
    <row r="9" spans="1:12" ht="15.75" x14ac:dyDescent="0.25">
      <c r="A9" s="78" t="s">
        <v>14</v>
      </c>
      <c r="B9" s="78">
        <v>10000</v>
      </c>
      <c r="C9" s="70"/>
      <c r="D9" s="70">
        <f t="shared" ref="D9" si="1">B9/5</f>
        <v>2000</v>
      </c>
      <c r="E9" s="70"/>
      <c r="F9" s="70"/>
      <c r="G9" s="70"/>
      <c r="H9" s="71" t="s">
        <v>103</v>
      </c>
      <c r="I9" s="71">
        <v>6500</v>
      </c>
      <c r="J9" s="71"/>
      <c r="K9" s="78">
        <f>I9-J9</f>
        <v>6500</v>
      </c>
      <c r="L9" s="78">
        <v>6500</v>
      </c>
    </row>
    <row r="10" spans="1:12" ht="15.75" x14ac:dyDescent="0.25">
      <c r="A10" s="78" t="s">
        <v>105</v>
      </c>
      <c r="B10" s="78">
        <v>5500</v>
      </c>
      <c r="C10" s="70"/>
      <c r="D10" s="70">
        <f>B10/4</f>
        <v>1375</v>
      </c>
      <c r="E10" s="70"/>
      <c r="F10" s="70"/>
      <c r="G10" s="70"/>
      <c r="H10" s="71" t="s">
        <v>93</v>
      </c>
      <c r="I10" s="71">
        <v>6500</v>
      </c>
      <c r="J10" s="71">
        <v>456</v>
      </c>
      <c r="K10" s="78">
        <f>I10-J10</f>
        <v>6044</v>
      </c>
      <c r="L10" s="78">
        <v>6044</v>
      </c>
    </row>
    <row r="11" spans="1:12" ht="15.75" x14ac:dyDescent="0.25">
      <c r="A11" s="78" t="s">
        <v>184</v>
      </c>
      <c r="B11" s="78">
        <v>1500</v>
      </c>
      <c r="C11" s="70"/>
      <c r="D11" s="70">
        <f>B11/4</f>
        <v>375</v>
      </c>
      <c r="E11" s="70"/>
      <c r="F11" s="70"/>
      <c r="G11" s="70"/>
      <c r="H11" s="73" t="s">
        <v>207</v>
      </c>
      <c r="I11" s="71">
        <v>6500</v>
      </c>
      <c r="J11" s="71"/>
      <c r="K11" s="78">
        <f>I11-J11</f>
        <v>6500</v>
      </c>
      <c r="L11" s="78">
        <v>6500</v>
      </c>
    </row>
    <row r="12" spans="1:12" ht="15.75" x14ac:dyDescent="0.25">
      <c r="A12" s="78" t="s">
        <v>19</v>
      </c>
      <c r="B12" s="78">
        <v>1500</v>
      </c>
      <c r="C12" s="70"/>
      <c r="D12" s="70">
        <f>B12/4</f>
        <v>375</v>
      </c>
      <c r="E12" s="70"/>
      <c r="F12" s="70"/>
      <c r="G12" s="70"/>
      <c r="H12" s="70"/>
      <c r="I12" s="70"/>
      <c r="J12" s="70"/>
      <c r="K12" s="70"/>
      <c r="L12" s="70"/>
    </row>
    <row r="13" spans="1:12" ht="15.75" x14ac:dyDescent="0.25">
      <c r="A13" s="78" t="s">
        <v>20</v>
      </c>
      <c r="B13" s="78">
        <v>945</v>
      </c>
      <c r="C13" s="70"/>
      <c r="D13" s="70">
        <f>B13/4</f>
        <v>236.25</v>
      </c>
      <c r="E13" s="70"/>
      <c r="F13" s="70"/>
      <c r="G13" s="70"/>
      <c r="H13" s="70"/>
      <c r="I13" s="70"/>
      <c r="J13" s="70"/>
      <c r="K13" s="70"/>
      <c r="L13" s="70"/>
    </row>
    <row r="14" spans="1:12" ht="15.75" x14ac:dyDescent="0.25">
      <c r="A14" s="78" t="s">
        <v>31</v>
      </c>
      <c r="B14" s="78">
        <v>500</v>
      </c>
      <c r="C14" s="70"/>
      <c r="D14" s="70">
        <f>B14/4</f>
        <v>125</v>
      </c>
      <c r="E14" s="70"/>
      <c r="F14" s="70"/>
      <c r="G14" s="70"/>
      <c r="H14" s="70"/>
      <c r="I14" s="70"/>
      <c r="J14" s="70"/>
      <c r="K14" s="70"/>
      <c r="L14" s="70"/>
    </row>
    <row r="15" spans="1:12" ht="18" x14ac:dyDescent="0.3">
      <c r="A15" s="74" t="s">
        <v>17</v>
      </c>
      <c r="B15" s="75">
        <f>SUM(B2:B14)</f>
        <v>28430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</row>
    <row r="16" spans="1:12" x14ac:dyDescent="0.25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</row>
    <row r="17" spans="1:14" ht="18" x14ac:dyDescent="0.3">
      <c r="A17" s="6" t="s">
        <v>190</v>
      </c>
      <c r="B17" s="75">
        <f>B15/5</f>
        <v>5686</v>
      </c>
      <c r="C17" s="70"/>
      <c r="D17" s="70">
        <f>SUM(D2:D16)</f>
        <v>6607.5</v>
      </c>
      <c r="E17" s="70"/>
      <c r="F17" s="70"/>
      <c r="G17" s="70"/>
      <c r="H17" s="70">
        <v>626</v>
      </c>
      <c r="I17" s="70"/>
      <c r="J17" s="70"/>
      <c r="K17" s="70"/>
      <c r="L17" s="70"/>
    </row>
    <row r="18" spans="1:14" x14ac:dyDescent="0.25">
      <c r="H18">
        <v>120</v>
      </c>
    </row>
    <row r="19" spans="1:14" x14ac:dyDescent="0.25">
      <c r="H19">
        <v>38</v>
      </c>
      <c r="L19">
        <v>2000</v>
      </c>
      <c r="N19">
        <f>9000*2</f>
        <v>18000</v>
      </c>
    </row>
    <row r="20" spans="1:14" x14ac:dyDescent="0.25">
      <c r="L20">
        <v>1300</v>
      </c>
      <c r="N20">
        <v>1500</v>
      </c>
    </row>
    <row r="21" spans="1:14" x14ac:dyDescent="0.25">
      <c r="L21">
        <v>790</v>
      </c>
    </row>
    <row r="22" spans="1:14" x14ac:dyDescent="0.25">
      <c r="F22" t="s">
        <v>213</v>
      </c>
      <c r="G22">
        <f>SUM(L7:L11)</f>
        <v>24760</v>
      </c>
      <c r="I22" t="s">
        <v>213</v>
      </c>
      <c r="J22">
        <f>SUM(L7:L11)</f>
        <v>24760</v>
      </c>
      <c r="L22">
        <v>-950</v>
      </c>
    </row>
    <row r="23" spans="1:14" x14ac:dyDescent="0.25">
      <c r="A23" s="105" t="s">
        <v>209</v>
      </c>
      <c r="B23" s="105"/>
      <c r="C23" s="79">
        <f>SUM(K7:K11)</f>
        <v>26760</v>
      </c>
      <c r="F23" t="s">
        <v>231</v>
      </c>
      <c r="G23">
        <f>B25+B26+B27+B31</f>
        <v>18294</v>
      </c>
      <c r="I23" t="s">
        <v>232</v>
      </c>
      <c r="J23">
        <f>B68</f>
        <v>26114</v>
      </c>
      <c r="L23">
        <v>250</v>
      </c>
    </row>
    <row r="24" spans="1:14" ht="15.75" x14ac:dyDescent="0.25">
      <c r="A24" s="77" t="s">
        <v>48</v>
      </c>
      <c r="B24" s="77" t="s">
        <v>89</v>
      </c>
      <c r="C24" s="77" t="s">
        <v>210</v>
      </c>
    </row>
    <row r="25" spans="1:14" ht="15.75" x14ac:dyDescent="0.25">
      <c r="A25" s="78" t="s">
        <v>14</v>
      </c>
      <c r="B25" s="78">
        <v>10000</v>
      </c>
      <c r="C25" s="81">
        <v>43617</v>
      </c>
    </row>
    <row r="26" spans="1:14" ht="15.75" x14ac:dyDescent="0.25">
      <c r="A26" s="78" t="s">
        <v>105</v>
      </c>
      <c r="B26" s="78">
        <v>5500</v>
      </c>
      <c r="C26" s="81">
        <v>43617</v>
      </c>
      <c r="F26" t="s">
        <v>216</v>
      </c>
      <c r="G26">
        <f>G22-G23</f>
        <v>6466</v>
      </c>
      <c r="I26" t="s">
        <v>216</v>
      </c>
      <c r="J26">
        <f>J22-J23</f>
        <v>-1354</v>
      </c>
      <c r="L26">
        <f>SUM(L19:L25)</f>
        <v>3390</v>
      </c>
      <c r="N26">
        <f>SUM(N19:N25)</f>
        <v>19500</v>
      </c>
    </row>
    <row r="27" spans="1:14" ht="15.75" x14ac:dyDescent="0.25">
      <c r="A27" s="78" t="s">
        <v>184</v>
      </c>
      <c r="B27" s="80">
        <v>1500</v>
      </c>
      <c r="C27" s="81">
        <v>43617</v>
      </c>
    </row>
    <row r="28" spans="1:14" ht="15.75" x14ac:dyDescent="0.25">
      <c r="A28" s="78" t="s">
        <v>8</v>
      </c>
      <c r="B28" s="78">
        <v>182</v>
      </c>
      <c r="C28" s="81">
        <v>43618</v>
      </c>
    </row>
    <row r="29" spans="1:14" ht="15.75" x14ac:dyDescent="0.25">
      <c r="A29" s="78" t="s">
        <v>160</v>
      </c>
      <c r="B29" s="78">
        <v>38</v>
      </c>
      <c r="C29" s="81">
        <v>43619</v>
      </c>
      <c r="N29">
        <f>N26-L26</f>
        <v>16110</v>
      </c>
    </row>
    <row r="30" spans="1:14" ht="15.75" x14ac:dyDescent="0.25">
      <c r="A30" s="78" t="s">
        <v>180</v>
      </c>
      <c r="B30" s="78">
        <v>120</v>
      </c>
      <c r="C30" s="81">
        <v>43619</v>
      </c>
    </row>
    <row r="31" spans="1:14" ht="15.75" x14ac:dyDescent="0.25">
      <c r="A31" s="78" t="s">
        <v>114</v>
      </c>
      <c r="B31" s="78">
        <v>1294</v>
      </c>
      <c r="C31" s="81">
        <v>43620</v>
      </c>
      <c r="G31">
        <v>2000</v>
      </c>
    </row>
    <row r="32" spans="1:14" ht="15.75" x14ac:dyDescent="0.25">
      <c r="A32" s="78" t="s">
        <v>160</v>
      </c>
      <c r="B32" s="78">
        <v>38</v>
      </c>
      <c r="C32" s="81">
        <v>43622</v>
      </c>
    </row>
    <row r="33" spans="1:10" ht="15.75" x14ac:dyDescent="0.25">
      <c r="A33" s="78" t="s">
        <v>8</v>
      </c>
      <c r="B33" s="78">
        <v>400</v>
      </c>
      <c r="C33" s="81">
        <v>43622</v>
      </c>
      <c r="G33" s="78">
        <v>1294</v>
      </c>
    </row>
    <row r="34" spans="1:10" ht="15.75" x14ac:dyDescent="0.25">
      <c r="A34" s="78" t="s">
        <v>203</v>
      </c>
      <c r="B34" s="78">
        <v>50</v>
      </c>
      <c r="C34" s="81">
        <v>43622</v>
      </c>
      <c r="J34">
        <v>4555</v>
      </c>
    </row>
    <row r="35" spans="1:10" ht="15.75" x14ac:dyDescent="0.25">
      <c r="A35" s="78" t="s">
        <v>180</v>
      </c>
      <c r="B35" s="78">
        <v>60</v>
      </c>
      <c r="C35" s="81">
        <v>43622</v>
      </c>
    </row>
    <row r="36" spans="1:10" ht="15.75" x14ac:dyDescent="0.25">
      <c r="A36" s="78" t="s">
        <v>160</v>
      </c>
      <c r="B36" s="78">
        <v>111</v>
      </c>
      <c r="C36" s="81">
        <v>43625</v>
      </c>
      <c r="G36">
        <f>G31-G33</f>
        <v>706</v>
      </c>
    </row>
    <row r="37" spans="1:10" ht="15.75" x14ac:dyDescent="0.25">
      <c r="A37" s="78" t="s">
        <v>233</v>
      </c>
      <c r="B37" s="78">
        <v>186</v>
      </c>
      <c r="C37" s="81">
        <v>43625</v>
      </c>
      <c r="J37">
        <f>J34-J26</f>
        <v>5909</v>
      </c>
    </row>
    <row r="38" spans="1:10" ht="15.75" x14ac:dyDescent="0.25">
      <c r="A38" s="78" t="s">
        <v>225</v>
      </c>
      <c r="B38" s="78">
        <v>240</v>
      </c>
      <c r="C38" s="81">
        <v>43625</v>
      </c>
    </row>
    <row r="39" spans="1:10" ht="15.75" x14ac:dyDescent="0.25">
      <c r="A39" s="78" t="s">
        <v>109</v>
      </c>
      <c r="B39" s="78">
        <v>1000</v>
      </c>
      <c r="C39" s="81">
        <v>43625</v>
      </c>
    </row>
    <row r="40" spans="1:10" ht="15.75" x14ac:dyDescent="0.25">
      <c r="A40" s="78" t="s">
        <v>160</v>
      </c>
      <c r="B40" s="78">
        <v>35</v>
      </c>
      <c r="C40" s="81">
        <v>43627</v>
      </c>
    </row>
    <row r="41" spans="1:10" ht="15.75" x14ac:dyDescent="0.25">
      <c r="A41" s="78" t="s">
        <v>8</v>
      </c>
      <c r="B41" s="78">
        <v>238</v>
      </c>
      <c r="C41" s="81">
        <v>43627</v>
      </c>
    </row>
    <row r="42" spans="1:10" ht="15.75" x14ac:dyDescent="0.25">
      <c r="A42" s="78" t="s">
        <v>180</v>
      </c>
      <c r="B42" s="78">
        <v>270</v>
      </c>
      <c r="C42" s="81">
        <v>43628</v>
      </c>
      <c r="D42" t="s">
        <v>234</v>
      </c>
    </row>
    <row r="43" spans="1:10" ht="15.75" x14ac:dyDescent="0.25">
      <c r="A43" s="78" t="s">
        <v>160</v>
      </c>
      <c r="B43" s="78">
        <v>38</v>
      </c>
      <c r="C43" s="81">
        <v>43632</v>
      </c>
    </row>
    <row r="44" spans="1:10" ht="15.75" x14ac:dyDescent="0.25">
      <c r="A44" s="78" t="s">
        <v>8</v>
      </c>
      <c r="B44" s="78">
        <v>144</v>
      </c>
      <c r="C44" s="81">
        <v>43632</v>
      </c>
    </row>
    <row r="45" spans="1:10" ht="15.75" x14ac:dyDescent="0.25">
      <c r="A45" s="78" t="s">
        <v>160</v>
      </c>
      <c r="B45" s="78">
        <v>38</v>
      </c>
      <c r="C45" s="81">
        <v>43632</v>
      </c>
      <c r="D45" t="s">
        <v>234</v>
      </c>
    </row>
    <row r="46" spans="1:10" ht="15.75" x14ac:dyDescent="0.25">
      <c r="A46" s="78" t="s">
        <v>8</v>
      </c>
      <c r="B46" s="78">
        <v>250</v>
      </c>
      <c r="C46" s="81">
        <v>43633</v>
      </c>
    </row>
    <row r="47" spans="1:10" ht="15.75" x14ac:dyDescent="0.25">
      <c r="A47" s="78" t="s">
        <v>235</v>
      </c>
      <c r="B47" s="78">
        <v>110</v>
      </c>
      <c r="C47" s="81">
        <v>43633</v>
      </c>
    </row>
    <row r="48" spans="1:10" ht="15.75" x14ac:dyDescent="0.25">
      <c r="A48" s="78" t="s">
        <v>160</v>
      </c>
      <c r="B48" s="78">
        <v>38</v>
      </c>
      <c r="C48" s="81">
        <v>43634</v>
      </c>
      <c r="D48" t="s">
        <v>236</v>
      </c>
    </row>
    <row r="49" spans="1:3" ht="15.75" x14ac:dyDescent="0.25">
      <c r="A49" s="78" t="s">
        <v>180</v>
      </c>
      <c r="B49" s="78">
        <v>60</v>
      </c>
      <c r="C49" s="81">
        <v>43637</v>
      </c>
    </row>
    <row r="50" spans="1:3" ht="15.75" x14ac:dyDescent="0.25">
      <c r="A50" s="78" t="s">
        <v>160</v>
      </c>
      <c r="B50" s="78">
        <v>38</v>
      </c>
      <c r="C50" s="81">
        <v>43637</v>
      </c>
    </row>
    <row r="51" spans="1:3" ht="15.75" x14ac:dyDescent="0.25">
      <c r="A51" s="78" t="s">
        <v>8</v>
      </c>
      <c r="B51" s="78">
        <v>419</v>
      </c>
      <c r="C51" s="81">
        <v>43637</v>
      </c>
    </row>
    <row r="52" spans="1:3" ht="15.75" x14ac:dyDescent="0.25">
      <c r="A52" s="78" t="s">
        <v>180</v>
      </c>
      <c r="B52" s="78">
        <v>105</v>
      </c>
      <c r="C52" s="81">
        <v>43637</v>
      </c>
    </row>
    <row r="53" spans="1:3" ht="15.75" x14ac:dyDescent="0.25">
      <c r="A53" s="78" t="s">
        <v>237</v>
      </c>
      <c r="B53" s="78">
        <v>172</v>
      </c>
      <c r="C53" s="81">
        <v>43638</v>
      </c>
    </row>
    <row r="54" spans="1:3" ht="15.75" x14ac:dyDescent="0.25">
      <c r="A54" s="78" t="s">
        <v>16</v>
      </c>
      <c r="B54" s="78">
        <v>800</v>
      </c>
      <c r="C54" s="81">
        <v>43638</v>
      </c>
    </row>
    <row r="55" spans="1:3" ht="15.75" x14ac:dyDescent="0.25">
      <c r="A55" s="78" t="s">
        <v>225</v>
      </c>
      <c r="B55" s="78">
        <v>310</v>
      </c>
      <c r="C55" s="81">
        <v>43639</v>
      </c>
    </row>
    <row r="56" spans="1:3" ht="15.75" x14ac:dyDescent="0.25">
      <c r="A56" s="78" t="s">
        <v>160</v>
      </c>
      <c r="B56" s="78">
        <v>35</v>
      </c>
      <c r="C56" s="81">
        <v>43639</v>
      </c>
    </row>
    <row r="57" spans="1:3" ht="15.75" x14ac:dyDescent="0.25">
      <c r="A57" s="78" t="s">
        <v>160</v>
      </c>
      <c r="B57" s="78">
        <v>40</v>
      </c>
      <c r="C57" s="81">
        <v>43642</v>
      </c>
    </row>
    <row r="58" spans="1:3" ht="15.75" x14ac:dyDescent="0.25">
      <c r="A58" s="78" t="s">
        <v>180</v>
      </c>
      <c r="B58" s="78">
        <v>105</v>
      </c>
      <c r="C58" s="81">
        <v>43642</v>
      </c>
    </row>
    <row r="59" spans="1:3" ht="15.75" x14ac:dyDescent="0.25">
      <c r="A59" s="78" t="s">
        <v>238</v>
      </c>
      <c r="B59" s="78">
        <v>56</v>
      </c>
      <c r="C59" s="81">
        <v>43642</v>
      </c>
    </row>
    <row r="60" spans="1:3" ht="15.75" x14ac:dyDescent="0.25">
      <c r="A60" s="78" t="s">
        <v>8</v>
      </c>
      <c r="B60" s="78">
        <v>328</v>
      </c>
      <c r="C60" s="81">
        <v>43644</v>
      </c>
    </row>
    <row r="61" spans="1:3" ht="15.75" x14ac:dyDescent="0.25">
      <c r="A61" s="78" t="s">
        <v>180</v>
      </c>
      <c r="B61" s="78">
        <v>105</v>
      </c>
      <c r="C61" s="81">
        <v>43645</v>
      </c>
    </row>
    <row r="62" spans="1:3" ht="15.75" x14ac:dyDescent="0.25">
      <c r="A62" s="78" t="s">
        <v>239</v>
      </c>
      <c r="B62" s="78">
        <v>326</v>
      </c>
      <c r="C62" s="81">
        <v>43645</v>
      </c>
    </row>
    <row r="63" spans="1:3" ht="15.75" x14ac:dyDescent="0.25">
      <c r="A63" s="78" t="s">
        <v>205</v>
      </c>
      <c r="B63" s="78">
        <v>330</v>
      </c>
      <c r="C63" s="81">
        <v>43645</v>
      </c>
    </row>
    <row r="64" spans="1:3" ht="15.75" x14ac:dyDescent="0.25">
      <c r="A64" s="78" t="s">
        <v>115</v>
      </c>
      <c r="B64" s="78">
        <v>25</v>
      </c>
      <c r="C64" s="81">
        <v>43646</v>
      </c>
    </row>
    <row r="65" spans="1:3" ht="15.75" x14ac:dyDescent="0.25">
      <c r="A65" s="78" t="s">
        <v>160</v>
      </c>
      <c r="B65" s="78">
        <v>35</v>
      </c>
      <c r="C65" s="81">
        <v>43646</v>
      </c>
    </row>
    <row r="66" spans="1:3" ht="15.75" x14ac:dyDescent="0.25">
      <c r="A66" s="78" t="s">
        <v>240</v>
      </c>
      <c r="B66" s="78">
        <v>945</v>
      </c>
      <c r="C66" s="81">
        <v>43646</v>
      </c>
    </row>
    <row r="67" spans="1:3" ht="15.75" x14ac:dyDescent="0.25">
      <c r="A67" s="78"/>
      <c r="B67" s="78"/>
      <c r="C67" s="81"/>
    </row>
    <row r="68" spans="1:3" x14ac:dyDescent="0.25">
      <c r="A68" t="s">
        <v>17</v>
      </c>
      <c r="B68">
        <f>SUM(B25:B66)</f>
        <v>26114</v>
      </c>
    </row>
    <row r="70" spans="1:3" x14ac:dyDescent="0.25">
      <c r="A70" t="s">
        <v>216</v>
      </c>
      <c r="B70">
        <f>C23-B68</f>
        <v>646</v>
      </c>
    </row>
  </sheetData>
  <mergeCells count="1">
    <mergeCell ref="A23:B23"/>
  </mergeCell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B73" sqref="B73"/>
    </sheetView>
  </sheetViews>
  <sheetFormatPr defaultRowHeight="15" x14ac:dyDescent="0.25"/>
  <cols>
    <col min="1" max="1" width="28.7109375" bestFit="1" customWidth="1"/>
    <col min="2" max="2" width="8.140625" bestFit="1" customWidth="1"/>
    <col min="3" max="3" width="10.42578125" bestFit="1" customWidth="1"/>
    <col min="6" max="6" width="10.42578125" bestFit="1" customWidth="1"/>
    <col min="8" max="8" width="10.42578125" bestFit="1" customWidth="1"/>
    <col min="9" max="9" width="16.42578125" bestFit="1" customWidth="1"/>
    <col min="10" max="10" width="7.7109375" bestFit="1" customWidth="1"/>
    <col min="11" max="11" width="11.85546875" bestFit="1" customWidth="1"/>
    <col min="12" max="12" width="10.5703125" customWidth="1"/>
  </cols>
  <sheetData>
    <row r="1" spans="1:12" ht="15.75" x14ac:dyDescent="0.25">
      <c r="A1" s="77" t="s">
        <v>48</v>
      </c>
      <c r="B1" s="77" t="s">
        <v>89</v>
      </c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5.75" x14ac:dyDescent="0.25">
      <c r="A2" s="78" t="s">
        <v>185</v>
      </c>
      <c r="B2" s="78">
        <f>-'Jun-19'!B70</f>
        <v>-646</v>
      </c>
      <c r="C2" s="70"/>
      <c r="D2" s="70">
        <f t="shared" ref="D2:D9" si="0">B2/4</f>
        <v>-161.5</v>
      </c>
      <c r="E2" s="70">
        <v>4.5</v>
      </c>
      <c r="F2" s="70">
        <v>0.5</v>
      </c>
      <c r="G2" s="70"/>
      <c r="H2" s="70"/>
      <c r="I2" s="70"/>
      <c r="J2" s="70"/>
      <c r="K2" s="70"/>
      <c r="L2" s="70"/>
    </row>
    <row r="3" spans="1:12" ht="15.75" x14ac:dyDescent="0.25">
      <c r="A3" s="78" t="s">
        <v>16</v>
      </c>
      <c r="B3" s="78">
        <v>0</v>
      </c>
      <c r="C3" s="70"/>
      <c r="D3" s="82">
        <f t="shared" si="0"/>
        <v>0</v>
      </c>
      <c r="E3" s="70"/>
      <c r="F3" s="70"/>
      <c r="G3" s="70"/>
      <c r="H3" s="70"/>
      <c r="I3" s="70"/>
      <c r="J3" s="70"/>
      <c r="K3" s="70"/>
      <c r="L3" s="70"/>
    </row>
    <row r="4" spans="1:12" ht="15.75" x14ac:dyDescent="0.25">
      <c r="A4" s="78" t="s">
        <v>109</v>
      </c>
      <c r="B4" s="78">
        <v>1000</v>
      </c>
      <c r="C4" s="70"/>
      <c r="D4" s="70">
        <f t="shared" si="0"/>
        <v>250</v>
      </c>
      <c r="E4" s="70">
        <f t="shared" ref="E4:E13" si="1">B4/4.5</f>
        <v>222.22222222222223</v>
      </c>
      <c r="F4" s="70">
        <f t="shared" ref="F4:F12" si="2">E4/2</f>
        <v>111.11111111111111</v>
      </c>
      <c r="G4" s="70"/>
      <c r="H4" s="70"/>
      <c r="I4" s="70"/>
      <c r="J4" s="70"/>
      <c r="K4" s="70"/>
      <c r="L4" s="70"/>
    </row>
    <row r="5" spans="1:12" ht="15.75" x14ac:dyDescent="0.25">
      <c r="A5" s="78" t="s">
        <v>114</v>
      </c>
      <c r="B5" s="78">
        <v>1500</v>
      </c>
      <c r="C5" s="70"/>
      <c r="D5" s="70">
        <f t="shared" si="0"/>
        <v>375</v>
      </c>
      <c r="E5" s="70">
        <f t="shared" si="1"/>
        <v>333.33333333333331</v>
      </c>
      <c r="F5" s="70">
        <f t="shared" si="2"/>
        <v>166.66666666666666</v>
      </c>
      <c r="G5" s="70"/>
      <c r="H5" s="70"/>
      <c r="I5" s="70"/>
      <c r="J5" s="70"/>
      <c r="K5" s="70"/>
      <c r="L5" s="70"/>
    </row>
    <row r="6" spans="1:12" ht="15.75" x14ac:dyDescent="0.25">
      <c r="A6" s="78" t="s">
        <v>8</v>
      </c>
      <c r="B6" s="78">
        <v>2000</v>
      </c>
      <c r="C6" s="70"/>
      <c r="D6" s="70">
        <f t="shared" si="0"/>
        <v>500</v>
      </c>
      <c r="E6" s="70">
        <f t="shared" si="1"/>
        <v>444.44444444444446</v>
      </c>
      <c r="F6" s="70">
        <f t="shared" si="2"/>
        <v>222.22222222222223</v>
      </c>
      <c r="G6" s="70"/>
      <c r="H6" s="71"/>
      <c r="I6" s="76" t="s">
        <v>229</v>
      </c>
      <c r="J6" s="72" t="s">
        <v>188</v>
      </c>
      <c r="K6" s="72" t="s">
        <v>189</v>
      </c>
      <c r="L6" s="72" t="s">
        <v>76</v>
      </c>
    </row>
    <row r="7" spans="1:12" ht="15.75" x14ac:dyDescent="0.25">
      <c r="A7" s="78" t="s">
        <v>230</v>
      </c>
      <c r="B7" s="78">
        <v>700</v>
      </c>
      <c r="C7" s="70"/>
      <c r="D7" s="70">
        <f t="shared" si="0"/>
        <v>175</v>
      </c>
      <c r="E7" s="70">
        <f t="shared" si="1"/>
        <v>155.55555555555554</v>
      </c>
      <c r="F7" s="70">
        <f t="shared" si="2"/>
        <v>77.777777777777771</v>
      </c>
      <c r="G7" s="70"/>
      <c r="H7" s="71" t="s">
        <v>9</v>
      </c>
      <c r="I7" s="71">
        <v>6500</v>
      </c>
      <c r="J7" s="71"/>
      <c r="K7" s="78">
        <f>I7-J7</f>
        <v>6500</v>
      </c>
      <c r="L7" s="78"/>
    </row>
    <row r="8" spans="1:12" ht="15.75" x14ac:dyDescent="0.25">
      <c r="A8" s="78" t="s">
        <v>160</v>
      </c>
      <c r="B8" s="78">
        <v>700</v>
      </c>
      <c r="C8" s="70"/>
      <c r="D8" s="70">
        <f t="shared" si="0"/>
        <v>175</v>
      </c>
      <c r="E8" s="70">
        <f t="shared" si="1"/>
        <v>155.55555555555554</v>
      </c>
      <c r="F8" s="70">
        <f t="shared" si="2"/>
        <v>77.777777777777771</v>
      </c>
      <c r="G8" s="70"/>
      <c r="H8" s="71" t="s">
        <v>103</v>
      </c>
      <c r="I8" s="71">
        <v>6500</v>
      </c>
      <c r="J8" s="71"/>
      <c r="K8" s="78">
        <f>I8-J8</f>
        <v>6500</v>
      </c>
      <c r="L8" s="78"/>
    </row>
    <row r="9" spans="1:12" ht="15.75" x14ac:dyDescent="0.25">
      <c r="A9" s="78" t="s">
        <v>14</v>
      </c>
      <c r="B9" s="78">
        <v>10000</v>
      </c>
      <c r="C9" s="70"/>
      <c r="D9" s="70">
        <f t="shared" si="0"/>
        <v>2500</v>
      </c>
      <c r="E9" s="70">
        <f t="shared" si="1"/>
        <v>2222.2222222222222</v>
      </c>
      <c r="F9" s="70"/>
      <c r="G9" s="70"/>
      <c r="H9" s="71" t="s">
        <v>93</v>
      </c>
      <c r="I9" s="71">
        <v>6500</v>
      </c>
      <c r="J9" s="71">
        <v>660</v>
      </c>
      <c r="K9" s="78">
        <f>I9-J9</f>
        <v>5840</v>
      </c>
      <c r="L9" s="78"/>
    </row>
    <row r="10" spans="1:12" ht="15.75" x14ac:dyDescent="0.25">
      <c r="A10" s="78" t="s">
        <v>105</v>
      </c>
      <c r="B10" s="78">
        <v>5500</v>
      </c>
      <c r="C10" s="70"/>
      <c r="D10" s="70">
        <f t="shared" ref="D10:D15" si="3">B10/4</f>
        <v>1375</v>
      </c>
      <c r="E10" s="70">
        <f t="shared" si="1"/>
        <v>1222.2222222222222</v>
      </c>
      <c r="F10" s="70"/>
      <c r="G10" s="70"/>
      <c r="H10" s="73" t="s">
        <v>207</v>
      </c>
      <c r="I10" s="71">
        <v>6500</v>
      </c>
      <c r="J10" s="71"/>
      <c r="K10" s="78">
        <f>I10-J10</f>
        <v>6500</v>
      </c>
      <c r="L10" s="78"/>
    </row>
    <row r="11" spans="1:12" ht="15.75" x14ac:dyDescent="0.25">
      <c r="A11" s="78" t="s">
        <v>184</v>
      </c>
      <c r="B11" s="78">
        <v>1500</v>
      </c>
      <c r="C11" s="70"/>
      <c r="D11" s="70">
        <f t="shared" si="3"/>
        <v>375</v>
      </c>
      <c r="E11" s="70">
        <f t="shared" si="1"/>
        <v>333.33333333333331</v>
      </c>
      <c r="F11" s="70"/>
      <c r="G11" s="70"/>
      <c r="H11" s="73" t="s">
        <v>241</v>
      </c>
      <c r="I11" s="71">
        <v>911</v>
      </c>
      <c r="J11" s="71"/>
      <c r="K11" s="78">
        <f>I11-J11</f>
        <v>911</v>
      </c>
      <c r="L11" s="78"/>
    </row>
    <row r="12" spans="1:12" ht="15.75" x14ac:dyDescent="0.25">
      <c r="A12" s="78" t="s">
        <v>19</v>
      </c>
      <c r="B12" s="78">
        <v>1800</v>
      </c>
      <c r="C12" s="70"/>
      <c r="D12" s="70">
        <f t="shared" si="3"/>
        <v>450</v>
      </c>
      <c r="E12" s="70">
        <f t="shared" si="1"/>
        <v>400</v>
      </c>
      <c r="F12" s="70">
        <f t="shared" si="2"/>
        <v>200</v>
      </c>
      <c r="G12" s="70"/>
      <c r="H12" s="70"/>
      <c r="I12" s="70"/>
      <c r="J12" s="70"/>
      <c r="K12" s="70"/>
      <c r="L12" s="70"/>
    </row>
    <row r="13" spans="1:12" ht="15.75" x14ac:dyDescent="0.25">
      <c r="A13" s="78" t="s">
        <v>20</v>
      </c>
      <c r="B13" s="78">
        <v>945</v>
      </c>
      <c r="C13" s="70"/>
      <c r="D13" s="70">
        <f t="shared" si="3"/>
        <v>236.25</v>
      </c>
      <c r="E13" s="70">
        <f t="shared" si="1"/>
        <v>210</v>
      </c>
      <c r="F13" s="70"/>
      <c r="G13" s="70"/>
      <c r="H13" s="70"/>
      <c r="I13" s="70"/>
      <c r="J13" s="70"/>
      <c r="K13" s="70"/>
      <c r="L13" s="70"/>
    </row>
    <row r="14" spans="1:12" ht="15.75" x14ac:dyDescent="0.25">
      <c r="A14" s="78" t="s">
        <v>31</v>
      </c>
      <c r="B14" s="78">
        <v>680</v>
      </c>
      <c r="C14" s="70"/>
      <c r="D14" s="70">
        <f t="shared" si="3"/>
        <v>170</v>
      </c>
      <c r="E14" s="70">
        <v>0</v>
      </c>
      <c r="F14" s="70"/>
      <c r="G14" s="70"/>
      <c r="H14" s="70"/>
      <c r="I14" s="70"/>
      <c r="J14" s="70"/>
      <c r="K14" s="70"/>
      <c r="L14" s="70"/>
    </row>
    <row r="15" spans="1:12" ht="15.75" x14ac:dyDescent="0.25">
      <c r="A15" s="78" t="s">
        <v>242</v>
      </c>
      <c r="B15" s="78">
        <v>500</v>
      </c>
      <c r="C15" s="70"/>
      <c r="D15" s="70">
        <f t="shared" si="3"/>
        <v>125</v>
      </c>
      <c r="E15" s="70">
        <f>B15/4.5</f>
        <v>111.11111111111111</v>
      </c>
      <c r="F15" s="70">
        <f>E15/2</f>
        <v>55.555555555555557</v>
      </c>
      <c r="G15" s="70"/>
      <c r="H15" s="70"/>
      <c r="I15" s="70"/>
      <c r="J15" s="70"/>
      <c r="K15" s="70"/>
      <c r="L15" s="70"/>
    </row>
    <row r="16" spans="1:12" ht="18" x14ac:dyDescent="0.3">
      <c r="A16" s="74" t="s">
        <v>17</v>
      </c>
      <c r="B16" s="75">
        <f>SUM(B2:B15)</f>
        <v>26179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</row>
    <row r="17" spans="1:12" x14ac:dyDescent="0.25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</row>
    <row r="18" spans="1:12" ht="18" x14ac:dyDescent="0.3">
      <c r="A18" s="6" t="s">
        <v>190</v>
      </c>
      <c r="B18" s="75">
        <f>B16/4</f>
        <v>6544.75</v>
      </c>
      <c r="C18" s="70"/>
      <c r="D18" s="70">
        <f>SUM(D2:D17)</f>
        <v>6544.75</v>
      </c>
      <c r="E18" s="70">
        <f>SUM(E4:E17)</f>
        <v>5810</v>
      </c>
      <c r="F18" s="70">
        <f>SUM(F4:F17)</f>
        <v>911.1111111111112</v>
      </c>
      <c r="G18" s="70"/>
      <c r="H18" s="70"/>
      <c r="I18" s="70"/>
      <c r="J18" s="70"/>
      <c r="K18" s="70"/>
      <c r="L18" s="70"/>
    </row>
    <row r="23" spans="1:12" x14ac:dyDescent="0.25">
      <c r="F23" t="s">
        <v>213</v>
      </c>
      <c r="G23">
        <f>SUM(L7:L11)</f>
        <v>0</v>
      </c>
      <c r="H23" t="s">
        <v>213</v>
      </c>
      <c r="I23">
        <f>SUM(L7:L11)</f>
        <v>0</v>
      </c>
    </row>
    <row r="24" spans="1:12" x14ac:dyDescent="0.25">
      <c r="A24" s="105" t="s">
        <v>209</v>
      </c>
      <c r="B24" s="105"/>
      <c r="C24" s="79">
        <f>SUM(K7:K11)</f>
        <v>26251</v>
      </c>
      <c r="F24" t="s">
        <v>231</v>
      </c>
      <c r="G24">
        <f>B26+B27+B28+B33</f>
        <v>18386</v>
      </c>
      <c r="H24" t="s">
        <v>232</v>
      </c>
      <c r="I24">
        <f>B71</f>
        <v>27258</v>
      </c>
    </row>
    <row r="25" spans="1:12" ht="15.75" x14ac:dyDescent="0.25">
      <c r="A25" s="77" t="s">
        <v>48</v>
      </c>
      <c r="B25" s="77" t="s">
        <v>89</v>
      </c>
      <c r="C25" s="77" t="s">
        <v>210</v>
      </c>
    </row>
    <row r="26" spans="1:12" ht="15.75" x14ac:dyDescent="0.25">
      <c r="A26" s="78" t="s">
        <v>14</v>
      </c>
      <c r="B26" s="78">
        <v>10000</v>
      </c>
      <c r="C26" s="81">
        <v>43648</v>
      </c>
    </row>
    <row r="27" spans="1:12" ht="15.75" x14ac:dyDescent="0.25">
      <c r="A27" s="78" t="s">
        <v>105</v>
      </c>
      <c r="B27" s="78">
        <v>5500</v>
      </c>
      <c r="C27" s="81">
        <v>43648</v>
      </c>
      <c r="F27" t="s">
        <v>216</v>
      </c>
      <c r="G27">
        <f>G23-G24</f>
        <v>-18386</v>
      </c>
      <c r="H27" t="s">
        <v>216</v>
      </c>
      <c r="I27">
        <f>I23-I24</f>
        <v>-27258</v>
      </c>
    </row>
    <row r="28" spans="1:12" ht="15.75" x14ac:dyDescent="0.25">
      <c r="A28" s="78" t="s">
        <v>184</v>
      </c>
      <c r="B28" s="78">
        <v>1500</v>
      </c>
      <c r="C28" s="81">
        <v>43650</v>
      </c>
    </row>
    <row r="29" spans="1:12" ht="15.75" x14ac:dyDescent="0.25">
      <c r="A29" s="78" t="s">
        <v>19</v>
      </c>
      <c r="B29" s="78">
        <v>1800</v>
      </c>
      <c r="C29" s="81">
        <v>43650</v>
      </c>
    </row>
    <row r="30" spans="1:12" ht="15.75" x14ac:dyDescent="0.25">
      <c r="A30" s="78" t="s">
        <v>243</v>
      </c>
      <c r="B30" s="78">
        <v>178</v>
      </c>
      <c r="C30" s="81">
        <v>43649</v>
      </c>
    </row>
    <row r="31" spans="1:12" ht="15.75" x14ac:dyDescent="0.25">
      <c r="A31" s="78" t="s">
        <v>8</v>
      </c>
      <c r="B31" s="78">
        <v>170</v>
      </c>
      <c r="C31" s="81">
        <v>43649</v>
      </c>
    </row>
    <row r="32" spans="1:12" ht="15.75" x14ac:dyDescent="0.25">
      <c r="A32" s="78" t="s">
        <v>180</v>
      </c>
      <c r="B32" s="78">
        <v>105</v>
      </c>
      <c r="C32" s="81">
        <v>43652</v>
      </c>
    </row>
    <row r="33" spans="1:3" ht="15.75" x14ac:dyDescent="0.25">
      <c r="A33" s="78" t="s">
        <v>114</v>
      </c>
      <c r="B33" s="78">
        <v>1386</v>
      </c>
      <c r="C33" s="81">
        <v>43649</v>
      </c>
    </row>
    <row r="34" spans="1:3" ht="15.75" x14ac:dyDescent="0.25">
      <c r="A34" s="78" t="s">
        <v>160</v>
      </c>
      <c r="B34" s="78">
        <v>40</v>
      </c>
      <c r="C34" s="81">
        <v>43656</v>
      </c>
    </row>
    <row r="35" spans="1:3" ht="15.75" x14ac:dyDescent="0.25">
      <c r="A35" s="78" t="s">
        <v>8</v>
      </c>
      <c r="B35" s="78">
        <v>73</v>
      </c>
      <c r="C35" s="81">
        <v>43657</v>
      </c>
    </row>
    <row r="36" spans="1:3" ht="15.75" x14ac:dyDescent="0.25">
      <c r="A36" s="78" t="s">
        <v>203</v>
      </c>
      <c r="B36" s="78">
        <v>55</v>
      </c>
      <c r="C36" s="81">
        <v>43659</v>
      </c>
    </row>
    <row r="37" spans="1:3" ht="15.75" x14ac:dyDescent="0.25">
      <c r="A37" s="78" t="s">
        <v>180</v>
      </c>
      <c r="B37" s="78">
        <v>105</v>
      </c>
      <c r="C37" s="81">
        <v>43659</v>
      </c>
    </row>
    <row r="38" spans="1:3" ht="15.75" x14ac:dyDescent="0.25">
      <c r="A38" s="78" t="s">
        <v>160</v>
      </c>
      <c r="B38" s="78">
        <v>75</v>
      </c>
      <c r="C38" s="81">
        <v>43659</v>
      </c>
    </row>
    <row r="39" spans="1:3" ht="15.75" x14ac:dyDescent="0.25">
      <c r="A39" s="78" t="s">
        <v>8</v>
      </c>
      <c r="B39" s="78">
        <v>400</v>
      </c>
      <c r="C39" s="81">
        <v>43660</v>
      </c>
    </row>
    <row r="40" spans="1:3" ht="15.75" x14ac:dyDescent="0.25">
      <c r="A40" s="78" t="s">
        <v>160</v>
      </c>
      <c r="B40" s="78">
        <v>35</v>
      </c>
      <c r="C40" s="81">
        <v>43660</v>
      </c>
    </row>
    <row r="41" spans="1:3" ht="15.75" x14ac:dyDescent="0.25">
      <c r="A41" s="78" t="s">
        <v>244</v>
      </c>
      <c r="B41" s="78">
        <v>35</v>
      </c>
      <c r="C41" s="81">
        <v>43660</v>
      </c>
    </row>
    <row r="42" spans="1:3" ht="15.75" x14ac:dyDescent="0.25">
      <c r="A42" s="78" t="s">
        <v>225</v>
      </c>
      <c r="B42" s="78">
        <v>200</v>
      </c>
      <c r="C42" s="81">
        <v>43660</v>
      </c>
    </row>
    <row r="43" spans="1:3" ht="15.75" x14ac:dyDescent="0.25">
      <c r="A43" s="78" t="s">
        <v>245</v>
      </c>
      <c r="B43" s="78">
        <v>680</v>
      </c>
      <c r="C43" s="81">
        <v>43661</v>
      </c>
    </row>
    <row r="44" spans="1:3" ht="15.75" x14ac:dyDescent="0.25">
      <c r="A44" s="78" t="s">
        <v>246</v>
      </c>
      <c r="B44" s="78">
        <v>134</v>
      </c>
      <c r="C44" s="81">
        <v>43663</v>
      </c>
    </row>
    <row r="45" spans="1:3" ht="15.75" x14ac:dyDescent="0.25">
      <c r="A45" s="78" t="s">
        <v>180</v>
      </c>
      <c r="B45" s="78">
        <v>140</v>
      </c>
      <c r="C45" s="81">
        <v>43665</v>
      </c>
    </row>
    <row r="46" spans="1:3" ht="15.75" x14ac:dyDescent="0.25">
      <c r="A46" s="78" t="s">
        <v>160</v>
      </c>
      <c r="B46" s="78">
        <v>38</v>
      </c>
      <c r="C46" s="81">
        <v>43665</v>
      </c>
    </row>
    <row r="47" spans="1:3" ht="15.75" x14ac:dyDescent="0.25">
      <c r="A47" s="78" t="s">
        <v>247</v>
      </c>
      <c r="B47" s="78">
        <v>450</v>
      </c>
      <c r="C47" s="81">
        <v>43668</v>
      </c>
    </row>
    <row r="48" spans="1:3" ht="15.75" x14ac:dyDescent="0.25">
      <c r="A48" s="78" t="s">
        <v>109</v>
      </c>
      <c r="B48" s="78">
        <v>1020</v>
      </c>
      <c r="C48" s="81">
        <v>43669</v>
      </c>
    </row>
    <row r="49" spans="1:7" ht="15.75" x14ac:dyDescent="0.25">
      <c r="A49" s="78" t="s">
        <v>248</v>
      </c>
      <c r="B49" s="78">
        <v>114</v>
      </c>
      <c r="C49" s="81">
        <v>43669</v>
      </c>
    </row>
    <row r="50" spans="1:7" ht="15.75" x14ac:dyDescent="0.25">
      <c r="A50" s="78" t="s">
        <v>249</v>
      </c>
      <c r="B50" s="78">
        <v>55</v>
      </c>
      <c r="C50" s="81">
        <v>43669</v>
      </c>
    </row>
    <row r="51" spans="1:7" ht="15.75" x14ac:dyDescent="0.25">
      <c r="A51" s="78" t="s">
        <v>250</v>
      </c>
      <c r="B51" s="78">
        <v>40</v>
      </c>
      <c r="C51" s="81">
        <v>43669</v>
      </c>
    </row>
    <row r="52" spans="1:7" ht="15.75" x14ac:dyDescent="0.25">
      <c r="A52" s="78" t="s">
        <v>251</v>
      </c>
      <c r="B52" s="78">
        <v>1500</v>
      </c>
      <c r="C52" s="81"/>
      <c r="D52" t="s">
        <v>252</v>
      </c>
    </row>
    <row r="53" spans="1:7" ht="15.75" x14ac:dyDescent="0.25">
      <c r="A53" s="78" t="s">
        <v>160</v>
      </c>
      <c r="B53" s="78">
        <v>76</v>
      </c>
      <c r="C53" s="81">
        <v>43673</v>
      </c>
    </row>
    <row r="54" spans="1:7" ht="15.75" x14ac:dyDescent="0.25">
      <c r="A54" s="78" t="s">
        <v>253</v>
      </c>
      <c r="B54" s="78">
        <v>75</v>
      </c>
      <c r="C54" s="81">
        <v>43673</v>
      </c>
    </row>
    <row r="55" spans="1:7" ht="15.75" x14ac:dyDescent="0.25">
      <c r="A55" s="78" t="s">
        <v>254</v>
      </c>
      <c r="B55" s="78">
        <v>180</v>
      </c>
      <c r="C55" s="81">
        <v>43673</v>
      </c>
    </row>
    <row r="56" spans="1:7" ht="15.75" x14ac:dyDescent="0.25">
      <c r="A56" s="78" t="s">
        <v>8</v>
      </c>
      <c r="B56" s="78">
        <v>226</v>
      </c>
      <c r="C56" s="81">
        <v>43673</v>
      </c>
    </row>
    <row r="57" spans="1:7" ht="15.75" x14ac:dyDescent="0.25">
      <c r="A57" s="78" t="s">
        <v>180</v>
      </c>
      <c r="B57" s="78">
        <v>140</v>
      </c>
      <c r="C57" s="81">
        <v>43673</v>
      </c>
    </row>
    <row r="58" spans="1:7" ht="15.75" x14ac:dyDescent="0.25">
      <c r="A58" s="78" t="s">
        <v>255</v>
      </c>
      <c r="B58" s="78">
        <v>30</v>
      </c>
      <c r="C58" s="81">
        <v>43674</v>
      </c>
    </row>
    <row r="59" spans="1:7" ht="15.75" x14ac:dyDescent="0.25">
      <c r="A59" s="78" t="s">
        <v>103</v>
      </c>
      <c r="B59" s="78">
        <v>150</v>
      </c>
      <c r="C59" s="81">
        <v>43674</v>
      </c>
      <c r="D59" t="s">
        <v>256</v>
      </c>
    </row>
    <row r="60" spans="1:7" ht="15.75" x14ac:dyDescent="0.25">
      <c r="A60" s="78" t="s">
        <v>257</v>
      </c>
      <c r="B60" s="78">
        <v>10</v>
      </c>
      <c r="C60" s="81">
        <v>43674</v>
      </c>
    </row>
    <row r="61" spans="1:7" ht="15.75" x14ac:dyDescent="0.25">
      <c r="A61" s="78" t="s">
        <v>73</v>
      </c>
      <c r="B61" s="78">
        <v>100</v>
      </c>
      <c r="C61" s="81">
        <v>43674</v>
      </c>
    </row>
    <row r="62" spans="1:7" ht="15.75" x14ac:dyDescent="0.25">
      <c r="A62" s="78" t="s">
        <v>258</v>
      </c>
      <c r="B62" s="78">
        <v>135</v>
      </c>
      <c r="C62" s="81">
        <v>43676</v>
      </c>
    </row>
    <row r="63" spans="1:7" ht="15.75" x14ac:dyDescent="0.25">
      <c r="A63" s="78" t="s">
        <v>20</v>
      </c>
      <c r="B63" s="78">
        <v>942</v>
      </c>
      <c r="C63" s="81">
        <v>43676</v>
      </c>
      <c r="F63">
        <v>942</v>
      </c>
      <c r="G63">
        <f>F63*5%</f>
        <v>47.1</v>
      </c>
    </row>
    <row r="64" spans="1:7" ht="15.75" x14ac:dyDescent="0.25">
      <c r="A64" s="78" t="s">
        <v>259</v>
      </c>
      <c r="B64" s="78">
        <v>30</v>
      </c>
      <c r="C64" s="81">
        <v>43676</v>
      </c>
    </row>
    <row r="65" spans="1:3" ht="15.75" x14ac:dyDescent="0.25">
      <c r="A65" s="78" t="s">
        <v>260</v>
      </c>
      <c r="B65" s="78">
        <v>247</v>
      </c>
      <c r="C65" s="81">
        <v>43676</v>
      </c>
    </row>
    <row r="66" spans="1:3" ht="15.75" x14ac:dyDescent="0.25">
      <c r="A66" s="78"/>
      <c r="B66" s="78">
        <v>-911</v>
      </c>
      <c r="C66" s="81"/>
    </row>
    <row r="67" spans="1:3" ht="15.75" x14ac:dyDescent="0.25">
      <c r="A67" s="78"/>
      <c r="B67" s="78"/>
      <c r="C67" s="81"/>
    </row>
    <row r="68" spans="1:3" ht="15.75" x14ac:dyDescent="0.25">
      <c r="A68" s="78"/>
      <c r="B68" s="78"/>
      <c r="C68" s="81"/>
    </row>
    <row r="69" spans="1:3" ht="15.75" x14ac:dyDescent="0.25">
      <c r="A69" s="78"/>
      <c r="B69" s="78"/>
      <c r="C69" s="81"/>
    </row>
    <row r="70" spans="1:3" ht="15.75" x14ac:dyDescent="0.25">
      <c r="A70" s="78"/>
      <c r="B70" s="78"/>
      <c r="C70" s="81"/>
    </row>
    <row r="71" spans="1:3" x14ac:dyDescent="0.25">
      <c r="A71" t="s">
        <v>17</v>
      </c>
      <c r="B71">
        <f>SUM(B26:B69)</f>
        <v>27258</v>
      </c>
    </row>
    <row r="73" spans="1:3" x14ac:dyDescent="0.25">
      <c r="A73" t="s">
        <v>216</v>
      </c>
      <c r="B73">
        <f>C24-B71</f>
        <v>-1007</v>
      </c>
    </row>
  </sheetData>
  <mergeCells count="1">
    <mergeCell ref="A24:B24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64" workbookViewId="0">
      <selection activeCell="B73" sqref="B73"/>
    </sheetView>
  </sheetViews>
  <sheetFormatPr defaultRowHeight="15" x14ac:dyDescent="0.25"/>
  <cols>
    <col min="1" max="1" width="26.85546875" bestFit="1" customWidth="1"/>
    <col min="2" max="2" width="8.140625" bestFit="1" customWidth="1"/>
    <col min="3" max="3" width="12" bestFit="1" customWidth="1"/>
    <col min="6" max="6" width="10.42578125" bestFit="1" customWidth="1"/>
    <col min="8" max="8" width="10.42578125" bestFit="1" customWidth="1"/>
    <col min="9" max="9" width="16.42578125" bestFit="1" customWidth="1"/>
    <col min="10" max="10" width="7.7109375" bestFit="1" customWidth="1"/>
    <col min="11" max="11" width="11.85546875" bestFit="1" customWidth="1"/>
    <col min="12" max="12" width="10.5703125" customWidth="1"/>
  </cols>
  <sheetData>
    <row r="1" spans="1:13" ht="15.75" x14ac:dyDescent="0.25">
      <c r="A1" s="77" t="s">
        <v>48</v>
      </c>
      <c r="B1" s="77" t="s">
        <v>89</v>
      </c>
      <c r="C1" s="70"/>
      <c r="D1" s="70">
        <v>5</v>
      </c>
      <c r="E1" s="70">
        <v>4.5</v>
      </c>
      <c r="F1" s="70">
        <v>0.5</v>
      </c>
      <c r="G1" s="70"/>
      <c r="H1" s="70"/>
      <c r="I1" s="70"/>
      <c r="J1" s="70"/>
      <c r="K1" s="70"/>
      <c r="L1" s="70"/>
    </row>
    <row r="2" spans="1:13" ht="15.75" x14ac:dyDescent="0.25">
      <c r="A2" s="78" t="s">
        <v>185</v>
      </c>
      <c r="B2" s="78">
        <f>-'Jul-19'!B73</f>
        <v>1007</v>
      </c>
      <c r="C2" s="70"/>
      <c r="D2" s="82">
        <f t="shared" ref="D2:D15" si="0">B2/5</f>
        <v>201.4</v>
      </c>
      <c r="E2" s="70">
        <f>B2/4.5</f>
        <v>223.77777777777777</v>
      </c>
      <c r="F2" s="70">
        <f>E2/2</f>
        <v>111.88888888888889</v>
      </c>
      <c r="G2" s="70"/>
      <c r="H2" s="70"/>
      <c r="I2" s="70"/>
      <c r="J2" s="70"/>
      <c r="K2" s="70"/>
      <c r="L2" s="70"/>
    </row>
    <row r="3" spans="1:13" ht="15.75" x14ac:dyDescent="0.25">
      <c r="A3" s="78" t="s">
        <v>14</v>
      </c>
      <c r="B3" s="78">
        <v>10000</v>
      </c>
      <c r="C3" s="70"/>
      <c r="D3" s="82">
        <f t="shared" si="0"/>
        <v>2000</v>
      </c>
      <c r="E3" s="70">
        <f>B3/4.5</f>
        <v>2222.2222222222222</v>
      </c>
      <c r="F3" s="70">
        <f>E3/2</f>
        <v>1111.1111111111111</v>
      </c>
      <c r="G3" s="70"/>
      <c r="H3" s="70"/>
      <c r="I3" s="70"/>
      <c r="J3" s="70"/>
      <c r="K3" s="70"/>
      <c r="L3" s="70"/>
    </row>
    <row r="4" spans="1:13" ht="15.75" x14ac:dyDescent="0.25">
      <c r="A4" s="78" t="s">
        <v>105</v>
      </c>
      <c r="B4" s="78">
        <v>5500</v>
      </c>
      <c r="C4" s="70"/>
      <c r="D4" s="82">
        <f t="shared" si="0"/>
        <v>1100</v>
      </c>
      <c r="E4" s="70">
        <f>B4/4.5</f>
        <v>1222.2222222222222</v>
      </c>
      <c r="F4" s="70">
        <f>E4/2</f>
        <v>611.11111111111109</v>
      </c>
      <c r="G4" s="70"/>
      <c r="H4" s="70"/>
      <c r="I4" s="70"/>
      <c r="J4" s="70"/>
      <c r="K4" s="70"/>
      <c r="L4" s="70"/>
    </row>
    <row r="5" spans="1:13" ht="15.75" x14ac:dyDescent="0.25">
      <c r="A5" s="78" t="s">
        <v>184</v>
      </c>
      <c r="B5" s="78">
        <v>1500</v>
      </c>
      <c r="C5" s="70"/>
      <c r="D5" s="82">
        <f t="shared" si="0"/>
        <v>300</v>
      </c>
      <c r="E5" s="70">
        <f>B5/4.5</f>
        <v>333.33333333333331</v>
      </c>
      <c r="F5" s="70">
        <f>E5/2</f>
        <v>166.66666666666666</v>
      </c>
      <c r="G5" s="70"/>
      <c r="H5" s="70"/>
      <c r="I5" s="70"/>
      <c r="J5" s="70"/>
      <c r="K5" s="70"/>
      <c r="L5" s="70"/>
    </row>
    <row r="6" spans="1:13" ht="15.75" x14ac:dyDescent="0.25">
      <c r="A6" s="78" t="s">
        <v>19</v>
      </c>
      <c r="B6" s="78">
        <v>1800</v>
      </c>
      <c r="C6" s="70"/>
      <c r="D6" s="82">
        <f t="shared" si="0"/>
        <v>360</v>
      </c>
      <c r="E6" s="70">
        <f>D6</f>
        <v>360</v>
      </c>
      <c r="F6">
        <f>D6</f>
        <v>360</v>
      </c>
      <c r="G6" s="70">
        <v>5</v>
      </c>
      <c r="H6" s="71"/>
      <c r="I6" s="76" t="s">
        <v>229</v>
      </c>
      <c r="J6" s="72" t="s">
        <v>188</v>
      </c>
      <c r="K6" s="72" t="s">
        <v>189</v>
      </c>
      <c r="L6" s="72" t="s">
        <v>76</v>
      </c>
    </row>
    <row r="7" spans="1:13" ht="15.75" x14ac:dyDescent="0.25">
      <c r="A7" s="78" t="s">
        <v>16</v>
      </c>
      <c r="B7" s="78">
        <v>550</v>
      </c>
      <c r="C7" s="70"/>
      <c r="D7" s="82">
        <f t="shared" si="0"/>
        <v>110</v>
      </c>
      <c r="E7" s="70">
        <f>D7</f>
        <v>110</v>
      </c>
      <c r="F7">
        <f>D7</f>
        <v>110</v>
      </c>
      <c r="G7" s="70">
        <v>5</v>
      </c>
      <c r="H7" s="71" t="s">
        <v>9</v>
      </c>
      <c r="I7" s="71">
        <v>6000</v>
      </c>
      <c r="J7" s="71"/>
      <c r="K7" s="78">
        <f>I7-J7</f>
        <v>6000</v>
      </c>
      <c r="L7" s="78">
        <v>6000</v>
      </c>
    </row>
    <row r="8" spans="1:13" ht="15.75" x14ac:dyDescent="0.25">
      <c r="A8" s="78" t="s">
        <v>109</v>
      </c>
      <c r="B8" s="78">
        <v>0</v>
      </c>
      <c r="C8" s="70"/>
      <c r="D8" s="82">
        <f t="shared" si="0"/>
        <v>0</v>
      </c>
      <c r="E8" s="70">
        <f>D8</f>
        <v>0</v>
      </c>
      <c r="F8">
        <f>D8</f>
        <v>0</v>
      </c>
      <c r="G8" s="70">
        <v>5</v>
      </c>
      <c r="H8" s="71" t="s">
        <v>103</v>
      </c>
      <c r="I8" s="71">
        <v>6000</v>
      </c>
      <c r="J8" s="71">
        <v>198</v>
      </c>
      <c r="K8" s="78">
        <f>I8-J8</f>
        <v>5802</v>
      </c>
      <c r="L8" s="78">
        <v>5800</v>
      </c>
    </row>
    <row r="9" spans="1:13" ht="15.75" x14ac:dyDescent="0.25">
      <c r="A9" s="78" t="s">
        <v>20</v>
      </c>
      <c r="B9" s="78">
        <v>950</v>
      </c>
      <c r="C9" s="70"/>
      <c r="D9" s="82">
        <f t="shared" si="0"/>
        <v>190</v>
      </c>
      <c r="E9" s="70">
        <f>B9/4.5</f>
        <v>211.11111111111111</v>
      </c>
      <c r="F9" s="70">
        <f>E9/2</f>
        <v>105.55555555555556</v>
      </c>
      <c r="G9" s="70"/>
      <c r="H9" s="71" t="s">
        <v>93</v>
      </c>
      <c r="I9" s="71">
        <v>6000</v>
      </c>
      <c r="J9" s="71"/>
      <c r="K9" s="78">
        <f>I9-J9</f>
        <v>6000</v>
      </c>
      <c r="L9" s="78"/>
    </row>
    <row r="10" spans="1:13" ht="15.75" x14ac:dyDescent="0.25">
      <c r="A10" s="78" t="s">
        <v>31</v>
      </c>
      <c r="B10" s="78">
        <v>500</v>
      </c>
      <c r="C10" s="70"/>
      <c r="D10" s="82">
        <f t="shared" si="0"/>
        <v>100</v>
      </c>
      <c r="E10" s="82">
        <f t="shared" ref="E10:E15" si="1">D10</f>
        <v>100</v>
      </c>
      <c r="F10">
        <f>D10</f>
        <v>100</v>
      </c>
      <c r="G10" s="83">
        <v>5</v>
      </c>
      <c r="H10" s="73" t="s">
        <v>207</v>
      </c>
      <c r="I10" s="71">
        <v>6000</v>
      </c>
      <c r="J10" s="71"/>
      <c r="K10" s="78">
        <f>I10-J10</f>
        <v>6000</v>
      </c>
      <c r="L10" s="78">
        <v>6000</v>
      </c>
    </row>
    <row r="11" spans="1:13" ht="15.75" x14ac:dyDescent="0.25">
      <c r="A11" s="78" t="s">
        <v>114</v>
      </c>
      <c r="B11" s="78">
        <v>1500</v>
      </c>
      <c r="C11" s="70"/>
      <c r="D11" s="82">
        <f t="shared" si="0"/>
        <v>300</v>
      </c>
      <c r="E11" s="70">
        <f t="shared" si="1"/>
        <v>300</v>
      </c>
      <c r="F11">
        <f t="shared" ref="F11:F15" si="2">D11</f>
        <v>300</v>
      </c>
      <c r="G11" s="70">
        <v>5</v>
      </c>
      <c r="H11" s="73" t="s">
        <v>241</v>
      </c>
      <c r="I11" s="71">
        <f>3856</f>
        <v>3856</v>
      </c>
      <c r="J11" s="71"/>
      <c r="K11" s="78">
        <f>I11-J11</f>
        <v>3856</v>
      </c>
      <c r="L11" s="78">
        <v>4767</v>
      </c>
      <c r="M11">
        <v>10000</v>
      </c>
    </row>
    <row r="12" spans="1:13" ht="15.75" x14ac:dyDescent="0.25">
      <c r="A12" s="78" t="s">
        <v>8</v>
      </c>
      <c r="B12" s="78">
        <v>2500</v>
      </c>
      <c r="C12" s="70"/>
      <c r="D12" s="82">
        <f t="shared" si="0"/>
        <v>500</v>
      </c>
      <c r="E12" s="70">
        <f t="shared" si="1"/>
        <v>500</v>
      </c>
      <c r="F12">
        <f t="shared" si="2"/>
        <v>500</v>
      </c>
      <c r="G12" s="70">
        <v>5</v>
      </c>
      <c r="H12" s="70"/>
      <c r="I12" s="70"/>
      <c r="J12" s="70"/>
      <c r="K12" s="70"/>
      <c r="L12" s="70"/>
    </row>
    <row r="13" spans="1:13" ht="15.75" x14ac:dyDescent="0.25">
      <c r="A13" s="78" t="s">
        <v>230</v>
      </c>
      <c r="B13" s="78">
        <v>700</v>
      </c>
      <c r="C13" s="70"/>
      <c r="D13" s="82">
        <f t="shared" si="0"/>
        <v>140</v>
      </c>
      <c r="E13" s="70">
        <f t="shared" si="1"/>
        <v>140</v>
      </c>
      <c r="F13">
        <f t="shared" si="2"/>
        <v>140</v>
      </c>
      <c r="G13" s="70">
        <v>5</v>
      </c>
      <c r="H13" s="70"/>
      <c r="I13" s="70"/>
      <c r="J13" s="70"/>
      <c r="K13" s="70"/>
      <c r="L13" s="70"/>
    </row>
    <row r="14" spans="1:13" ht="15.75" x14ac:dyDescent="0.25">
      <c r="A14" s="78" t="s">
        <v>160</v>
      </c>
      <c r="B14" s="78">
        <v>700</v>
      </c>
      <c r="C14" s="70"/>
      <c r="D14" s="82">
        <f t="shared" si="0"/>
        <v>140</v>
      </c>
      <c r="E14" s="70">
        <f t="shared" si="1"/>
        <v>140</v>
      </c>
      <c r="F14">
        <f t="shared" si="2"/>
        <v>140</v>
      </c>
      <c r="G14" s="70">
        <v>5</v>
      </c>
      <c r="H14" s="70"/>
      <c r="I14" s="70"/>
      <c r="J14" s="70"/>
      <c r="K14" s="70"/>
      <c r="L14" s="70"/>
    </row>
    <row r="15" spans="1:13" ht="15.75" x14ac:dyDescent="0.25">
      <c r="A15" s="78" t="s">
        <v>40</v>
      </c>
      <c r="B15" s="78">
        <v>500</v>
      </c>
      <c r="C15" s="70"/>
      <c r="D15" s="82">
        <f t="shared" si="0"/>
        <v>100</v>
      </c>
      <c r="E15" s="70">
        <f t="shared" si="1"/>
        <v>100</v>
      </c>
      <c r="F15">
        <f t="shared" si="2"/>
        <v>100</v>
      </c>
      <c r="G15" s="70">
        <v>5</v>
      </c>
      <c r="H15" s="70"/>
      <c r="I15" s="70"/>
      <c r="J15" s="70"/>
      <c r="K15" s="70"/>
      <c r="L15" s="70"/>
    </row>
    <row r="16" spans="1:13" ht="15.75" x14ac:dyDescent="0.25">
      <c r="A16" s="78"/>
      <c r="B16" s="78"/>
      <c r="C16" s="70"/>
      <c r="D16" s="70"/>
      <c r="E16" s="70"/>
      <c r="F16" s="70"/>
      <c r="G16" s="70"/>
      <c r="H16" s="70"/>
      <c r="I16" s="70"/>
      <c r="J16" s="70">
        <f>E18*5</f>
        <v>29813.333333333336</v>
      </c>
      <c r="K16" s="70"/>
      <c r="L16" s="70">
        <v>2871</v>
      </c>
    </row>
    <row r="17" spans="1:12" ht="15.75" x14ac:dyDescent="0.25">
      <c r="A17" s="78"/>
      <c r="B17" s="78"/>
      <c r="C17" s="70"/>
      <c r="D17" s="70"/>
      <c r="E17" s="70"/>
      <c r="F17" s="70"/>
      <c r="G17" s="70"/>
      <c r="H17" s="70"/>
      <c r="I17" s="70"/>
      <c r="J17" s="70"/>
      <c r="K17" s="70"/>
      <c r="L17" s="70">
        <v>1996</v>
      </c>
    </row>
    <row r="18" spans="1:12" ht="15.75" x14ac:dyDescent="0.25">
      <c r="A18" s="78"/>
      <c r="B18" s="78"/>
      <c r="C18" s="70"/>
      <c r="D18" s="70">
        <f>SUM(D2:D17)</f>
        <v>5541.4</v>
      </c>
      <c r="E18" s="70">
        <f>SUM(E2:E17)</f>
        <v>5962.666666666667</v>
      </c>
      <c r="F18" s="70">
        <f>SUM(F2:F17)</f>
        <v>3856.3333333333335</v>
      </c>
      <c r="G18" s="70"/>
      <c r="H18" s="70">
        <f>B20-F18</f>
        <v>23850.666666666668</v>
      </c>
      <c r="I18" s="70"/>
      <c r="J18" s="70"/>
      <c r="K18" s="70"/>
      <c r="L18" s="70"/>
    </row>
    <row r="19" spans="1:12" ht="15.75" x14ac:dyDescent="0.25">
      <c r="A19" s="78"/>
      <c r="B19" s="78"/>
    </row>
    <row r="20" spans="1:12" ht="18" x14ac:dyDescent="0.3">
      <c r="A20" s="74" t="s">
        <v>17</v>
      </c>
      <c r="B20" s="75">
        <f>SUM(B2:B19)</f>
        <v>27707</v>
      </c>
      <c r="D20">
        <f>D18*4</f>
        <v>22165.599999999999</v>
      </c>
      <c r="E20">
        <f>E18*4</f>
        <v>23850.666666666668</v>
      </c>
      <c r="G20">
        <f>E20+F18</f>
        <v>27707</v>
      </c>
      <c r="H20">
        <f>H18/4</f>
        <v>5962.666666666667</v>
      </c>
    </row>
    <row r="21" spans="1:12" x14ac:dyDescent="0.25">
      <c r="A21" s="70"/>
      <c r="B21" s="70"/>
    </row>
    <row r="22" spans="1:12" ht="18" x14ac:dyDescent="0.3">
      <c r="A22" s="6" t="s">
        <v>190</v>
      </c>
      <c r="B22" s="75">
        <f>B20/4.5</f>
        <v>6157.1111111111113</v>
      </c>
    </row>
    <row r="23" spans="1:12" x14ac:dyDescent="0.25">
      <c r="F23" t="s">
        <v>213</v>
      </c>
      <c r="G23">
        <f>SUM(L7:L11)</f>
        <v>22567</v>
      </c>
      <c r="H23" t="s">
        <v>213</v>
      </c>
      <c r="I23">
        <f>SUM(L7:L11)</f>
        <v>22567</v>
      </c>
    </row>
    <row r="24" spans="1:12" x14ac:dyDescent="0.25">
      <c r="A24" s="105" t="s">
        <v>209</v>
      </c>
      <c r="B24" s="105"/>
      <c r="C24" s="79">
        <f>SUM(K7:K11)</f>
        <v>27658</v>
      </c>
      <c r="F24" t="s">
        <v>231</v>
      </c>
      <c r="G24">
        <f>B26+B27+B28+B33</f>
        <v>17215</v>
      </c>
      <c r="H24" t="s">
        <v>232</v>
      </c>
      <c r="I24">
        <f>B71</f>
        <v>29160</v>
      </c>
    </row>
    <row r="25" spans="1:12" ht="15.75" x14ac:dyDescent="0.25">
      <c r="A25" s="77" t="s">
        <v>48</v>
      </c>
      <c r="B25" s="77" t="s">
        <v>89</v>
      </c>
      <c r="C25" s="77" t="s">
        <v>210</v>
      </c>
    </row>
    <row r="26" spans="1:12" ht="15.75" x14ac:dyDescent="0.25">
      <c r="A26" s="78" t="s">
        <v>14</v>
      </c>
      <c r="B26" s="78">
        <v>10000</v>
      </c>
      <c r="C26" s="85">
        <v>43679</v>
      </c>
    </row>
    <row r="27" spans="1:12" ht="15.75" x14ac:dyDescent="0.25">
      <c r="A27" s="78" t="s">
        <v>105</v>
      </c>
      <c r="B27" s="78">
        <v>5500</v>
      </c>
      <c r="C27" s="85">
        <v>43679</v>
      </c>
      <c r="F27" t="s">
        <v>216</v>
      </c>
      <c r="G27">
        <f>G23-G24</f>
        <v>5352</v>
      </c>
      <c r="H27" t="s">
        <v>216</v>
      </c>
      <c r="I27">
        <f>I23-I24</f>
        <v>-6593</v>
      </c>
    </row>
    <row r="28" spans="1:12" ht="15.75" x14ac:dyDescent="0.25">
      <c r="A28" s="78" t="s">
        <v>184</v>
      </c>
      <c r="B28" s="78">
        <v>1500</v>
      </c>
      <c r="C28" s="85">
        <v>43681</v>
      </c>
      <c r="D28" t="s">
        <v>261</v>
      </c>
    </row>
    <row r="29" spans="1:12" ht="15.75" x14ac:dyDescent="0.25">
      <c r="A29" s="78" t="s">
        <v>19</v>
      </c>
      <c r="B29" s="78">
        <v>1800</v>
      </c>
      <c r="C29" s="85">
        <v>43679</v>
      </c>
    </row>
    <row r="30" spans="1:12" ht="15.75" x14ac:dyDescent="0.25">
      <c r="A30" s="78" t="s">
        <v>262</v>
      </c>
      <c r="B30" s="78">
        <v>60</v>
      </c>
      <c r="C30" s="85">
        <v>43679</v>
      </c>
    </row>
    <row r="31" spans="1:12" ht="15.75" x14ac:dyDescent="0.25">
      <c r="A31" s="78" t="s">
        <v>263</v>
      </c>
      <c r="B31" s="78">
        <v>48</v>
      </c>
      <c r="C31" s="85">
        <v>43526</v>
      </c>
    </row>
    <row r="32" spans="1:12" ht="15.75" x14ac:dyDescent="0.25">
      <c r="A32" s="78" t="s">
        <v>180</v>
      </c>
      <c r="B32" s="78">
        <v>140</v>
      </c>
      <c r="C32" s="85">
        <v>43682</v>
      </c>
    </row>
    <row r="33" spans="1:3" ht="15.75" x14ac:dyDescent="0.25">
      <c r="A33" s="78" t="s">
        <v>8</v>
      </c>
      <c r="B33" s="78">
        <v>215</v>
      </c>
      <c r="C33" s="85">
        <v>43682</v>
      </c>
    </row>
    <row r="34" spans="1:3" ht="15.75" x14ac:dyDescent="0.25">
      <c r="A34" s="78" t="s">
        <v>16</v>
      </c>
      <c r="B34" s="78">
        <v>591</v>
      </c>
      <c r="C34" s="85">
        <v>43683</v>
      </c>
    </row>
    <row r="35" spans="1:3" ht="15.75" x14ac:dyDescent="0.25">
      <c r="A35" s="78" t="s">
        <v>264</v>
      </c>
      <c r="B35" s="78">
        <v>200</v>
      </c>
      <c r="C35" s="85"/>
    </row>
    <row r="36" spans="1:3" ht="15.75" x14ac:dyDescent="0.25">
      <c r="A36" s="78" t="s">
        <v>265</v>
      </c>
      <c r="B36" s="78">
        <v>489</v>
      </c>
      <c r="C36" s="85"/>
    </row>
    <row r="37" spans="1:3" ht="15.75" x14ac:dyDescent="0.25">
      <c r="A37" s="78" t="s">
        <v>266</v>
      </c>
      <c r="B37" s="78">
        <v>118</v>
      </c>
      <c r="C37" s="85">
        <v>43683</v>
      </c>
    </row>
    <row r="38" spans="1:3" ht="15.75" x14ac:dyDescent="0.25">
      <c r="A38" s="78" t="s">
        <v>267</v>
      </c>
      <c r="B38" s="78">
        <v>69</v>
      </c>
      <c r="C38" s="85">
        <v>43684</v>
      </c>
    </row>
    <row r="39" spans="1:3" ht="15.75" x14ac:dyDescent="0.25">
      <c r="A39" s="78" t="s">
        <v>114</v>
      </c>
      <c r="B39" s="78">
        <v>1668</v>
      </c>
      <c r="C39" s="85">
        <v>43684</v>
      </c>
    </row>
    <row r="40" spans="1:3" ht="15.75" x14ac:dyDescent="0.25">
      <c r="A40" s="78" t="s">
        <v>268</v>
      </c>
      <c r="B40" s="78">
        <v>12</v>
      </c>
      <c r="C40" s="85">
        <v>43684</v>
      </c>
    </row>
    <row r="41" spans="1:3" ht="15.75" x14ac:dyDescent="0.25">
      <c r="A41" s="78" t="s">
        <v>269</v>
      </c>
      <c r="B41" s="78">
        <v>82</v>
      </c>
      <c r="C41" s="85">
        <v>43684</v>
      </c>
    </row>
    <row r="42" spans="1:3" ht="15.75" x14ac:dyDescent="0.25">
      <c r="A42" s="78" t="s">
        <v>270</v>
      </c>
      <c r="B42" s="78">
        <v>135</v>
      </c>
      <c r="C42" s="85">
        <v>43686</v>
      </c>
    </row>
    <row r="43" spans="1:3" ht="15.75" x14ac:dyDescent="0.25">
      <c r="A43" s="78" t="s">
        <v>271</v>
      </c>
      <c r="B43" s="78">
        <v>88</v>
      </c>
      <c r="C43" s="85">
        <v>43687</v>
      </c>
    </row>
    <row r="44" spans="1:3" ht="15.75" x14ac:dyDescent="0.25">
      <c r="A44" s="78" t="s">
        <v>180</v>
      </c>
      <c r="B44" s="78">
        <v>140</v>
      </c>
      <c r="C44" s="85">
        <v>43687</v>
      </c>
    </row>
    <row r="45" spans="1:3" ht="15.75" x14ac:dyDescent="0.25">
      <c r="A45" s="78" t="s">
        <v>225</v>
      </c>
      <c r="B45" s="78">
        <v>320</v>
      </c>
      <c r="C45" s="85">
        <v>43688</v>
      </c>
    </row>
    <row r="46" spans="1:3" ht="15.75" x14ac:dyDescent="0.25">
      <c r="A46" s="78" t="s">
        <v>272</v>
      </c>
      <c r="B46" s="78">
        <v>2400</v>
      </c>
      <c r="C46" s="85">
        <v>43688</v>
      </c>
    </row>
    <row r="47" spans="1:3" ht="15.75" x14ac:dyDescent="0.25">
      <c r="A47" s="78" t="s">
        <v>273</v>
      </c>
      <c r="B47" s="78">
        <v>225</v>
      </c>
      <c r="C47" s="85">
        <v>43689</v>
      </c>
    </row>
    <row r="48" spans="1:3" ht="15.75" x14ac:dyDescent="0.25">
      <c r="A48" s="78" t="s">
        <v>273</v>
      </c>
      <c r="B48" s="78">
        <v>275</v>
      </c>
      <c r="C48" s="85">
        <v>43692</v>
      </c>
    </row>
    <row r="49" spans="1:7" ht="15.75" x14ac:dyDescent="0.25">
      <c r="A49" s="78" t="s">
        <v>274</v>
      </c>
      <c r="B49" s="78">
        <v>190</v>
      </c>
      <c r="C49" s="85">
        <v>43695</v>
      </c>
    </row>
    <row r="50" spans="1:7" ht="15.75" x14ac:dyDescent="0.25">
      <c r="A50" s="78" t="s">
        <v>275</v>
      </c>
      <c r="B50" s="78">
        <v>80</v>
      </c>
      <c r="C50" s="85">
        <v>43698</v>
      </c>
      <c r="D50" t="s">
        <v>261</v>
      </c>
    </row>
    <row r="51" spans="1:7" ht="15.75" x14ac:dyDescent="0.25">
      <c r="A51" s="78" t="s">
        <v>8</v>
      </c>
      <c r="B51" s="78">
        <v>523</v>
      </c>
      <c r="C51" s="85">
        <v>43697</v>
      </c>
    </row>
    <row r="52" spans="1:7" ht="15.75" x14ac:dyDescent="0.25">
      <c r="A52" s="78" t="s">
        <v>180</v>
      </c>
      <c r="B52" s="78">
        <v>140</v>
      </c>
      <c r="C52" s="85">
        <v>43699</v>
      </c>
    </row>
    <row r="53" spans="1:7" ht="15.75" x14ac:dyDescent="0.25">
      <c r="A53" s="78" t="s">
        <v>160</v>
      </c>
      <c r="B53" s="78">
        <v>50</v>
      </c>
      <c r="C53" s="85">
        <v>43700</v>
      </c>
    </row>
    <row r="54" spans="1:7" ht="15.75" x14ac:dyDescent="0.25">
      <c r="A54" s="78" t="s">
        <v>203</v>
      </c>
      <c r="B54" s="78">
        <v>50</v>
      </c>
      <c r="C54" s="85">
        <v>43701</v>
      </c>
      <c r="F54">
        <v>5500</v>
      </c>
      <c r="G54">
        <f>B73-F54</f>
        <v>-7002</v>
      </c>
    </row>
    <row r="55" spans="1:7" ht="15.75" x14ac:dyDescent="0.25">
      <c r="A55" s="78" t="s">
        <v>276</v>
      </c>
      <c r="B55" s="78">
        <v>300</v>
      </c>
      <c r="C55" s="85">
        <v>43702</v>
      </c>
    </row>
    <row r="56" spans="1:7" ht="15.75" x14ac:dyDescent="0.25">
      <c r="A56" s="78" t="s">
        <v>277</v>
      </c>
      <c r="B56" s="78">
        <v>29</v>
      </c>
      <c r="C56" s="85">
        <v>43702</v>
      </c>
    </row>
    <row r="57" spans="1:7" ht="15.75" x14ac:dyDescent="0.25">
      <c r="A57" s="78" t="s">
        <v>160</v>
      </c>
      <c r="B57" s="78">
        <v>50</v>
      </c>
      <c r="C57" s="85">
        <v>43702</v>
      </c>
    </row>
    <row r="58" spans="1:7" ht="15.75" x14ac:dyDescent="0.25">
      <c r="A58" s="78" t="s">
        <v>278</v>
      </c>
      <c r="B58" s="78">
        <f>38+25</f>
        <v>63</v>
      </c>
      <c r="C58" s="85">
        <v>43702</v>
      </c>
    </row>
    <row r="59" spans="1:7" ht="15.75" x14ac:dyDescent="0.25">
      <c r="A59" s="78" t="s">
        <v>262</v>
      </c>
      <c r="B59" s="78">
        <v>24</v>
      </c>
      <c r="C59" s="85">
        <v>43704</v>
      </c>
    </row>
    <row r="60" spans="1:7" ht="15.75" x14ac:dyDescent="0.25">
      <c r="A60" s="78" t="s">
        <v>268</v>
      </c>
      <c r="B60" s="78">
        <v>15</v>
      </c>
      <c r="C60" s="85">
        <v>43704</v>
      </c>
    </row>
    <row r="61" spans="1:7" ht="15.75" x14ac:dyDescent="0.25">
      <c r="A61" s="78" t="s">
        <v>8</v>
      </c>
      <c r="B61" s="78">
        <v>97</v>
      </c>
      <c r="C61" s="85">
        <v>43703</v>
      </c>
    </row>
    <row r="62" spans="1:7" ht="15.75" x14ac:dyDescent="0.25">
      <c r="A62" s="78" t="s">
        <v>277</v>
      </c>
      <c r="B62" s="78">
        <v>25</v>
      </c>
      <c r="C62" s="85">
        <v>43704</v>
      </c>
      <c r="D62">
        <v>943</v>
      </c>
    </row>
    <row r="63" spans="1:7" ht="15.75" x14ac:dyDescent="0.25">
      <c r="A63" s="78" t="s">
        <v>8</v>
      </c>
      <c r="B63" s="78">
        <v>382</v>
      </c>
      <c r="C63" s="85">
        <v>43705</v>
      </c>
    </row>
    <row r="64" spans="1:7" ht="15.75" x14ac:dyDescent="0.25">
      <c r="A64" s="78" t="s">
        <v>180</v>
      </c>
      <c r="B64" s="78">
        <v>140</v>
      </c>
      <c r="C64" s="85">
        <v>43705</v>
      </c>
    </row>
    <row r="65" spans="1:3" ht="15.75" x14ac:dyDescent="0.25">
      <c r="A65" s="78" t="s">
        <v>269</v>
      </c>
      <c r="B65" s="78">
        <v>133</v>
      </c>
      <c r="C65" s="85">
        <v>43705</v>
      </c>
    </row>
    <row r="66" spans="1:3" ht="15.75" x14ac:dyDescent="0.25">
      <c r="A66" s="78" t="s">
        <v>20</v>
      </c>
      <c r="B66" s="78">
        <v>710</v>
      </c>
      <c r="C66" s="85">
        <v>43707</v>
      </c>
    </row>
    <row r="67" spans="1:3" ht="15.75" x14ac:dyDescent="0.25">
      <c r="A67" s="78" t="s">
        <v>271</v>
      </c>
      <c r="B67" s="78">
        <v>84</v>
      </c>
      <c r="C67" s="85">
        <v>43708</v>
      </c>
    </row>
    <row r="68" spans="1:3" ht="15.75" x14ac:dyDescent="0.25">
      <c r="A68" s="78"/>
      <c r="B68" s="78"/>
      <c r="C68" s="81"/>
    </row>
    <row r="69" spans="1:3" ht="15.75" x14ac:dyDescent="0.25">
      <c r="A69" s="78"/>
      <c r="B69" s="78"/>
      <c r="C69" s="81"/>
    </row>
    <row r="70" spans="1:3" ht="15.75" x14ac:dyDescent="0.25">
      <c r="A70" s="78"/>
      <c r="B70" s="78"/>
      <c r="C70" s="81"/>
    </row>
    <row r="71" spans="1:3" x14ac:dyDescent="0.25">
      <c r="A71" t="s">
        <v>17</v>
      </c>
      <c r="B71">
        <f>SUM(B26:B69)</f>
        <v>29160</v>
      </c>
    </row>
    <row r="73" spans="1:3" x14ac:dyDescent="0.25">
      <c r="A73" t="s">
        <v>216</v>
      </c>
      <c r="B73">
        <f>C24-B71</f>
        <v>-1502</v>
      </c>
    </row>
  </sheetData>
  <mergeCells count="1">
    <mergeCell ref="A24:B24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B9" sqref="B9"/>
    </sheetView>
  </sheetViews>
  <sheetFormatPr defaultRowHeight="15" x14ac:dyDescent="0.25"/>
  <cols>
    <col min="1" max="1" width="26.85546875" bestFit="1" customWidth="1"/>
    <col min="2" max="2" width="8.140625" bestFit="1" customWidth="1"/>
    <col min="3" max="3" width="11.85546875" bestFit="1" customWidth="1"/>
    <col min="6" max="6" width="10.42578125" bestFit="1" customWidth="1"/>
    <col min="8" max="8" width="11.28515625" bestFit="1" customWidth="1"/>
    <col min="9" max="9" width="16.42578125" bestFit="1" customWidth="1"/>
    <col min="10" max="10" width="7.7109375" bestFit="1" customWidth="1"/>
    <col min="11" max="11" width="11.85546875" bestFit="1" customWidth="1"/>
    <col min="12" max="12" width="10.5703125" customWidth="1"/>
  </cols>
  <sheetData>
    <row r="1" spans="1:12" ht="15.75" x14ac:dyDescent="0.25">
      <c r="A1" s="77" t="s">
        <v>48</v>
      </c>
      <c r="B1" s="77" t="s">
        <v>89</v>
      </c>
      <c r="C1" s="70"/>
      <c r="D1" s="70">
        <v>5</v>
      </c>
      <c r="E1" s="70">
        <v>4</v>
      </c>
      <c r="F1" s="70">
        <v>1</v>
      </c>
      <c r="G1" s="70"/>
      <c r="H1" s="70"/>
      <c r="I1" s="70"/>
      <c r="J1" s="70"/>
      <c r="K1" s="70"/>
      <c r="L1" s="70"/>
    </row>
    <row r="2" spans="1:12" ht="15.75" x14ac:dyDescent="0.25">
      <c r="A2" s="78" t="s">
        <v>185</v>
      </c>
      <c r="B2" s="78">
        <f>-'Aug-19'!B73</f>
        <v>1502</v>
      </c>
      <c r="C2" s="70"/>
      <c r="D2" s="82">
        <f t="shared" ref="D2:D5" si="0">B2/5</f>
        <v>300.39999999999998</v>
      </c>
      <c r="E2" s="70"/>
      <c r="F2" s="83"/>
      <c r="G2" s="70"/>
      <c r="H2" s="70"/>
      <c r="I2" s="70"/>
      <c r="J2" s="70"/>
      <c r="K2" s="70"/>
      <c r="L2" s="70"/>
    </row>
    <row r="3" spans="1:12" ht="15.75" x14ac:dyDescent="0.25">
      <c r="A3" s="78" t="s">
        <v>14</v>
      </c>
      <c r="B3" s="78">
        <v>10000</v>
      </c>
      <c r="C3" s="70">
        <f>B3-1600-5000</f>
        <v>3400</v>
      </c>
      <c r="D3" s="82">
        <f t="shared" si="0"/>
        <v>2000</v>
      </c>
      <c r="E3" s="70"/>
      <c r="F3" s="70"/>
      <c r="G3" s="70"/>
      <c r="H3" s="70"/>
      <c r="I3" s="70"/>
      <c r="J3" s="70"/>
      <c r="K3" s="70"/>
      <c r="L3" s="70"/>
    </row>
    <row r="4" spans="1:12" ht="15.75" x14ac:dyDescent="0.25">
      <c r="A4" s="78" t="s">
        <v>105</v>
      </c>
      <c r="B4" s="78">
        <v>5500</v>
      </c>
      <c r="C4" s="70">
        <v>5500</v>
      </c>
      <c r="D4" s="82">
        <f t="shared" si="0"/>
        <v>1100</v>
      </c>
      <c r="E4" s="70"/>
      <c r="F4" s="70"/>
      <c r="G4" s="70"/>
      <c r="H4" s="70"/>
      <c r="I4" s="70"/>
      <c r="J4" s="70"/>
      <c r="K4" s="70"/>
      <c r="L4" s="70"/>
    </row>
    <row r="5" spans="1:12" ht="15.75" x14ac:dyDescent="0.25">
      <c r="A5" s="78" t="s">
        <v>184</v>
      </c>
      <c r="B5" s="78">
        <v>1500</v>
      </c>
      <c r="C5" s="70">
        <v>1500</v>
      </c>
      <c r="D5" s="82">
        <f t="shared" si="0"/>
        <v>300</v>
      </c>
      <c r="E5" s="70"/>
      <c r="F5" s="70"/>
      <c r="G5" s="70"/>
      <c r="H5" s="70"/>
      <c r="I5" s="70"/>
      <c r="J5" s="70"/>
      <c r="K5" s="70"/>
      <c r="L5" s="70"/>
    </row>
    <row r="6" spans="1:12" ht="15.75" x14ac:dyDescent="0.25">
      <c r="A6" s="78" t="s">
        <v>20</v>
      </c>
      <c r="B6" s="78">
        <v>945</v>
      </c>
      <c r="C6" s="70">
        <v>945</v>
      </c>
      <c r="D6" s="82">
        <f>B6/5</f>
        <v>189</v>
      </c>
      <c r="E6" s="70"/>
      <c r="G6" s="70"/>
      <c r="H6" s="71"/>
      <c r="I6" s="76" t="s">
        <v>229</v>
      </c>
      <c r="J6" s="72" t="s">
        <v>188</v>
      </c>
      <c r="K6" s="72" t="s">
        <v>189</v>
      </c>
      <c r="L6" s="72" t="s">
        <v>76</v>
      </c>
    </row>
    <row r="7" spans="1:12" ht="15.75" x14ac:dyDescent="0.25">
      <c r="A7" s="78" t="s">
        <v>31</v>
      </c>
      <c r="B7" s="78">
        <v>590</v>
      </c>
      <c r="C7" s="70">
        <v>500</v>
      </c>
      <c r="D7" s="82">
        <f>B7/5</f>
        <v>118</v>
      </c>
      <c r="E7" s="70"/>
      <c r="G7" s="70"/>
      <c r="H7" s="71" t="s">
        <v>9</v>
      </c>
      <c r="I7" s="71">
        <v>6000</v>
      </c>
      <c r="J7" s="71"/>
      <c r="K7" s="78">
        <f t="shared" ref="K7:K12" si="1">I7-J7</f>
        <v>6000</v>
      </c>
      <c r="L7" s="78">
        <v>6000</v>
      </c>
    </row>
    <row r="8" spans="1:12" ht="15.75" x14ac:dyDescent="0.25">
      <c r="A8" s="78" t="s">
        <v>19</v>
      </c>
      <c r="B8" s="78">
        <v>2600</v>
      </c>
      <c r="C8" s="70">
        <v>1000</v>
      </c>
      <c r="D8" s="82"/>
      <c r="E8" s="70">
        <f t="shared" ref="E8:E16" si="2">B8/4</f>
        <v>650</v>
      </c>
      <c r="F8">
        <f t="shared" ref="F8:F16" si="3">B8/5</f>
        <v>520</v>
      </c>
      <c r="G8" s="70"/>
      <c r="H8" s="71" t="s">
        <v>103</v>
      </c>
      <c r="I8" s="71">
        <v>6000</v>
      </c>
      <c r="J8" s="71">
        <f>80+24+15+25+140</f>
        <v>284</v>
      </c>
      <c r="K8" s="78">
        <f t="shared" si="1"/>
        <v>5716</v>
      </c>
      <c r="L8" s="78">
        <v>5716</v>
      </c>
    </row>
    <row r="9" spans="1:12" ht="15.75" x14ac:dyDescent="0.25">
      <c r="A9" s="78" t="s">
        <v>16</v>
      </c>
      <c r="B9" s="78">
        <v>600</v>
      </c>
      <c r="C9" s="70">
        <v>590</v>
      </c>
      <c r="D9" s="82"/>
      <c r="E9" s="70">
        <f t="shared" si="2"/>
        <v>150</v>
      </c>
      <c r="F9">
        <f t="shared" si="3"/>
        <v>120</v>
      </c>
      <c r="G9" s="70"/>
      <c r="H9" s="71" t="s">
        <v>93</v>
      </c>
      <c r="I9" s="71">
        <v>3990</v>
      </c>
      <c r="J9" s="71"/>
      <c r="K9" s="78">
        <f t="shared" si="1"/>
        <v>3990</v>
      </c>
      <c r="L9" s="78">
        <v>3990</v>
      </c>
    </row>
    <row r="10" spans="1:12" ht="15.75" x14ac:dyDescent="0.25">
      <c r="A10" s="78" t="s">
        <v>109</v>
      </c>
      <c r="B10" s="78">
        <v>1000</v>
      </c>
      <c r="C10" s="70">
        <v>1000</v>
      </c>
      <c r="D10" s="82"/>
      <c r="E10" s="70">
        <f t="shared" si="2"/>
        <v>250</v>
      </c>
      <c r="F10">
        <f t="shared" si="3"/>
        <v>200</v>
      </c>
      <c r="G10" s="83"/>
      <c r="H10" s="73" t="s">
        <v>207</v>
      </c>
      <c r="I10" s="71">
        <v>6000</v>
      </c>
      <c r="J10" s="71"/>
      <c r="K10" s="78">
        <f t="shared" si="1"/>
        <v>6000</v>
      </c>
      <c r="L10" s="78">
        <v>6000</v>
      </c>
    </row>
    <row r="11" spans="1:12" ht="15.75" x14ac:dyDescent="0.25">
      <c r="A11" s="78" t="s">
        <v>114</v>
      </c>
      <c r="B11" s="78">
        <v>1500</v>
      </c>
      <c r="C11" s="70">
        <v>1300</v>
      </c>
      <c r="D11" s="82"/>
      <c r="E11" s="70">
        <f t="shared" si="2"/>
        <v>375</v>
      </c>
      <c r="F11">
        <f t="shared" si="3"/>
        <v>300</v>
      </c>
      <c r="G11" s="70"/>
      <c r="H11" s="73" t="s">
        <v>241</v>
      </c>
      <c r="I11" s="71">
        <v>6000</v>
      </c>
      <c r="J11" s="71"/>
      <c r="K11" s="78">
        <f t="shared" si="1"/>
        <v>6000</v>
      </c>
      <c r="L11" s="78">
        <v>6000</v>
      </c>
    </row>
    <row r="12" spans="1:12" ht="15.75" x14ac:dyDescent="0.25">
      <c r="A12" s="78" t="s">
        <v>8</v>
      </c>
      <c r="B12" s="78">
        <v>2500</v>
      </c>
      <c r="C12" s="70">
        <v>2500</v>
      </c>
      <c r="D12" s="82"/>
      <c r="E12" s="70">
        <f t="shared" si="2"/>
        <v>625</v>
      </c>
      <c r="F12">
        <f t="shared" si="3"/>
        <v>500</v>
      </c>
      <c r="G12" s="70"/>
      <c r="H12" s="73" t="s">
        <v>279</v>
      </c>
      <c r="I12" s="71">
        <v>2040</v>
      </c>
      <c r="J12" s="71"/>
      <c r="K12" s="78">
        <f t="shared" si="1"/>
        <v>2040</v>
      </c>
      <c r="L12" s="78">
        <v>2040</v>
      </c>
    </row>
    <row r="13" spans="1:12" ht="15.75" x14ac:dyDescent="0.25">
      <c r="A13" s="78" t="s">
        <v>230</v>
      </c>
      <c r="B13" s="78">
        <v>700</v>
      </c>
      <c r="C13" s="70">
        <v>700</v>
      </c>
      <c r="D13" s="82"/>
      <c r="E13" s="70">
        <f t="shared" si="2"/>
        <v>175</v>
      </c>
      <c r="F13">
        <f t="shared" si="3"/>
        <v>140</v>
      </c>
      <c r="G13" s="70"/>
      <c r="H13" s="70"/>
      <c r="I13" s="70"/>
      <c r="J13" s="70"/>
      <c r="K13" s="70"/>
      <c r="L13" s="70"/>
    </row>
    <row r="14" spans="1:12" ht="15.75" x14ac:dyDescent="0.25">
      <c r="A14" s="78" t="s">
        <v>160</v>
      </c>
      <c r="B14" s="78">
        <v>700</v>
      </c>
      <c r="C14" s="70">
        <v>700</v>
      </c>
      <c r="D14" s="82"/>
      <c r="E14" s="70">
        <f t="shared" si="2"/>
        <v>175</v>
      </c>
      <c r="F14">
        <f t="shared" si="3"/>
        <v>140</v>
      </c>
      <c r="G14" s="70"/>
      <c r="H14" s="70"/>
      <c r="I14" s="70">
        <f>SUM(I7:I13)</f>
        <v>30030</v>
      </c>
      <c r="J14" s="70"/>
      <c r="K14" s="70"/>
      <c r="L14" s="70"/>
    </row>
    <row r="15" spans="1:12" ht="15.75" x14ac:dyDescent="0.25">
      <c r="A15" s="78" t="s">
        <v>40</v>
      </c>
      <c r="B15" s="78">
        <v>500</v>
      </c>
      <c r="C15" s="70">
        <v>500</v>
      </c>
      <c r="D15" s="82"/>
      <c r="E15" s="70">
        <f t="shared" si="2"/>
        <v>125</v>
      </c>
      <c r="F15">
        <f t="shared" si="3"/>
        <v>100</v>
      </c>
      <c r="G15" s="70"/>
      <c r="H15" s="70"/>
      <c r="I15" s="70"/>
      <c r="J15" s="70"/>
      <c r="K15" s="70"/>
      <c r="L15" s="70"/>
    </row>
    <row r="16" spans="1:12" ht="15.75" x14ac:dyDescent="0.25">
      <c r="A16" s="78"/>
      <c r="B16" s="78"/>
      <c r="C16" s="70"/>
      <c r="D16" s="70"/>
      <c r="E16" s="70">
        <f t="shared" si="2"/>
        <v>0</v>
      </c>
      <c r="F16">
        <f t="shared" si="3"/>
        <v>0</v>
      </c>
      <c r="G16" s="70"/>
      <c r="H16" s="70"/>
      <c r="I16" s="70"/>
      <c r="J16" s="70"/>
      <c r="K16" s="70"/>
      <c r="L16" s="70"/>
    </row>
    <row r="17" spans="1:13" ht="15.75" x14ac:dyDescent="0.25">
      <c r="A17" s="78"/>
      <c r="B17" s="78"/>
      <c r="C17" s="70"/>
      <c r="D17" s="70"/>
      <c r="E17" s="70"/>
      <c r="F17" s="70"/>
      <c r="G17" s="70"/>
      <c r="H17" s="70"/>
      <c r="I17" s="70"/>
      <c r="J17" s="70"/>
      <c r="K17" s="70"/>
      <c r="L17" s="70"/>
    </row>
    <row r="18" spans="1:13" ht="15.75" x14ac:dyDescent="0.25">
      <c r="A18" s="78"/>
      <c r="B18" s="78"/>
      <c r="C18" s="70"/>
      <c r="D18" s="70">
        <f>SUM(D2:D17)</f>
        <v>4007.4</v>
      </c>
      <c r="E18" s="70">
        <f>SUM(E2:E17)</f>
        <v>2525</v>
      </c>
      <c r="F18" s="70">
        <f>SUM(F2:F17)</f>
        <v>2020</v>
      </c>
      <c r="G18" s="70"/>
      <c r="H18" s="70"/>
      <c r="I18" s="70"/>
      <c r="J18" s="70"/>
      <c r="K18" s="70"/>
      <c r="L18" s="70"/>
    </row>
    <row r="19" spans="1:13" ht="15.75" x14ac:dyDescent="0.25">
      <c r="A19" s="78"/>
      <c r="B19" s="78"/>
    </row>
    <row r="20" spans="1:13" ht="18" x14ac:dyDescent="0.3">
      <c r="A20" s="74" t="s">
        <v>17</v>
      </c>
      <c r="B20" s="75">
        <f>SUM(B2:B19)</f>
        <v>30137</v>
      </c>
      <c r="C20" s="75">
        <f>SUM(C2:C19)</f>
        <v>20135</v>
      </c>
    </row>
    <row r="21" spans="1:13" x14ac:dyDescent="0.25">
      <c r="A21" s="70"/>
      <c r="B21" s="70"/>
    </row>
    <row r="22" spans="1:13" ht="18" x14ac:dyDescent="0.3">
      <c r="A22" s="6" t="s">
        <v>190</v>
      </c>
      <c r="B22" s="75">
        <f>B20/5</f>
        <v>6027.4</v>
      </c>
      <c r="C22" s="75">
        <f>C20/5</f>
        <v>4027</v>
      </c>
    </row>
    <row r="23" spans="1:13" x14ac:dyDescent="0.25">
      <c r="I23" t="s">
        <v>212</v>
      </c>
      <c r="J23">
        <v>22</v>
      </c>
      <c r="L23" t="s">
        <v>280</v>
      </c>
      <c r="M23">
        <v>11000</v>
      </c>
    </row>
    <row r="24" spans="1:13" x14ac:dyDescent="0.25">
      <c r="A24" s="105" t="s">
        <v>209</v>
      </c>
      <c r="B24" s="105"/>
      <c r="C24" s="79">
        <f>SUM(K7:K12)</f>
        <v>29746</v>
      </c>
      <c r="I24" t="s">
        <v>281</v>
      </c>
      <c r="J24">
        <v>4578</v>
      </c>
      <c r="L24" t="s">
        <v>282</v>
      </c>
      <c r="M24">
        <v>4075</v>
      </c>
    </row>
    <row r="25" spans="1:13" ht="15.75" x14ac:dyDescent="0.25">
      <c r="A25" s="77" t="s">
        <v>48</v>
      </c>
      <c r="B25" s="77" t="s">
        <v>89</v>
      </c>
      <c r="C25" s="77" t="s">
        <v>210</v>
      </c>
      <c r="I25" t="s">
        <v>283</v>
      </c>
      <c r="J25">
        <v>1500</v>
      </c>
      <c r="L25" t="s">
        <v>284</v>
      </c>
      <c r="M25">
        <f>B74</f>
        <v>-792</v>
      </c>
    </row>
    <row r="26" spans="1:13" ht="15.75" x14ac:dyDescent="0.25">
      <c r="A26" s="78" t="s">
        <v>14</v>
      </c>
      <c r="B26" s="78">
        <v>10000</v>
      </c>
      <c r="C26" s="85">
        <v>43712</v>
      </c>
      <c r="I26" t="s">
        <v>285</v>
      </c>
      <c r="J26">
        <v>550</v>
      </c>
      <c r="L26" t="s">
        <v>286</v>
      </c>
      <c r="M26">
        <v>1000</v>
      </c>
    </row>
    <row r="27" spans="1:13" ht="15.75" x14ac:dyDescent="0.25">
      <c r="A27" s="78" t="s">
        <v>105</v>
      </c>
      <c r="B27" s="78">
        <v>5500</v>
      </c>
      <c r="C27" s="85">
        <v>43712</v>
      </c>
      <c r="I27" t="s">
        <v>287</v>
      </c>
      <c r="J27">
        <v>121</v>
      </c>
      <c r="L27" t="s">
        <v>103</v>
      </c>
      <c r="M27">
        <v>357</v>
      </c>
    </row>
    <row r="28" spans="1:13" ht="15.75" x14ac:dyDescent="0.25">
      <c r="A28" s="78" t="s">
        <v>184</v>
      </c>
      <c r="B28" s="78">
        <v>1500</v>
      </c>
      <c r="C28" s="85">
        <v>43712</v>
      </c>
      <c r="I28" t="s">
        <v>288</v>
      </c>
      <c r="J28">
        <v>90</v>
      </c>
    </row>
    <row r="29" spans="1:13" ht="15.75" x14ac:dyDescent="0.25">
      <c r="A29" s="78" t="s">
        <v>19</v>
      </c>
      <c r="B29" s="78">
        <v>2600</v>
      </c>
      <c r="C29" s="85">
        <v>43712</v>
      </c>
      <c r="I29" t="s">
        <v>289</v>
      </c>
      <c r="J29">
        <v>95</v>
      </c>
    </row>
    <row r="30" spans="1:13" ht="15.75" x14ac:dyDescent="0.25">
      <c r="A30" s="78" t="s">
        <v>31</v>
      </c>
      <c r="B30" s="78">
        <v>590</v>
      </c>
      <c r="C30" s="85">
        <v>43712</v>
      </c>
      <c r="I30" t="s">
        <v>290</v>
      </c>
      <c r="J30">
        <v>1500</v>
      </c>
    </row>
    <row r="31" spans="1:13" ht="15.75" x14ac:dyDescent="0.25">
      <c r="A31" s="78" t="s">
        <v>291</v>
      </c>
      <c r="B31" s="35">
        <v>56</v>
      </c>
      <c r="C31" s="85">
        <v>43711</v>
      </c>
    </row>
    <row r="32" spans="1:13" ht="15.75" x14ac:dyDescent="0.25">
      <c r="A32" s="78" t="s">
        <v>160</v>
      </c>
      <c r="B32" s="78">
        <v>35</v>
      </c>
      <c r="C32" s="85">
        <v>43712</v>
      </c>
    </row>
    <row r="33" spans="1:15" ht="15.75" x14ac:dyDescent="0.25">
      <c r="A33" s="78" t="s">
        <v>8</v>
      </c>
      <c r="B33" s="78">
        <v>480</v>
      </c>
      <c r="C33" s="85">
        <v>43713</v>
      </c>
    </row>
    <row r="34" spans="1:15" ht="15.75" x14ac:dyDescent="0.25">
      <c r="A34" s="78" t="s">
        <v>292</v>
      </c>
      <c r="B34" s="78">
        <v>2820</v>
      </c>
      <c r="C34" s="85">
        <v>43713</v>
      </c>
    </row>
    <row r="35" spans="1:15" ht="15.75" x14ac:dyDescent="0.25">
      <c r="A35" s="78" t="s">
        <v>224</v>
      </c>
      <c r="B35" s="78">
        <v>84</v>
      </c>
      <c r="C35" s="85">
        <v>43714</v>
      </c>
    </row>
    <row r="36" spans="1:15" ht="15.75" x14ac:dyDescent="0.25">
      <c r="A36" s="78" t="s">
        <v>16</v>
      </c>
      <c r="B36" s="78">
        <v>607</v>
      </c>
      <c r="C36" s="85">
        <v>43714</v>
      </c>
    </row>
    <row r="37" spans="1:15" ht="15.75" x14ac:dyDescent="0.25">
      <c r="A37" s="78" t="s">
        <v>160</v>
      </c>
      <c r="B37" s="78">
        <v>38</v>
      </c>
      <c r="C37" s="85">
        <v>43714</v>
      </c>
      <c r="I37" t="s">
        <v>17</v>
      </c>
      <c r="J37">
        <f>SUM(J23:J36)</f>
        <v>8456</v>
      </c>
      <c r="M37">
        <f>SUM(M23:M36)</f>
        <v>15640</v>
      </c>
      <c r="O37">
        <f>J37-M37</f>
        <v>-7184</v>
      </c>
    </row>
    <row r="38" spans="1:15" ht="15.75" x14ac:dyDescent="0.25">
      <c r="A38" s="78" t="s">
        <v>203</v>
      </c>
      <c r="B38" s="78">
        <v>40</v>
      </c>
      <c r="C38" s="85">
        <v>43715</v>
      </c>
      <c r="O38">
        <v>4525</v>
      </c>
    </row>
    <row r="39" spans="1:15" ht="15.75" x14ac:dyDescent="0.25">
      <c r="A39" s="78" t="s">
        <v>277</v>
      </c>
      <c r="B39" s="78">
        <v>50</v>
      </c>
      <c r="C39" s="85">
        <v>43718</v>
      </c>
      <c r="O39">
        <v>13000</v>
      </c>
    </row>
    <row r="40" spans="1:15" ht="15.75" x14ac:dyDescent="0.25">
      <c r="A40" s="78" t="s">
        <v>160</v>
      </c>
      <c r="B40" s="78">
        <v>35</v>
      </c>
      <c r="C40" s="85">
        <v>43718</v>
      </c>
    </row>
    <row r="41" spans="1:15" ht="15.75" x14ac:dyDescent="0.25">
      <c r="A41" s="78" t="s">
        <v>78</v>
      </c>
      <c r="B41" s="78">
        <v>590</v>
      </c>
      <c r="C41" s="85">
        <v>43720</v>
      </c>
      <c r="O41">
        <f>SUM(O37:O40)</f>
        <v>10341</v>
      </c>
    </row>
    <row r="42" spans="1:15" ht="15.75" x14ac:dyDescent="0.25">
      <c r="A42" s="78" t="s">
        <v>8</v>
      </c>
      <c r="B42" s="78">
        <v>183</v>
      </c>
      <c r="C42" s="85">
        <v>43722</v>
      </c>
    </row>
    <row r="43" spans="1:15" ht="15.75" x14ac:dyDescent="0.25">
      <c r="A43" s="78" t="s">
        <v>203</v>
      </c>
      <c r="B43" s="78">
        <v>48</v>
      </c>
      <c r="C43" s="85">
        <v>43722</v>
      </c>
    </row>
    <row r="44" spans="1:15" ht="15.75" x14ac:dyDescent="0.25">
      <c r="A44" s="78" t="s">
        <v>115</v>
      </c>
      <c r="B44" s="78">
        <v>56</v>
      </c>
      <c r="C44" s="85">
        <v>43722</v>
      </c>
    </row>
    <row r="45" spans="1:15" ht="15.75" x14ac:dyDescent="0.25">
      <c r="A45" s="78" t="s">
        <v>160</v>
      </c>
      <c r="B45" s="78">
        <v>50</v>
      </c>
      <c r="C45" s="85">
        <v>43722</v>
      </c>
    </row>
    <row r="46" spans="1:15" ht="15.75" x14ac:dyDescent="0.25">
      <c r="A46" s="78" t="s">
        <v>293</v>
      </c>
      <c r="B46" s="78">
        <v>20</v>
      </c>
      <c r="C46" s="85">
        <v>43722</v>
      </c>
    </row>
    <row r="47" spans="1:15" ht="15.75" x14ac:dyDescent="0.25">
      <c r="A47" s="78" t="s">
        <v>294</v>
      </c>
      <c r="B47" s="78">
        <v>10</v>
      </c>
      <c r="C47" s="85">
        <v>43722</v>
      </c>
    </row>
    <row r="48" spans="1:15" ht="15.75" x14ac:dyDescent="0.25">
      <c r="A48" s="78" t="s">
        <v>180</v>
      </c>
      <c r="B48" s="78">
        <v>90</v>
      </c>
      <c r="C48" s="85">
        <v>43722</v>
      </c>
    </row>
    <row r="49" spans="1:5" ht="15.75" x14ac:dyDescent="0.25">
      <c r="A49" s="78" t="s">
        <v>225</v>
      </c>
      <c r="B49" s="78">
        <v>540</v>
      </c>
      <c r="C49" s="85">
        <v>43723</v>
      </c>
    </row>
    <row r="50" spans="1:5" ht="15.75" x14ac:dyDescent="0.25">
      <c r="A50" s="78" t="s">
        <v>295</v>
      </c>
      <c r="B50" s="78">
        <v>102</v>
      </c>
      <c r="C50" s="85">
        <v>43723</v>
      </c>
    </row>
    <row r="51" spans="1:5" ht="15.75" x14ac:dyDescent="0.25">
      <c r="A51" s="78" t="s">
        <v>296</v>
      </c>
      <c r="B51" s="78">
        <v>50</v>
      </c>
      <c r="C51" s="85">
        <v>43725</v>
      </c>
    </row>
    <row r="52" spans="1:5" ht="15.75" x14ac:dyDescent="0.25">
      <c r="A52" s="78" t="s">
        <v>8</v>
      </c>
      <c r="B52" s="78">
        <v>290</v>
      </c>
      <c r="C52" s="85">
        <v>43726</v>
      </c>
    </row>
    <row r="53" spans="1:5" ht="15.75" x14ac:dyDescent="0.25">
      <c r="A53" s="78" t="s">
        <v>160</v>
      </c>
      <c r="B53" s="78">
        <v>64</v>
      </c>
      <c r="C53" s="85">
        <v>43726</v>
      </c>
    </row>
    <row r="54" spans="1:5" ht="15.75" x14ac:dyDescent="0.25">
      <c r="A54" s="78" t="s">
        <v>160</v>
      </c>
      <c r="B54" s="78">
        <v>38</v>
      </c>
      <c r="C54" s="85">
        <v>43727</v>
      </c>
    </row>
    <row r="55" spans="1:5" ht="15.75" x14ac:dyDescent="0.25">
      <c r="A55" s="78" t="s">
        <v>230</v>
      </c>
      <c r="B55" s="78">
        <v>175</v>
      </c>
      <c r="C55" s="85">
        <v>43727</v>
      </c>
    </row>
    <row r="56" spans="1:5" ht="15.75" x14ac:dyDescent="0.25">
      <c r="A56" s="78" t="s">
        <v>277</v>
      </c>
      <c r="B56" s="78">
        <v>35</v>
      </c>
      <c r="C56" s="85">
        <v>43729</v>
      </c>
    </row>
    <row r="57" spans="1:5" ht="15.75" x14ac:dyDescent="0.25">
      <c r="A57" s="78" t="s">
        <v>160</v>
      </c>
      <c r="B57" s="78">
        <v>50</v>
      </c>
      <c r="C57" s="85">
        <v>43729</v>
      </c>
    </row>
    <row r="58" spans="1:5" ht="15.75" x14ac:dyDescent="0.25">
      <c r="A58" s="78" t="s">
        <v>225</v>
      </c>
      <c r="B58" s="78">
        <v>750</v>
      </c>
      <c r="C58" s="85">
        <v>43730</v>
      </c>
    </row>
    <row r="59" spans="1:5" ht="15.75" x14ac:dyDescent="0.25">
      <c r="A59" s="78" t="s">
        <v>8</v>
      </c>
      <c r="B59" s="78">
        <v>572</v>
      </c>
      <c r="C59" s="85">
        <v>43731</v>
      </c>
    </row>
    <row r="60" spans="1:5" ht="15.75" x14ac:dyDescent="0.25">
      <c r="A60" s="78" t="s">
        <v>180</v>
      </c>
      <c r="B60" s="78">
        <v>140</v>
      </c>
      <c r="C60" s="85">
        <v>43732</v>
      </c>
    </row>
    <row r="61" spans="1:5" ht="15.75" x14ac:dyDescent="0.25">
      <c r="A61" s="78" t="s">
        <v>269</v>
      </c>
      <c r="B61" s="78">
        <v>140</v>
      </c>
      <c r="C61" s="85">
        <v>43732</v>
      </c>
    </row>
    <row r="62" spans="1:5" ht="15.75" x14ac:dyDescent="0.25">
      <c r="A62" s="78" t="s">
        <v>160</v>
      </c>
      <c r="B62" s="78">
        <v>50</v>
      </c>
      <c r="C62" s="85">
        <v>43734</v>
      </c>
    </row>
    <row r="63" spans="1:5" ht="15.75" x14ac:dyDescent="0.25">
      <c r="A63" s="78" t="s">
        <v>160</v>
      </c>
      <c r="B63" s="78">
        <v>76</v>
      </c>
      <c r="C63" s="85">
        <v>43736</v>
      </c>
      <c r="E63" s="86"/>
    </row>
    <row r="64" spans="1:5" ht="15.75" x14ac:dyDescent="0.25">
      <c r="A64" s="78" t="s">
        <v>203</v>
      </c>
      <c r="B64" s="78">
        <v>50</v>
      </c>
      <c r="C64" s="85">
        <v>43736</v>
      </c>
    </row>
    <row r="65" spans="1:3" ht="15.75" x14ac:dyDescent="0.25">
      <c r="A65" s="78" t="s">
        <v>297</v>
      </c>
      <c r="B65" s="78">
        <v>40</v>
      </c>
      <c r="C65" s="85">
        <v>43736</v>
      </c>
    </row>
    <row r="66" spans="1:3" ht="15.75" x14ac:dyDescent="0.25">
      <c r="A66" s="78" t="s">
        <v>225</v>
      </c>
      <c r="B66" s="78">
        <v>650</v>
      </c>
      <c r="C66" s="85">
        <v>43737</v>
      </c>
    </row>
    <row r="67" spans="1:3" ht="15.75" x14ac:dyDescent="0.25">
      <c r="A67" s="78" t="s">
        <v>220</v>
      </c>
      <c r="B67" s="78">
        <v>60</v>
      </c>
      <c r="C67" s="85">
        <v>43737</v>
      </c>
    </row>
    <row r="68" spans="1:3" ht="15.75" x14ac:dyDescent="0.25">
      <c r="A68" s="78" t="s">
        <v>20</v>
      </c>
      <c r="B68" s="78">
        <v>943</v>
      </c>
      <c r="C68" s="85">
        <v>43736</v>
      </c>
    </row>
    <row r="69" spans="1:3" ht="15.75" x14ac:dyDescent="0.25">
      <c r="A69" s="78" t="s">
        <v>298</v>
      </c>
      <c r="B69" s="78">
        <v>165</v>
      </c>
      <c r="C69" s="85">
        <v>43737</v>
      </c>
    </row>
    <row r="70" spans="1:3" ht="15.75" x14ac:dyDescent="0.25">
      <c r="A70" s="78" t="s">
        <v>160</v>
      </c>
      <c r="B70" s="78">
        <v>76</v>
      </c>
      <c r="C70" s="85">
        <v>43738</v>
      </c>
    </row>
    <row r="71" spans="1:3" ht="15.75" x14ac:dyDescent="0.25">
      <c r="A71" s="78"/>
      <c r="B71" s="78"/>
      <c r="C71" s="85"/>
    </row>
    <row r="72" spans="1:3" x14ac:dyDescent="0.25">
      <c r="A72" t="s">
        <v>17</v>
      </c>
      <c r="B72">
        <f>SUM(B26:B70)</f>
        <v>30538</v>
      </c>
    </row>
    <row r="74" spans="1:3" x14ac:dyDescent="0.25">
      <c r="A74" t="s">
        <v>216</v>
      </c>
      <c r="B74">
        <f>C24-B72</f>
        <v>-792</v>
      </c>
    </row>
  </sheetData>
  <mergeCells count="1">
    <mergeCell ref="A24:B2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I9" sqref="I9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1.7109375" bestFit="1" customWidth="1"/>
    <col min="6" max="6" width="10.42578125" bestFit="1" customWidth="1"/>
    <col min="8" max="8" width="9" bestFit="1" customWidth="1"/>
    <col min="9" max="9" width="16.5703125" bestFit="1" customWidth="1"/>
    <col min="10" max="10" width="7.7109375" bestFit="1" customWidth="1"/>
    <col min="11" max="11" width="11.85546875" bestFit="1" customWidth="1"/>
    <col min="12" max="12" width="7.140625" bestFit="1" customWidth="1"/>
  </cols>
  <sheetData>
    <row r="1" spans="1:12" ht="15.75" x14ac:dyDescent="0.25">
      <c r="A1" s="51" t="s">
        <v>48</v>
      </c>
      <c r="B1" s="51" t="s">
        <v>89</v>
      </c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5.75" x14ac:dyDescent="0.25">
      <c r="A2" s="78" t="s">
        <v>185</v>
      </c>
      <c r="B2" s="78">
        <f>-'Sep-19'!B74</f>
        <v>792</v>
      </c>
      <c r="C2" s="70"/>
      <c r="D2" s="82"/>
      <c r="E2" s="70"/>
      <c r="F2" s="83"/>
      <c r="G2" s="70"/>
      <c r="H2" s="70"/>
      <c r="I2" s="70"/>
      <c r="J2" s="70"/>
      <c r="K2" s="70"/>
      <c r="L2" s="70"/>
    </row>
    <row r="3" spans="1:12" ht="15.75" x14ac:dyDescent="0.25">
      <c r="A3" s="78" t="s">
        <v>14</v>
      </c>
      <c r="B3" s="78">
        <v>10000</v>
      </c>
      <c r="C3" s="70">
        <v>10000</v>
      </c>
      <c r="D3" s="82"/>
      <c r="E3" s="70"/>
      <c r="F3" s="70"/>
      <c r="G3" s="70"/>
      <c r="H3" s="70"/>
      <c r="I3" s="70"/>
      <c r="J3" s="70"/>
      <c r="K3" s="70"/>
      <c r="L3" s="70"/>
    </row>
    <row r="4" spans="1:12" ht="15.75" x14ac:dyDescent="0.25">
      <c r="A4" s="78" t="s">
        <v>97</v>
      </c>
      <c r="B4" s="78">
        <v>5500</v>
      </c>
      <c r="C4" s="70">
        <v>5500</v>
      </c>
      <c r="D4" s="82">
        <v>1000</v>
      </c>
      <c r="E4" s="70"/>
      <c r="F4" s="70"/>
      <c r="G4" s="70"/>
      <c r="H4" s="70"/>
      <c r="I4" s="70"/>
      <c r="J4" s="70"/>
      <c r="K4" s="70"/>
      <c r="L4" s="70"/>
    </row>
    <row r="5" spans="1:12" ht="15.75" x14ac:dyDescent="0.25">
      <c r="A5" s="78" t="s">
        <v>299</v>
      </c>
      <c r="B5" s="78">
        <v>1500</v>
      </c>
      <c r="C5" s="70">
        <v>1500</v>
      </c>
      <c r="D5" s="82"/>
      <c r="E5" s="70"/>
      <c r="F5" s="70">
        <v>55000</v>
      </c>
      <c r="G5" s="70"/>
      <c r="H5" s="70"/>
      <c r="I5" s="70"/>
      <c r="J5" s="70"/>
      <c r="K5" s="70"/>
      <c r="L5" s="70"/>
    </row>
    <row r="6" spans="1:12" ht="15.75" x14ac:dyDescent="0.25">
      <c r="A6" s="78" t="s">
        <v>20</v>
      </c>
      <c r="B6" s="78">
        <v>945</v>
      </c>
      <c r="C6" s="70">
        <v>945</v>
      </c>
      <c r="D6" s="82"/>
      <c r="E6" s="70"/>
      <c r="F6">
        <v>11000</v>
      </c>
      <c r="G6" s="70"/>
      <c r="H6" s="87" t="s">
        <v>137</v>
      </c>
      <c r="I6" s="87" t="s">
        <v>229</v>
      </c>
      <c r="J6" s="88" t="s">
        <v>188</v>
      </c>
      <c r="K6" s="88" t="s">
        <v>189</v>
      </c>
      <c r="L6" s="88" t="s">
        <v>76</v>
      </c>
    </row>
    <row r="7" spans="1:12" ht="15.75" x14ac:dyDescent="0.25">
      <c r="A7" s="78" t="s">
        <v>31</v>
      </c>
      <c r="B7" s="78">
        <v>0</v>
      </c>
      <c r="C7" s="70"/>
      <c r="D7" s="82"/>
      <c r="E7" s="70"/>
      <c r="G7" s="70"/>
      <c r="H7" s="71" t="s">
        <v>9</v>
      </c>
      <c r="I7" s="71">
        <f>B22</f>
        <v>7018.4</v>
      </c>
      <c r="J7" s="71">
        <v>792</v>
      </c>
      <c r="K7" s="78">
        <f t="shared" ref="K7:K11" si="0">I7-J7</f>
        <v>6226.4</v>
      </c>
      <c r="L7" s="78"/>
    </row>
    <row r="8" spans="1:12" ht="15.75" x14ac:dyDescent="0.25">
      <c r="A8" s="78" t="s">
        <v>19</v>
      </c>
      <c r="B8" s="78">
        <v>800</v>
      </c>
      <c r="C8" s="70">
        <v>800</v>
      </c>
      <c r="D8" s="82"/>
      <c r="E8" s="70"/>
      <c r="G8" s="70"/>
      <c r="H8" s="73" t="s">
        <v>207</v>
      </c>
      <c r="I8" s="71">
        <f>B22</f>
        <v>7018.4</v>
      </c>
      <c r="J8" s="71"/>
      <c r="K8" s="78">
        <f t="shared" ref="K8" si="1">I8-J8</f>
        <v>7018.4</v>
      </c>
      <c r="L8" s="78"/>
    </row>
    <row r="9" spans="1:12" ht="15.75" x14ac:dyDescent="0.25">
      <c r="A9" s="78" t="s">
        <v>16</v>
      </c>
      <c r="B9" s="78">
        <v>0</v>
      </c>
      <c r="C9" s="70"/>
      <c r="D9" s="82"/>
      <c r="E9" s="70"/>
      <c r="G9" s="70"/>
      <c r="H9" s="71" t="s">
        <v>103</v>
      </c>
      <c r="I9" s="71">
        <f>B22</f>
        <v>7018.4</v>
      </c>
      <c r="J9" s="71">
        <v>507</v>
      </c>
      <c r="K9" s="78">
        <f t="shared" ref="K9" si="2">I9-J9</f>
        <v>6511.4</v>
      </c>
      <c r="L9" s="78"/>
    </row>
    <row r="10" spans="1:12" ht="15.75" x14ac:dyDescent="0.25">
      <c r="A10" s="78" t="s">
        <v>109</v>
      </c>
      <c r="B10" s="78">
        <v>1000</v>
      </c>
      <c r="C10" s="70">
        <v>500</v>
      </c>
      <c r="D10" s="82"/>
      <c r="E10" s="70">
        <v>19999</v>
      </c>
      <c r="G10" s="83"/>
      <c r="H10" s="73" t="s">
        <v>241</v>
      </c>
      <c r="I10" s="71">
        <f>B22</f>
        <v>7018.4</v>
      </c>
      <c r="J10" s="71">
        <v>1212</v>
      </c>
      <c r="K10" s="78">
        <f t="shared" si="0"/>
        <v>5806.4</v>
      </c>
      <c r="L10" s="78"/>
    </row>
    <row r="11" spans="1:12" ht="15.75" x14ac:dyDescent="0.25">
      <c r="A11" s="78" t="s">
        <v>114</v>
      </c>
      <c r="B11" s="78">
        <v>1500</v>
      </c>
      <c r="C11" s="70">
        <v>1500</v>
      </c>
      <c r="D11" s="82"/>
      <c r="E11" s="70"/>
      <c r="G11" s="70"/>
      <c r="H11" s="73" t="s">
        <v>300</v>
      </c>
      <c r="I11" s="71">
        <f>B22</f>
        <v>7018.4</v>
      </c>
      <c r="J11" s="71">
        <v>76</v>
      </c>
      <c r="K11" s="78">
        <f t="shared" si="0"/>
        <v>6942.4</v>
      </c>
      <c r="L11" s="78"/>
    </row>
    <row r="12" spans="1:12" ht="15.75" x14ac:dyDescent="0.25">
      <c r="A12" s="78" t="s">
        <v>8</v>
      </c>
      <c r="B12" s="78">
        <v>2500</v>
      </c>
      <c r="C12" s="70">
        <v>2000</v>
      </c>
      <c r="D12" s="82"/>
      <c r="E12" s="70"/>
      <c r="G12" s="70"/>
      <c r="I12" s="70"/>
      <c r="J12" s="70"/>
      <c r="K12" s="70"/>
      <c r="L12" s="70"/>
    </row>
    <row r="13" spans="1:12" ht="15.75" x14ac:dyDescent="0.25">
      <c r="A13" s="78" t="s">
        <v>301</v>
      </c>
      <c r="B13" s="78">
        <v>800</v>
      </c>
      <c r="C13" s="70">
        <v>600</v>
      </c>
      <c r="D13" s="82"/>
      <c r="E13" s="70"/>
      <c r="G13" s="70"/>
      <c r="H13" s="70"/>
      <c r="I13" s="70"/>
      <c r="J13" s="70"/>
      <c r="K13" s="70"/>
      <c r="L13" s="70"/>
    </row>
    <row r="14" spans="1:12" ht="15.75" x14ac:dyDescent="0.25">
      <c r="A14" s="78" t="s">
        <v>230</v>
      </c>
      <c r="B14" s="78">
        <v>700</v>
      </c>
      <c r="C14" s="70">
        <v>500</v>
      </c>
      <c r="D14" s="82"/>
      <c r="E14" s="70"/>
      <c r="F14">
        <v>10999</v>
      </c>
      <c r="G14" s="70"/>
      <c r="H14" s="70"/>
      <c r="I14" s="70"/>
      <c r="J14" s="70"/>
      <c r="K14" s="70">
        <f>SUM(K7:K13)</f>
        <v>32505</v>
      </c>
      <c r="L14" s="70"/>
    </row>
    <row r="15" spans="1:12" ht="15.75" x14ac:dyDescent="0.25">
      <c r="A15" s="78" t="s">
        <v>160</v>
      </c>
      <c r="B15" s="78">
        <v>700</v>
      </c>
      <c r="C15" s="70">
        <v>500</v>
      </c>
      <c r="D15" s="82"/>
      <c r="E15" s="70"/>
      <c r="F15">
        <v>430</v>
      </c>
      <c r="G15" s="89">
        <v>0.1</v>
      </c>
      <c r="H15" s="70"/>
      <c r="I15" s="70"/>
      <c r="J15" s="70"/>
      <c r="K15" s="70"/>
      <c r="L15" s="70"/>
    </row>
    <row r="16" spans="1:12" ht="15.75" x14ac:dyDescent="0.25">
      <c r="A16" s="78" t="s">
        <v>40</v>
      </c>
      <c r="B16" s="78">
        <v>500</v>
      </c>
      <c r="C16" s="70">
        <v>500</v>
      </c>
      <c r="D16" s="70"/>
      <c r="E16" s="70"/>
      <c r="F16">
        <f>SUM(F14:F15)</f>
        <v>11429</v>
      </c>
      <c r="G16" s="70">
        <f>F16*G15</f>
        <v>1142.9000000000001</v>
      </c>
      <c r="H16" s="70">
        <f>F16-G16</f>
        <v>10286.1</v>
      </c>
      <c r="I16" s="70"/>
      <c r="J16" s="70"/>
      <c r="K16" s="70"/>
      <c r="L16" s="70"/>
    </row>
    <row r="17" spans="1:13" ht="15.75" x14ac:dyDescent="0.25">
      <c r="A17" s="78" t="s">
        <v>302</v>
      </c>
      <c r="B17" s="78">
        <v>1500</v>
      </c>
      <c r="C17" s="70">
        <v>1500</v>
      </c>
      <c r="D17" s="70"/>
      <c r="E17" s="70"/>
      <c r="F17" s="70"/>
      <c r="G17" s="70"/>
      <c r="H17" s="70"/>
      <c r="I17" s="70"/>
      <c r="J17" s="70"/>
      <c r="K17" s="70"/>
      <c r="L17" s="70"/>
    </row>
    <row r="18" spans="1:13" ht="15.75" x14ac:dyDescent="0.25">
      <c r="A18" s="78" t="s">
        <v>303</v>
      </c>
      <c r="B18" s="78">
        <v>1212</v>
      </c>
      <c r="C18" s="70">
        <v>1212</v>
      </c>
      <c r="D18" s="70"/>
      <c r="E18" s="70"/>
      <c r="F18" s="70">
        <v>2</v>
      </c>
      <c r="G18" s="70"/>
      <c r="H18" s="70"/>
      <c r="I18" s="70"/>
      <c r="J18" s="70"/>
      <c r="K18" s="70"/>
      <c r="L18" s="70"/>
    </row>
    <row r="19" spans="1:13" ht="15.75" x14ac:dyDescent="0.25">
      <c r="A19" s="78" t="s">
        <v>304</v>
      </c>
      <c r="B19" s="78">
        <f>F19</f>
        <v>5143</v>
      </c>
      <c r="E19">
        <v>10286</v>
      </c>
      <c r="F19">
        <f>E19/F18</f>
        <v>5143</v>
      </c>
    </row>
    <row r="20" spans="1:13" ht="18" x14ac:dyDescent="0.3">
      <c r="A20" s="74" t="s">
        <v>17</v>
      </c>
      <c r="B20" s="75">
        <f>SUM(B2:B19)</f>
        <v>35092</v>
      </c>
      <c r="C20" s="75">
        <f>SUM(C2:C19)</f>
        <v>27557</v>
      </c>
      <c r="D20">
        <f>B20-C20</f>
        <v>7535</v>
      </c>
    </row>
    <row r="21" spans="1:13" x14ac:dyDescent="0.25">
      <c r="A21" s="70"/>
      <c r="B21" s="70"/>
    </row>
    <row r="22" spans="1:13" ht="18" x14ac:dyDescent="0.3">
      <c r="A22" s="6" t="s">
        <v>190</v>
      </c>
      <c r="B22" s="75">
        <f>B20/5</f>
        <v>7018.4</v>
      </c>
    </row>
    <row r="23" spans="1:13" x14ac:dyDescent="0.25">
      <c r="I23" t="s">
        <v>212</v>
      </c>
      <c r="J23">
        <v>1200</v>
      </c>
      <c r="K23">
        <v>1200</v>
      </c>
      <c r="L23" t="s">
        <v>280</v>
      </c>
      <c r="M23">
        <v>11000</v>
      </c>
    </row>
    <row r="24" spans="1:13" x14ac:dyDescent="0.25">
      <c r="A24" s="106" t="s">
        <v>209</v>
      </c>
      <c r="B24" s="106"/>
      <c r="C24" s="66">
        <f>SUM(K7:K11)</f>
        <v>32505</v>
      </c>
      <c r="I24" t="s">
        <v>281</v>
      </c>
      <c r="J24">
        <v>238</v>
      </c>
      <c r="K24">
        <v>273</v>
      </c>
      <c r="L24" t="s">
        <v>282</v>
      </c>
      <c r="M24">
        <v>5875</v>
      </c>
    </row>
    <row r="25" spans="1:13" ht="15.75" x14ac:dyDescent="0.25">
      <c r="A25" s="51" t="s">
        <v>48</v>
      </c>
      <c r="B25" s="51" t="s">
        <v>89</v>
      </c>
      <c r="C25" s="51" t="s">
        <v>210</v>
      </c>
      <c r="I25" t="s">
        <v>305</v>
      </c>
      <c r="J25">
        <v>0</v>
      </c>
      <c r="L25" t="s">
        <v>284</v>
      </c>
      <c r="M25">
        <f>B67</f>
        <v>-826</v>
      </c>
    </row>
    <row r="26" spans="1:13" ht="15.75" x14ac:dyDescent="0.25">
      <c r="A26" s="8" t="s">
        <v>14</v>
      </c>
      <c r="B26" s="8">
        <v>10000</v>
      </c>
      <c r="C26" s="85">
        <v>43740</v>
      </c>
      <c r="I26" t="s">
        <v>283</v>
      </c>
      <c r="J26">
        <v>5150</v>
      </c>
      <c r="K26">
        <v>250</v>
      </c>
      <c r="L26" t="s">
        <v>286</v>
      </c>
      <c r="M26">
        <v>1000</v>
      </c>
    </row>
    <row r="27" spans="1:13" ht="15.75" x14ac:dyDescent="0.25">
      <c r="A27" s="8" t="s">
        <v>97</v>
      </c>
      <c r="B27" s="8">
        <v>6500</v>
      </c>
      <c r="C27" s="85">
        <v>43740</v>
      </c>
      <c r="I27" t="s">
        <v>285</v>
      </c>
      <c r="J27">
        <v>450</v>
      </c>
      <c r="K27">
        <v>1350</v>
      </c>
      <c r="L27" t="s">
        <v>311</v>
      </c>
      <c r="M27">
        <v>14300</v>
      </c>
    </row>
    <row r="28" spans="1:13" ht="15.75" x14ac:dyDescent="0.25">
      <c r="A28" s="8" t="s">
        <v>299</v>
      </c>
      <c r="B28" s="8">
        <v>2000</v>
      </c>
      <c r="C28" s="85">
        <v>43740</v>
      </c>
      <c r="I28" t="s">
        <v>287</v>
      </c>
      <c r="J28">
        <v>1</v>
      </c>
    </row>
    <row r="29" spans="1:13" ht="15.75" x14ac:dyDescent="0.25">
      <c r="A29" s="8" t="s">
        <v>19</v>
      </c>
      <c r="B29" s="8">
        <v>800</v>
      </c>
      <c r="C29" s="85">
        <v>43740</v>
      </c>
      <c r="I29" t="s">
        <v>288</v>
      </c>
      <c r="J29">
        <v>80</v>
      </c>
    </row>
    <row r="30" spans="1:13" ht="15.75" x14ac:dyDescent="0.25">
      <c r="A30" s="78" t="s">
        <v>180</v>
      </c>
      <c r="B30" s="78">
        <v>150</v>
      </c>
      <c r="C30" s="85">
        <v>43740</v>
      </c>
      <c r="I30" t="s">
        <v>289</v>
      </c>
      <c r="J30">
        <v>163</v>
      </c>
    </row>
    <row r="31" spans="1:13" ht="15.75" x14ac:dyDescent="0.25">
      <c r="A31" s="78" t="s">
        <v>8</v>
      </c>
      <c r="B31" s="78">
        <v>488</v>
      </c>
      <c r="C31" s="85">
        <v>43740</v>
      </c>
      <c r="I31" t="s">
        <v>312</v>
      </c>
      <c r="J31">
        <v>5143</v>
      </c>
    </row>
    <row r="32" spans="1:13" ht="15.75" x14ac:dyDescent="0.25">
      <c r="A32" s="78" t="s">
        <v>304</v>
      </c>
      <c r="B32" s="78">
        <v>5143</v>
      </c>
      <c r="C32" s="85">
        <v>43740</v>
      </c>
      <c r="D32" t="s">
        <v>261</v>
      </c>
      <c r="E32">
        <v>5143</v>
      </c>
      <c r="F32">
        <f>E32*2</f>
        <v>10286</v>
      </c>
      <c r="I32" t="s">
        <v>309</v>
      </c>
      <c r="J32">
        <v>55</v>
      </c>
    </row>
    <row r="33" spans="1:15" ht="15.75" x14ac:dyDescent="0.25">
      <c r="A33" s="78" t="s">
        <v>114</v>
      </c>
      <c r="B33" s="78">
        <v>1963</v>
      </c>
      <c r="C33" s="85">
        <v>43742</v>
      </c>
      <c r="I33" t="s">
        <v>316</v>
      </c>
      <c r="J33">
        <v>5000</v>
      </c>
    </row>
    <row r="34" spans="1:15" ht="15.75" x14ac:dyDescent="0.25">
      <c r="A34" s="78" t="s">
        <v>308</v>
      </c>
      <c r="B34" s="78">
        <v>97</v>
      </c>
      <c r="C34" s="85">
        <v>43744</v>
      </c>
    </row>
    <row r="35" spans="1:15" ht="15.75" x14ac:dyDescent="0.25">
      <c r="A35" s="78" t="s">
        <v>8</v>
      </c>
      <c r="B35" s="78">
        <v>572</v>
      </c>
      <c r="C35" s="85">
        <v>43747</v>
      </c>
    </row>
    <row r="36" spans="1:15" ht="15.75" x14ac:dyDescent="0.25">
      <c r="A36" s="78" t="s">
        <v>180</v>
      </c>
      <c r="B36" s="35">
        <v>150</v>
      </c>
      <c r="C36" s="85">
        <v>43749</v>
      </c>
    </row>
    <row r="37" spans="1:15" ht="15.75" x14ac:dyDescent="0.25">
      <c r="A37" s="78" t="s">
        <v>160</v>
      </c>
      <c r="B37" s="78">
        <v>76</v>
      </c>
      <c r="C37" s="85">
        <v>43749</v>
      </c>
      <c r="I37" t="s">
        <v>17</v>
      </c>
      <c r="J37">
        <f>SUM(J23:J36)</f>
        <v>17480</v>
      </c>
      <c r="M37">
        <f>SUM(M23:M36)</f>
        <v>31349</v>
      </c>
      <c r="O37">
        <f>J37-M37</f>
        <v>-13869</v>
      </c>
    </row>
    <row r="38" spans="1:15" ht="15.75" x14ac:dyDescent="0.25">
      <c r="A38" s="78" t="s">
        <v>109</v>
      </c>
      <c r="B38" s="78">
        <v>1250</v>
      </c>
      <c r="C38" s="85">
        <v>43750</v>
      </c>
      <c r="O38">
        <v>4525</v>
      </c>
    </row>
    <row r="39" spans="1:15" ht="15.75" x14ac:dyDescent="0.25">
      <c r="A39" s="78" t="s">
        <v>269</v>
      </c>
      <c r="B39" s="78">
        <v>144</v>
      </c>
      <c r="C39" s="85">
        <v>43750</v>
      </c>
      <c r="O39">
        <v>11000</v>
      </c>
    </row>
    <row r="40" spans="1:15" ht="15.75" x14ac:dyDescent="0.25">
      <c r="A40" s="78" t="s">
        <v>310</v>
      </c>
      <c r="B40" s="78">
        <v>192</v>
      </c>
      <c r="C40" s="85">
        <v>43750</v>
      </c>
    </row>
    <row r="41" spans="1:15" ht="15.75" x14ac:dyDescent="0.25">
      <c r="A41" s="78" t="s">
        <v>160</v>
      </c>
      <c r="B41" s="78">
        <v>50</v>
      </c>
      <c r="C41" s="85">
        <v>43750</v>
      </c>
      <c r="O41">
        <f>SUM(O37:O40)</f>
        <v>1656</v>
      </c>
    </row>
    <row r="42" spans="1:15" ht="15.75" x14ac:dyDescent="0.25">
      <c r="A42" s="78" t="s">
        <v>8</v>
      </c>
      <c r="B42" s="78">
        <v>65</v>
      </c>
      <c r="C42" s="85">
        <v>43752</v>
      </c>
    </row>
    <row r="43" spans="1:15" ht="15.75" x14ac:dyDescent="0.25">
      <c r="A43" s="35" t="s">
        <v>291</v>
      </c>
      <c r="B43" s="35">
        <v>25</v>
      </c>
      <c r="C43" s="85">
        <v>43754</v>
      </c>
    </row>
    <row r="44" spans="1:15" ht="15.75" x14ac:dyDescent="0.25">
      <c r="A44" s="78" t="s">
        <v>8</v>
      </c>
      <c r="B44" s="78">
        <v>479</v>
      </c>
      <c r="C44" s="85">
        <v>43754</v>
      </c>
    </row>
    <row r="45" spans="1:15" ht="15.75" x14ac:dyDescent="0.25">
      <c r="A45" s="78" t="s">
        <v>160</v>
      </c>
      <c r="B45" s="78">
        <v>35</v>
      </c>
      <c r="C45" s="85">
        <v>43754</v>
      </c>
    </row>
    <row r="46" spans="1:15" ht="15.75" x14ac:dyDescent="0.25">
      <c r="A46" s="78" t="s">
        <v>314</v>
      </c>
      <c r="B46" s="78">
        <v>20</v>
      </c>
      <c r="C46" s="85">
        <v>43754</v>
      </c>
    </row>
    <row r="47" spans="1:15" ht="15.75" x14ac:dyDescent="0.25">
      <c r="A47" s="78" t="s">
        <v>160</v>
      </c>
      <c r="B47" s="78">
        <v>50</v>
      </c>
      <c r="C47" s="85">
        <v>43757</v>
      </c>
    </row>
    <row r="48" spans="1:15" ht="15.75" x14ac:dyDescent="0.25">
      <c r="A48" s="78" t="s">
        <v>180</v>
      </c>
      <c r="B48" s="78">
        <v>150</v>
      </c>
      <c r="C48" s="85">
        <v>43757</v>
      </c>
    </row>
    <row r="49" spans="1:3" ht="15.75" x14ac:dyDescent="0.25">
      <c r="A49" s="78" t="s">
        <v>225</v>
      </c>
      <c r="B49" s="78">
        <v>520</v>
      </c>
      <c r="C49" s="85">
        <v>43758</v>
      </c>
    </row>
    <row r="50" spans="1:3" ht="15.75" x14ac:dyDescent="0.25">
      <c r="A50" s="78" t="s">
        <v>8</v>
      </c>
      <c r="B50" s="78">
        <v>115</v>
      </c>
      <c r="C50" s="85">
        <v>43758</v>
      </c>
    </row>
    <row r="51" spans="1:3" ht="15.75" x14ac:dyDescent="0.25">
      <c r="A51" s="78" t="s">
        <v>315</v>
      </c>
      <c r="B51" s="78">
        <v>200</v>
      </c>
      <c r="C51" s="85">
        <v>43758</v>
      </c>
    </row>
    <row r="52" spans="1:3" ht="15.75" x14ac:dyDescent="0.25">
      <c r="A52" s="78" t="s">
        <v>160</v>
      </c>
      <c r="B52" s="78">
        <v>35</v>
      </c>
      <c r="C52" s="85">
        <v>43759</v>
      </c>
    </row>
    <row r="53" spans="1:3" ht="15.75" x14ac:dyDescent="0.25">
      <c r="A53" s="78" t="s">
        <v>8</v>
      </c>
      <c r="B53" s="78">
        <v>279</v>
      </c>
      <c r="C53" s="85">
        <v>43760</v>
      </c>
    </row>
    <row r="54" spans="1:3" ht="15.75" x14ac:dyDescent="0.25">
      <c r="A54" s="78" t="s">
        <v>160</v>
      </c>
      <c r="B54" s="78">
        <v>35</v>
      </c>
      <c r="C54" s="85">
        <v>43760</v>
      </c>
    </row>
    <row r="55" spans="1:3" ht="15.75" x14ac:dyDescent="0.25">
      <c r="A55" s="78" t="s">
        <v>277</v>
      </c>
      <c r="B55" s="78">
        <v>67</v>
      </c>
      <c r="C55" s="85">
        <v>43767</v>
      </c>
    </row>
    <row r="56" spans="1:3" ht="15.75" x14ac:dyDescent="0.25">
      <c r="A56" s="78" t="s">
        <v>317</v>
      </c>
      <c r="B56" s="78">
        <v>39</v>
      </c>
      <c r="C56" s="85">
        <v>43767</v>
      </c>
    </row>
    <row r="57" spans="1:3" ht="15.75" x14ac:dyDescent="0.25">
      <c r="A57" s="78" t="s">
        <v>160</v>
      </c>
      <c r="B57" s="78">
        <v>76</v>
      </c>
      <c r="C57" s="85">
        <v>43767</v>
      </c>
    </row>
    <row r="58" spans="1:3" ht="15.75" x14ac:dyDescent="0.25">
      <c r="A58" s="78" t="s">
        <v>318</v>
      </c>
      <c r="B58" s="78">
        <v>44</v>
      </c>
      <c r="C58" s="85">
        <v>43767</v>
      </c>
    </row>
    <row r="59" spans="1:3" ht="15.75" x14ac:dyDescent="0.25">
      <c r="A59" s="78" t="s">
        <v>319</v>
      </c>
      <c r="B59" s="78">
        <v>80</v>
      </c>
      <c r="C59" s="85">
        <v>43767</v>
      </c>
    </row>
    <row r="60" spans="1:3" ht="15.75" x14ac:dyDescent="0.25">
      <c r="A60" s="78" t="s">
        <v>8</v>
      </c>
      <c r="B60" s="78">
        <v>138</v>
      </c>
      <c r="C60" s="85">
        <v>43767</v>
      </c>
    </row>
    <row r="61" spans="1:3" ht="15.75" x14ac:dyDescent="0.25">
      <c r="A61" s="78" t="s">
        <v>20</v>
      </c>
      <c r="B61" s="78">
        <v>943</v>
      </c>
      <c r="C61" s="85">
        <v>43768</v>
      </c>
    </row>
    <row r="62" spans="1:3" ht="15.75" x14ac:dyDescent="0.25">
      <c r="A62" s="78" t="s">
        <v>8</v>
      </c>
      <c r="B62" s="78">
        <v>361</v>
      </c>
      <c r="C62" s="85">
        <v>43769</v>
      </c>
    </row>
    <row r="63" spans="1:3" ht="15.75" x14ac:dyDescent="0.25">
      <c r="B63" s="78"/>
      <c r="C63" s="81"/>
    </row>
    <row r="64" spans="1:3" ht="15.75" x14ac:dyDescent="0.25">
      <c r="A64" s="78"/>
      <c r="B64" s="78"/>
      <c r="C64" s="81"/>
    </row>
    <row r="65" spans="1:2" x14ac:dyDescent="0.25">
      <c r="A65" t="s">
        <v>17</v>
      </c>
      <c r="B65">
        <f>SUM(B26:B63)</f>
        <v>33331</v>
      </c>
    </row>
    <row r="67" spans="1:2" x14ac:dyDescent="0.25">
      <c r="A67" t="s">
        <v>216</v>
      </c>
      <c r="B67">
        <f>C24-B65</f>
        <v>-826</v>
      </c>
    </row>
  </sheetData>
  <mergeCells count="1">
    <mergeCell ref="A24:B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3" workbookViewId="0">
      <selection activeCell="C17" sqref="C17:C19"/>
    </sheetView>
  </sheetViews>
  <sheetFormatPr defaultRowHeight="15" x14ac:dyDescent="0.25"/>
  <cols>
    <col min="1" max="1" width="24.28515625" bestFit="1" customWidth="1"/>
    <col min="2" max="2" width="11.7109375" bestFit="1" customWidth="1"/>
    <col min="3" max="3" width="22.42578125" bestFit="1" customWidth="1"/>
    <col min="4" max="4" width="12.7109375" bestFit="1" customWidth="1"/>
    <col min="7" max="7" width="51.5703125" bestFit="1" customWidth="1"/>
  </cols>
  <sheetData>
    <row r="1" spans="1:9" ht="15.75" x14ac:dyDescent="0.25">
      <c r="A1" s="77" t="s">
        <v>43</v>
      </c>
      <c r="B1" s="77" t="s">
        <v>1</v>
      </c>
      <c r="C1" s="77" t="s">
        <v>37</v>
      </c>
    </row>
    <row r="2" spans="1:9" ht="15.75" x14ac:dyDescent="0.25">
      <c r="A2" s="78" t="s">
        <v>6</v>
      </c>
      <c r="B2" s="78">
        <v>3000</v>
      </c>
      <c r="C2" s="17">
        <f>B2/6</f>
        <v>500</v>
      </c>
    </row>
    <row r="3" spans="1:9" ht="15.75" x14ac:dyDescent="0.25">
      <c r="A3" s="78" t="s">
        <v>8</v>
      </c>
      <c r="B3" s="78">
        <v>2500</v>
      </c>
      <c r="C3" s="17">
        <f t="shared" ref="C3:C12" si="0">B3/6</f>
        <v>416.66666666666669</v>
      </c>
    </row>
    <row r="4" spans="1:9" ht="15.75" x14ac:dyDescent="0.25">
      <c r="A4" s="78" t="s">
        <v>10</v>
      </c>
      <c r="B4" s="78">
        <v>800</v>
      </c>
      <c r="C4" s="17">
        <f t="shared" si="0"/>
        <v>133.33333333333334</v>
      </c>
    </row>
    <row r="5" spans="1:9" ht="15.75" x14ac:dyDescent="0.25">
      <c r="A5" s="78" t="s">
        <v>54</v>
      </c>
      <c r="B5" s="78">
        <v>750</v>
      </c>
      <c r="C5" s="17">
        <f t="shared" si="0"/>
        <v>125</v>
      </c>
    </row>
    <row r="6" spans="1:9" ht="15.75" x14ac:dyDescent="0.25">
      <c r="A6" s="78" t="s">
        <v>14</v>
      </c>
      <c r="B6" s="78">
        <v>8500</v>
      </c>
      <c r="C6" s="17">
        <f t="shared" si="0"/>
        <v>1416.6666666666667</v>
      </c>
    </row>
    <row r="7" spans="1:9" ht="15.75" x14ac:dyDescent="0.25">
      <c r="A7" s="78" t="s">
        <v>18</v>
      </c>
      <c r="B7" s="78">
        <v>5500</v>
      </c>
      <c r="C7" s="17">
        <f t="shared" si="0"/>
        <v>916.66666666666663</v>
      </c>
      <c r="E7" s="91">
        <f>C12</f>
        <v>4625</v>
      </c>
      <c r="F7" s="92"/>
      <c r="G7" s="92"/>
      <c r="H7" s="92"/>
      <c r="I7" s="93"/>
    </row>
    <row r="8" spans="1:9" ht="15.75" x14ac:dyDescent="0.25">
      <c r="A8" s="78" t="s">
        <v>19</v>
      </c>
      <c r="B8" s="78">
        <v>600</v>
      </c>
      <c r="C8" s="17">
        <f t="shared" si="0"/>
        <v>100</v>
      </c>
      <c r="E8" s="94"/>
      <c r="F8" s="95"/>
      <c r="G8" s="95"/>
      <c r="H8" s="95"/>
      <c r="I8" s="96"/>
    </row>
    <row r="9" spans="1:9" ht="15.75" x14ac:dyDescent="0.25">
      <c r="A9" s="78" t="s">
        <v>20</v>
      </c>
      <c r="B9" s="78">
        <v>1500</v>
      </c>
      <c r="C9" s="17">
        <f t="shared" si="0"/>
        <v>250</v>
      </c>
      <c r="E9" s="94"/>
      <c r="F9" s="95"/>
      <c r="G9" s="95"/>
      <c r="H9" s="95"/>
      <c r="I9" s="96"/>
    </row>
    <row r="10" spans="1:9" ht="15.75" x14ac:dyDescent="0.25">
      <c r="A10" s="78" t="s">
        <v>39</v>
      </c>
      <c r="B10" s="78">
        <v>3600</v>
      </c>
      <c r="C10" s="17">
        <f t="shared" si="0"/>
        <v>600</v>
      </c>
      <c r="E10" s="94"/>
      <c r="F10" s="95"/>
      <c r="G10" s="95"/>
      <c r="H10" s="95"/>
      <c r="I10" s="96"/>
    </row>
    <row r="11" spans="1:9" ht="15.75" x14ac:dyDescent="0.25">
      <c r="A11" s="78" t="s">
        <v>40</v>
      </c>
      <c r="B11" s="78">
        <v>1000</v>
      </c>
      <c r="C11" s="17">
        <f t="shared" si="0"/>
        <v>166.66666666666666</v>
      </c>
      <c r="E11" s="97"/>
      <c r="F11" s="98"/>
      <c r="G11" s="98"/>
      <c r="H11" s="98"/>
      <c r="I11" s="99"/>
    </row>
    <row r="12" spans="1:9" ht="15.75" x14ac:dyDescent="0.25">
      <c r="A12" s="8" t="s">
        <v>17</v>
      </c>
      <c r="B12" s="8">
        <f>SUM(B2:B11)</f>
        <v>27750</v>
      </c>
      <c r="C12" s="17">
        <f t="shared" si="0"/>
        <v>4625</v>
      </c>
    </row>
    <row r="14" spans="1:9" ht="15.75" x14ac:dyDescent="0.25">
      <c r="A14" s="9" t="s">
        <v>23</v>
      </c>
      <c r="B14" s="9" t="s">
        <v>3</v>
      </c>
      <c r="C14" s="9"/>
    </row>
    <row r="15" spans="1:9" ht="15.75" x14ac:dyDescent="0.25">
      <c r="A15" s="78" t="s">
        <v>7</v>
      </c>
      <c r="B15" s="78">
        <v>4625</v>
      </c>
    </row>
    <row r="16" spans="1:9" ht="15.75" x14ac:dyDescent="0.25">
      <c r="A16" s="78" t="s">
        <v>9</v>
      </c>
      <c r="B16" s="78">
        <v>4625</v>
      </c>
      <c r="C16" s="10"/>
    </row>
    <row r="17" spans="1:3" ht="15.75" x14ac:dyDescent="0.25">
      <c r="A17" s="78" t="s">
        <v>11</v>
      </c>
      <c r="B17" s="78">
        <v>4625</v>
      </c>
    </row>
    <row r="18" spans="1:3" ht="15.75" x14ac:dyDescent="0.25">
      <c r="A18" s="6" t="s">
        <v>30</v>
      </c>
      <c r="B18" s="78">
        <v>4625</v>
      </c>
      <c r="C18" s="18"/>
    </row>
    <row r="19" spans="1:3" ht="15.75" x14ac:dyDescent="0.25">
      <c r="A19" s="6" t="s">
        <v>15</v>
      </c>
      <c r="B19" s="78">
        <v>4625</v>
      </c>
      <c r="C19" s="10"/>
    </row>
    <row r="20" spans="1:3" ht="15.75" x14ac:dyDescent="0.25">
      <c r="A20" s="6" t="s">
        <v>46</v>
      </c>
      <c r="B20" s="78">
        <v>4625</v>
      </c>
    </row>
    <row r="27" spans="1:3" x14ac:dyDescent="0.25">
      <c r="A27" t="s">
        <v>11</v>
      </c>
      <c r="B27">
        <v>4800</v>
      </c>
    </row>
    <row r="28" spans="1:3" x14ac:dyDescent="0.25">
      <c r="A28" t="s">
        <v>7</v>
      </c>
      <c r="B28">
        <v>5200</v>
      </c>
    </row>
    <row r="29" spans="1:3" x14ac:dyDescent="0.25">
      <c r="A29" t="s">
        <v>45</v>
      </c>
      <c r="B29">
        <v>5800</v>
      </c>
    </row>
    <row r="30" spans="1:3" x14ac:dyDescent="0.25">
      <c r="A30" t="s">
        <v>47</v>
      </c>
      <c r="B30">
        <v>1160</v>
      </c>
    </row>
  </sheetData>
  <mergeCells count="1">
    <mergeCell ref="E7:I11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A52" workbookViewId="0">
      <selection activeCell="A7" sqref="A7:B7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" bestFit="1" customWidth="1"/>
    <col min="6" max="6" width="10.42578125" bestFit="1" customWidth="1"/>
    <col min="8" max="8" width="9" bestFit="1" customWidth="1"/>
    <col min="9" max="9" width="16.5703125" bestFit="1" customWidth="1"/>
    <col min="10" max="10" width="7.7109375" bestFit="1" customWidth="1"/>
    <col min="11" max="11" width="11.85546875" bestFit="1" customWidth="1"/>
    <col min="12" max="12" width="7.140625" bestFit="1" customWidth="1"/>
  </cols>
  <sheetData>
    <row r="1" spans="1:12" ht="15.75" x14ac:dyDescent="0.25">
      <c r="A1" s="51" t="s">
        <v>48</v>
      </c>
      <c r="B1" s="51" t="s">
        <v>89</v>
      </c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5.75" x14ac:dyDescent="0.25">
      <c r="A2" s="78" t="s">
        <v>185</v>
      </c>
      <c r="B2" s="78">
        <f>-'Oct-19'!B67</f>
        <v>826</v>
      </c>
      <c r="C2" s="70">
        <f t="shared" ref="C2:C7" si="0">B2/5</f>
        <v>165.2</v>
      </c>
      <c r="D2" s="82"/>
      <c r="E2" s="70"/>
      <c r="F2" s="83"/>
      <c r="G2" s="70"/>
      <c r="H2" s="70"/>
      <c r="I2" s="70"/>
      <c r="J2" s="70"/>
      <c r="K2" s="70"/>
      <c r="L2" s="70"/>
    </row>
    <row r="3" spans="1:12" ht="15.75" x14ac:dyDescent="0.25">
      <c r="A3" s="78" t="s">
        <v>14</v>
      </c>
      <c r="B3" s="78">
        <v>10000</v>
      </c>
      <c r="C3" s="70">
        <f t="shared" si="0"/>
        <v>2000</v>
      </c>
      <c r="D3" s="82"/>
      <c r="E3" s="70"/>
      <c r="F3" s="70"/>
      <c r="G3" s="70"/>
      <c r="H3" s="70"/>
      <c r="I3" s="70"/>
      <c r="J3" s="70"/>
      <c r="K3" s="70"/>
      <c r="L3" s="70"/>
    </row>
    <row r="4" spans="1:12" ht="15.75" x14ac:dyDescent="0.25">
      <c r="A4" s="78" t="s">
        <v>97</v>
      </c>
      <c r="B4" s="78">
        <v>5500</v>
      </c>
      <c r="C4" s="70">
        <f t="shared" si="0"/>
        <v>1100</v>
      </c>
      <c r="D4" s="82"/>
      <c r="E4" s="70"/>
      <c r="F4" s="70"/>
      <c r="G4" s="70"/>
      <c r="H4" s="70"/>
      <c r="I4" s="70"/>
      <c r="J4" s="70"/>
      <c r="K4" s="70"/>
      <c r="L4" s="70"/>
    </row>
    <row r="5" spans="1:12" ht="15.75" x14ac:dyDescent="0.25">
      <c r="A5" s="78" t="s">
        <v>299</v>
      </c>
      <c r="B5" s="78">
        <v>1500</v>
      </c>
      <c r="C5" s="70">
        <f t="shared" si="0"/>
        <v>300</v>
      </c>
      <c r="D5" s="82"/>
      <c r="E5" s="70"/>
      <c r="F5" s="70"/>
      <c r="G5" s="70"/>
      <c r="H5" s="70"/>
      <c r="I5" s="70"/>
      <c r="J5" s="70"/>
      <c r="K5" s="70"/>
      <c r="L5" s="70"/>
    </row>
    <row r="6" spans="1:12" ht="15.75" x14ac:dyDescent="0.25">
      <c r="A6" s="78" t="s">
        <v>20</v>
      </c>
      <c r="B6" s="78">
        <v>945</v>
      </c>
      <c r="C6" s="70">
        <f t="shared" si="0"/>
        <v>189</v>
      </c>
      <c r="D6" s="82"/>
      <c r="E6" s="70"/>
      <c r="G6" s="70"/>
      <c r="H6" s="87" t="s">
        <v>137</v>
      </c>
      <c r="I6" s="87" t="s">
        <v>229</v>
      </c>
      <c r="J6" s="88" t="s">
        <v>188</v>
      </c>
      <c r="K6" s="88" t="s">
        <v>189</v>
      </c>
      <c r="L6" s="88" t="s">
        <v>76</v>
      </c>
    </row>
    <row r="7" spans="1:12" ht="15.75" x14ac:dyDescent="0.25">
      <c r="A7" s="78" t="s">
        <v>31</v>
      </c>
      <c r="B7" s="78">
        <v>560</v>
      </c>
      <c r="C7" s="70">
        <f t="shared" si="0"/>
        <v>112</v>
      </c>
      <c r="D7" s="82"/>
      <c r="E7" s="70"/>
      <c r="G7" s="70"/>
      <c r="H7" s="71" t="s">
        <v>9</v>
      </c>
      <c r="I7" s="71">
        <f>B22</f>
        <v>7045.4</v>
      </c>
      <c r="J7" s="71">
        <f>B2</f>
        <v>826</v>
      </c>
      <c r="K7" s="78">
        <f t="shared" ref="K7:K11" si="1">I7-J7</f>
        <v>6219.4</v>
      </c>
      <c r="L7" s="78"/>
    </row>
    <row r="8" spans="1:12" ht="15.75" x14ac:dyDescent="0.25">
      <c r="A8" s="78" t="s">
        <v>19</v>
      </c>
      <c r="B8" s="78">
        <v>500</v>
      </c>
      <c r="C8" s="70"/>
      <c r="D8" s="82">
        <f t="shared" ref="D8:D16" si="2">B8/4</f>
        <v>125</v>
      </c>
      <c r="E8" s="70"/>
      <c r="G8" s="70"/>
      <c r="H8" s="73" t="s">
        <v>207</v>
      </c>
      <c r="I8" s="71">
        <f>B22</f>
        <v>7045.4</v>
      </c>
      <c r="J8" s="71"/>
      <c r="K8" s="78">
        <f t="shared" si="1"/>
        <v>7045.4</v>
      </c>
      <c r="L8" s="78"/>
    </row>
    <row r="9" spans="1:12" ht="15.75" x14ac:dyDescent="0.25">
      <c r="A9" s="78" t="s">
        <v>16</v>
      </c>
      <c r="B9" s="78">
        <v>650</v>
      </c>
      <c r="C9" s="70"/>
      <c r="D9" s="82">
        <f t="shared" si="2"/>
        <v>162.5</v>
      </c>
      <c r="E9" s="70"/>
      <c r="G9" s="70"/>
      <c r="H9" s="71" t="s">
        <v>103</v>
      </c>
      <c r="I9" s="71">
        <f>B22</f>
        <v>7045.4</v>
      </c>
      <c r="J9" s="71">
        <v>2000</v>
      </c>
      <c r="K9" s="78">
        <f t="shared" si="1"/>
        <v>5045.3999999999996</v>
      </c>
      <c r="L9" s="78"/>
    </row>
    <row r="10" spans="1:12" ht="15.75" x14ac:dyDescent="0.25">
      <c r="A10" s="78" t="s">
        <v>109</v>
      </c>
      <c r="B10" s="78">
        <v>1000</v>
      </c>
      <c r="C10" s="70"/>
      <c r="D10" s="82">
        <f t="shared" si="2"/>
        <v>250</v>
      </c>
      <c r="E10" s="70"/>
      <c r="G10" s="83"/>
      <c r="H10" s="73" t="s">
        <v>241</v>
      </c>
      <c r="I10" s="71">
        <f>B22</f>
        <v>7045.4</v>
      </c>
      <c r="J10" s="71">
        <v>1212</v>
      </c>
      <c r="K10" s="78">
        <f t="shared" si="1"/>
        <v>5833.4</v>
      </c>
      <c r="L10" s="78"/>
    </row>
    <row r="11" spans="1:12" ht="15.75" x14ac:dyDescent="0.25">
      <c r="A11" s="78" t="s">
        <v>114</v>
      </c>
      <c r="B11" s="78">
        <v>1800</v>
      </c>
      <c r="C11" s="70"/>
      <c r="D11" s="82">
        <f t="shared" si="2"/>
        <v>450</v>
      </c>
      <c r="E11" s="70"/>
      <c r="G11" s="70"/>
      <c r="H11" s="73" t="s">
        <v>300</v>
      </c>
      <c r="I11" s="71">
        <f>B22</f>
        <v>7045.4</v>
      </c>
      <c r="J11" s="71"/>
      <c r="K11" s="78">
        <f t="shared" si="1"/>
        <v>7045.4</v>
      </c>
      <c r="L11" s="78"/>
    </row>
    <row r="12" spans="1:12" ht="15.75" x14ac:dyDescent="0.25">
      <c r="A12" s="78" t="s">
        <v>8</v>
      </c>
      <c r="B12" s="78">
        <v>2500</v>
      </c>
      <c r="C12" s="70"/>
      <c r="D12" s="82">
        <f t="shared" si="2"/>
        <v>625</v>
      </c>
      <c r="E12" s="70"/>
      <c r="G12" s="70"/>
      <c r="I12" s="70"/>
      <c r="J12" s="70"/>
      <c r="K12" s="70"/>
      <c r="L12" s="70"/>
    </row>
    <row r="13" spans="1:12" ht="15.75" x14ac:dyDescent="0.25">
      <c r="A13" s="78" t="s">
        <v>301</v>
      </c>
      <c r="B13" s="78">
        <v>1000</v>
      </c>
      <c r="C13" s="70"/>
      <c r="D13" s="82">
        <f t="shared" si="2"/>
        <v>250</v>
      </c>
      <c r="E13" s="70"/>
      <c r="G13" s="70"/>
      <c r="H13" s="70"/>
      <c r="I13" s="70"/>
      <c r="J13" s="70"/>
      <c r="K13" s="70"/>
      <c r="L13" s="70"/>
    </row>
    <row r="14" spans="1:12" ht="15.75" x14ac:dyDescent="0.25">
      <c r="A14" s="78" t="s">
        <v>230</v>
      </c>
      <c r="B14" s="78">
        <v>700</v>
      </c>
      <c r="C14" s="70"/>
      <c r="D14" s="82">
        <f t="shared" si="2"/>
        <v>175</v>
      </c>
      <c r="E14" s="70"/>
      <c r="G14" s="70"/>
      <c r="H14" s="70"/>
      <c r="I14" s="70">
        <f>SUM(I7:I13)</f>
        <v>35227</v>
      </c>
      <c r="J14" s="70"/>
      <c r="K14" s="70">
        <f>SUM(K7:K13)</f>
        <v>31189</v>
      </c>
      <c r="L14" s="70"/>
    </row>
    <row r="15" spans="1:12" ht="15.75" x14ac:dyDescent="0.25">
      <c r="A15" s="78" t="s">
        <v>160</v>
      </c>
      <c r="B15" s="78">
        <v>700</v>
      </c>
      <c r="C15" s="70"/>
      <c r="D15" s="82">
        <f t="shared" si="2"/>
        <v>175</v>
      </c>
      <c r="E15" s="70"/>
      <c r="G15" s="70"/>
      <c r="H15" s="70"/>
      <c r="I15" s="70"/>
      <c r="J15" s="70"/>
      <c r="K15" s="70"/>
      <c r="L15" s="70"/>
    </row>
    <row r="16" spans="1:12" ht="15.75" x14ac:dyDescent="0.25">
      <c r="A16" s="78" t="s">
        <v>40</v>
      </c>
      <c r="B16" s="78">
        <v>500</v>
      </c>
      <c r="C16" s="70"/>
      <c r="D16" s="82">
        <f t="shared" si="2"/>
        <v>125</v>
      </c>
      <c r="E16" s="70"/>
      <c r="G16" s="70"/>
      <c r="H16" s="70"/>
      <c r="I16" s="70"/>
      <c r="J16" s="70"/>
      <c r="K16" s="70"/>
      <c r="L16" s="70"/>
    </row>
    <row r="17" spans="1:19" ht="15.75" x14ac:dyDescent="0.25">
      <c r="A17" s="78" t="s">
        <v>307</v>
      </c>
      <c r="B17" s="78">
        <v>1212</v>
      </c>
      <c r="C17" s="70">
        <f>B17/5</f>
        <v>242.4</v>
      </c>
      <c r="D17" s="82"/>
      <c r="E17" s="70"/>
      <c r="F17" s="70"/>
      <c r="G17" s="70"/>
      <c r="H17" s="70"/>
      <c r="I17" s="70"/>
      <c r="J17" s="70"/>
      <c r="K17" s="70"/>
      <c r="L17" s="70"/>
    </row>
    <row r="18" spans="1:19" ht="15.75" x14ac:dyDescent="0.25">
      <c r="A18" s="78" t="s">
        <v>304</v>
      </c>
      <c r="B18" s="78">
        <v>5334</v>
      </c>
      <c r="C18" s="70"/>
      <c r="D18" s="82">
        <f>B18/4</f>
        <v>1333.5</v>
      </c>
      <c r="E18" s="70"/>
      <c r="F18" s="70"/>
      <c r="G18" s="70"/>
      <c r="H18" s="70"/>
      <c r="I18" s="70"/>
      <c r="J18" s="70"/>
      <c r="K18" s="70"/>
      <c r="L18" s="70"/>
    </row>
    <row r="19" spans="1:19" ht="15.75" x14ac:dyDescent="0.25">
      <c r="A19" s="78"/>
      <c r="B19" s="78"/>
      <c r="C19">
        <f>SUM(C2:C18)</f>
        <v>4108.5999999999995</v>
      </c>
      <c r="D19" s="82">
        <f>SUM(D8:D18)</f>
        <v>3671</v>
      </c>
      <c r="E19">
        <f>C19*5</f>
        <v>20542.999999999996</v>
      </c>
      <c r="F19">
        <f>D19*4</f>
        <v>14684</v>
      </c>
    </row>
    <row r="20" spans="1:19" ht="18" x14ac:dyDescent="0.3">
      <c r="A20" s="74" t="s">
        <v>17</v>
      </c>
      <c r="B20" s="75">
        <f>SUM(B2:B19)</f>
        <v>35227</v>
      </c>
      <c r="C20" s="75">
        <f>SUM(C2:C19)</f>
        <v>8217.1999999999989</v>
      </c>
      <c r="D20">
        <f>B20-C20</f>
        <v>27009.800000000003</v>
      </c>
    </row>
    <row r="21" spans="1:19" x14ac:dyDescent="0.25">
      <c r="A21" s="70"/>
      <c r="B21" s="70"/>
    </row>
    <row r="22" spans="1:19" ht="18" x14ac:dyDescent="0.3">
      <c r="A22" s="6" t="s">
        <v>190</v>
      </c>
      <c r="B22" s="75">
        <f>B20/5</f>
        <v>7045.4</v>
      </c>
    </row>
    <row r="23" spans="1:19" x14ac:dyDescent="0.25">
      <c r="I23" t="s">
        <v>212</v>
      </c>
      <c r="J23">
        <v>0</v>
      </c>
      <c r="L23" t="s">
        <v>280</v>
      </c>
      <c r="M23">
        <v>11000</v>
      </c>
      <c r="R23">
        <v>60000</v>
      </c>
      <c r="S23">
        <v>55000</v>
      </c>
    </row>
    <row r="24" spans="1:19" x14ac:dyDescent="0.25">
      <c r="A24" s="106" t="s">
        <v>209</v>
      </c>
      <c r="B24" s="106"/>
      <c r="C24" s="66">
        <f>SUM(K7:K11)</f>
        <v>31189</v>
      </c>
      <c r="I24" t="s">
        <v>281</v>
      </c>
      <c r="J24">
        <v>450</v>
      </c>
      <c r="L24" t="s">
        <v>282</v>
      </c>
      <c r="M24">
        <v>3185</v>
      </c>
      <c r="R24">
        <v>59000</v>
      </c>
      <c r="S24">
        <v>59000</v>
      </c>
    </row>
    <row r="25" spans="1:19" ht="15.75" x14ac:dyDescent="0.25">
      <c r="A25" s="51" t="s">
        <v>48</v>
      </c>
      <c r="B25" s="51" t="s">
        <v>89</v>
      </c>
      <c r="C25" s="51" t="s">
        <v>210</v>
      </c>
      <c r="G25">
        <v>15000</v>
      </c>
      <c r="I25" t="s">
        <v>305</v>
      </c>
      <c r="J25">
        <v>0</v>
      </c>
      <c r="L25" t="s">
        <v>323</v>
      </c>
      <c r="M25">
        <f>B68</f>
        <v>50</v>
      </c>
      <c r="R25">
        <v>11000</v>
      </c>
      <c r="S25">
        <v>11000</v>
      </c>
    </row>
    <row r="26" spans="1:19" ht="15.75" x14ac:dyDescent="0.25">
      <c r="A26" s="78" t="s">
        <v>14</v>
      </c>
      <c r="B26" s="78">
        <v>10000</v>
      </c>
      <c r="C26" s="85">
        <v>43771</v>
      </c>
      <c r="G26">
        <v>54500</v>
      </c>
      <c r="I26" t="s">
        <v>283</v>
      </c>
      <c r="J26">
        <v>0</v>
      </c>
      <c r="L26" t="s">
        <v>286</v>
      </c>
      <c r="M26">
        <v>1000</v>
      </c>
      <c r="S26">
        <v>-28000</v>
      </c>
    </row>
    <row r="27" spans="1:19" ht="15.75" x14ac:dyDescent="0.25">
      <c r="A27" s="78" t="s">
        <v>105</v>
      </c>
      <c r="B27" s="78">
        <v>5500</v>
      </c>
      <c r="C27" s="85">
        <v>43771</v>
      </c>
      <c r="G27">
        <v>4000</v>
      </c>
      <c r="I27" t="s">
        <v>285</v>
      </c>
      <c r="J27">
        <f>450+500</f>
        <v>950</v>
      </c>
      <c r="L27" t="s">
        <v>311</v>
      </c>
      <c r="M27">
        <v>29371</v>
      </c>
      <c r="R27">
        <f>SUM(R23:R26)</f>
        <v>130000</v>
      </c>
      <c r="S27">
        <f>SUM(S23:S26)</f>
        <v>97000</v>
      </c>
    </row>
    <row r="28" spans="1:19" ht="15.75" x14ac:dyDescent="0.25">
      <c r="A28" s="78" t="s">
        <v>184</v>
      </c>
      <c r="B28" s="78">
        <v>1500</v>
      </c>
      <c r="C28" s="85">
        <v>43771</v>
      </c>
      <c r="I28" t="s">
        <v>287</v>
      </c>
      <c r="J28">
        <v>0</v>
      </c>
    </row>
    <row r="29" spans="1:19" ht="15.75" x14ac:dyDescent="0.25">
      <c r="A29" s="78" t="s">
        <v>19</v>
      </c>
      <c r="B29" s="78">
        <v>500</v>
      </c>
      <c r="C29" s="85">
        <v>43771</v>
      </c>
      <c r="I29" t="s">
        <v>288</v>
      </c>
      <c r="J29">
        <v>0</v>
      </c>
    </row>
    <row r="30" spans="1:19" ht="15.75" x14ac:dyDescent="0.25">
      <c r="A30" s="78" t="s">
        <v>95</v>
      </c>
      <c r="B30" s="78">
        <v>76</v>
      </c>
      <c r="C30" s="85">
        <v>43770</v>
      </c>
      <c r="I30" t="s">
        <v>289</v>
      </c>
      <c r="J30">
        <v>0</v>
      </c>
    </row>
    <row r="31" spans="1:19" ht="15.75" x14ac:dyDescent="0.25">
      <c r="A31" s="78" t="s">
        <v>321</v>
      </c>
      <c r="B31" s="78">
        <v>74</v>
      </c>
      <c r="C31" s="85">
        <v>43771</v>
      </c>
      <c r="I31" t="s">
        <v>103</v>
      </c>
      <c r="J31">
        <v>0</v>
      </c>
    </row>
    <row r="32" spans="1:19" ht="15.75" x14ac:dyDescent="0.25">
      <c r="A32" s="78" t="s">
        <v>114</v>
      </c>
      <c r="B32" s="78">
        <v>1745</v>
      </c>
      <c r="C32" s="85">
        <v>43774</v>
      </c>
      <c r="I32" t="s">
        <v>309</v>
      </c>
      <c r="J32">
        <v>0</v>
      </c>
    </row>
    <row r="33" spans="1:15" ht="15.75" x14ac:dyDescent="0.25">
      <c r="A33" s="78" t="s">
        <v>16</v>
      </c>
      <c r="B33" s="78">
        <v>696</v>
      </c>
      <c r="C33" s="85">
        <v>43774</v>
      </c>
      <c r="I33" t="s">
        <v>316</v>
      </c>
      <c r="J33">
        <v>5000</v>
      </c>
    </row>
    <row r="34" spans="1:15" ht="15.75" x14ac:dyDescent="0.25">
      <c r="A34" s="78" t="s">
        <v>95</v>
      </c>
      <c r="B34" s="78">
        <v>50</v>
      </c>
      <c r="C34" s="85">
        <v>43774</v>
      </c>
      <c r="I34" t="s">
        <v>320</v>
      </c>
      <c r="J34">
        <v>3000</v>
      </c>
    </row>
    <row r="35" spans="1:15" ht="15.75" x14ac:dyDescent="0.25">
      <c r="A35" s="78" t="s">
        <v>225</v>
      </c>
      <c r="B35" s="78">
        <v>370</v>
      </c>
      <c r="C35" s="85">
        <v>43774</v>
      </c>
      <c r="I35" t="s">
        <v>324</v>
      </c>
      <c r="J35">
        <v>500</v>
      </c>
    </row>
    <row r="36" spans="1:15" ht="15.75" x14ac:dyDescent="0.25">
      <c r="A36" s="78" t="s">
        <v>8</v>
      </c>
      <c r="B36" s="78">
        <v>441</v>
      </c>
      <c r="C36" s="85">
        <v>43774</v>
      </c>
    </row>
    <row r="37" spans="1:15" ht="15.75" x14ac:dyDescent="0.25">
      <c r="A37" s="78" t="s">
        <v>322</v>
      </c>
      <c r="B37" s="78">
        <v>70</v>
      </c>
      <c r="C37" s="85">
        <v>43774</v>
      </c>
      <c r="I37" t="s">
        <v>17</v>
      </c>
      <c r="J37">
        <f>SUM(J23:J36)</f>
        <v>9900</v>
      </c>
      <c r="M37">
        <f>SUM(M23:M36)</f>
        <v>44606</v>
      </c>
      <c r="O37">
        <f>J37-M37</f>
        <v>-34706</v>
      </c>
    </row>
    <row r="38" spans="1:15" ht="15.75" x14ac:dyDescent="0.25">
      <c r="A38" s="78" t="s">
        <v>95</v>
      </c>
      <c r="B38" s="78">
        <v>35</v>
      </c>
      <c r="C38" s="85">
        <v>43774</v>
      </c>
      <c r="O38">
        <v>4525</v>
      </c>
    </row>
    <row r="39" spans="1:15" ht="15.75" x14ac:dyDescent="0.25">
      <c r="A39" s="78" t="s">
        <v>180</v>
      </c>
      <c r="B39" s="78">
        <v>150</v>
      </c>
      <c r="C39" s="85">
        <v>43774</v>
      </c>
      <c r="O39">
        <v>11000</v>
      </c>
    </row>
    <row r="40" spans="1:15" ht="15.75" x14ac:dyDescent="0.25">
      <c r="A40" s="78" t="s">
        <v>296</v>
      </c>
      <c r="B40" s="78">
        <v>50</v>
      </c>
      <c r="C40" s="85">
        <v>43774</v>
      </c>
    </row>
    <row r="41" spans="1:15" ht="15.75" x14ac:dyDescent="0.25">
      <c r="A41" s="78" t="s">
        <v>8</v>
      </c>
      <c r="B41" s="78">
        <v>210</v>
      </c>
      <c r="C41" s="85">
        <v>43778</v>
      </c>
      <c r="O41">
        <f>SUM(O37:O40)</f>
        <v>-19181</v>
      </c>
    </row>
    <row r="42" spans="1:15" ht="15.75" x14ac:dyDescent="0.25">
      <c r="A42" s="78" t="s">
        <v>225</v>
      </c>
      <c r="B42" s="78">
        <v>320</v>
      </c>
      <c r="C42" s="85">
        <v>43779</v>
      </c>
    </row>
    <row r="43" spans="1:15" ht="15.75" x14ac:dyDescent="0.25">
      <c r="A43" s="78" t="s">
        <v>95</v>
      </c>
      <c r="B43" s="78">
        <v>38</v>
      </c>
      <c r="C43" s="85">
        <v>43780</v>
      </c>
    </row>
    <row r="44" spans="1:15" ht="15.75" x14ac:dyDescent="0.25">
      <c r="A44" s="78" t="s">
        <v>8</v>
      </c>
      <c r="B44" s="78">
        <v>105</v>
      </c>
      <c r="C44" s="85">
        <v>43780</v>
      </c>
    </row>
    <row r="45" spans="1:15" ht="15.75" x14ac:dyDescent="0.25">
      <c r="A45" s="78" t="s">
        <v>304</v>
      </c>
      <c r="B45" s="78">
        <v>5334</v>
      </c>
      <c r="C45" s="85">
        <v>43770</v>
      </c>
    </row>
    <row r="46" spans="1:15" ht="15.75" x14ac:dyDescent="0.25">
      <c r="A46" s="78" t="s">
        <v>325</v>
      </c>
      <c r="B46" s="78">
        <v>60</v>
      </c>
      <c r="C46" s="85">
        <v>43782</v>
      </c>
    </row>
    <row r="47" spans="1:15" ht="15.75" x14ac:dyDescent="0.25">
      <c r="A47" s="78" t="s">
        <v>8</v>
      </c>
      <c r="B47" s="78">
        <v>160</v>
      </c>
      <c r="C47" s="85">
        <v>43783</v>
      </c>
    </row>
    <row r="48" spans="1:15" ht="15.75" x14ac:dyDescent="0.25">
      <c r="A48" s="78" t="s">
        <v>8</v>
      </c>
      <c r="B48" s="78">
        <v>178</v>
      </c>
      <c r="C48" s="85">
        <v>43784</v>
      </c>
    </row>
    <row r="49" spans="1:3" ht="15.75" x14ac:dyDescent="0.25">
      <c r="A49" s="78" t="s">
        <v>180</v>
      </c>
      <c r="B49" s="78">
        <v>150</v>
      </c>
      <c r="C49" s="85">
        <v>43788</v>
      </c>
    </row>
    <row r="50" spans="1:3" ht="15.75" x14ac:dyDescent="0.25">
      <c r="A50" s="78" t="s">
        <v>95</v>
      </c>
      <c r="B50" s="78">
        <v>50</v>
      </c>
      <c r="C50" s="85">
        <v>43788</v>
      </c>
    </row>
    <row r="51" spans="1:3" ht="15.75" x14ac:dyDescent="0.25">
      <c r="A51" s="78" t="s">
        <v>225</v>
      </c>
      <c r="B51" s="78">
        <v>330</v>
      </c>
      <c r="C51" s="85">
        <v>43788</v>
      </c>
    </row>
    <row r="52" spans="1:3" ht="15.75" x14ac:dyDescent="0.25">
      <c r="A52" s="78" t="s">
        <v>8</v>
      </c>
      <c r="B52" s="78">
        <v>280</v>
      </c>
      <c r="C52" s="85">
        <v>43788</v>
      </c>
    </row>
    <row r="53" spans="1:3" ht="15.75" x14ac:dyDescent="0.25">
      <c r="A53" s="78" t="s">
        <v>109</v>
      </c>
      <c r="B53" s="78">
        <v>290</v>
      </c>
      <c r="C53" s="85">
        <v>43788</v>
      </c>
    </row>
    <row r="54" spans="1:3" ht="15.75" x14ac:dyDescent="0.25">
      <c r="A54" s="78" t="s">
        <v>326</v>
      </c>
      <c r="B54" s="78">
        <v>140</v>
      </c>
      <c r="C54" s="85">
        <v>43788</v>
      </c>
    </row>
    <row r="55" spans="1:3" ht="15.75" x14ac:dyDescent="0.25">
      <c r="A55" s="78" t="s">
        <v>327</v>
      </c>
      <c r="B55" s="78">
        <v>116</v>
      </c>
      <c r="C55" s="85">
        <v>43790</v>
      </c>
    </row>
    <row r="56" spans="1:3" ht="15.75" x14ac:dyDescent="0.25">
      <c r="A56" s="78" t="s">
        <v>225</v>
      </c>
      <c r="B56" s="78">
        <v>310</v>
      </c>
      <c r="C56" s="85">
        <v>43793</v>
      </c>
    </row>
    <row r="57" spans="1:3" ht="15.75" x14ac:dyDescent="0.25">
      <c r="A57" s="78" t="s">
        <v>8</v>
      </c>
      <c r="B57" s="78">
        <v>281</v>
      </c>
      <c r="C57" s="85">
        <v>43793</v>
      </c>
    </row>
    <row r="58" spans="1:3" ht="15.75" x14ac:dyDescent="0.25">
      <c r="A58" s="78" t="s">
        <v>95</v>
      </c>
      <c r="B58" s="78">
        <v>50</v>
      </c>
      <c r="C58" s="85">
        <v>43793</v>
      </c>
    </row>
    <row r="59" spans="1:3" ht="15.75" x14ac:dyDescent="0.25">
      <c r="A59" s="78" t="s">
        <v>8</v>
      </c>
      <c r="B59" s="78">
        <v>116</v>
      </c>
      <c r="C59" s="85">
        <v>43793</v>
      </c>
    </row>
    <row r="60" spans="1:3" ht="15.75" x14ac:dyDescent="0.25">
      <c r="A60" s="78" t="s">
        <v>321</v>
      </c>
      <c r="B60" s="78">
        <v>75</v>
      </c>
      <c r="C60" s="85">
        <v>43795</v>
      </c>
    </row>
    <row r="61" spans="1:3" ht="15.75" x14ac:dyDescent="0.25">
      <c r="A61" s="78" t="s">
        <v>109</v>
      </c>
      <c r="B61" s="78">
        <v>150</v>
      </c>
      <c r="C61" s="85">
        <v>43796</v>
      </c>
    </row>
    <row r="62" spans="1:3" ht="15.75" x14ac:dyDescent="0.25">
      <c r="A62" s="78" t="s">
        <v>329</v>
      </c>
      <c r="B62" s="78">
        <v>161</v>
      </c>
      <c r="C62" s="85">
        <v>43796</v>
      </c>
    </row>
    <row r="63" spans="1:3" ht="15.75" x14ac:dyDescent="0.25">
      <c r="A63" s="78" t="s">
        <v>95</v>
      </c>
      <c r="B63" s="78">
        <v>35</v>
      </c>
      <c r="C63" s="85">
        <v>43796</v>
      </c>
    </row>
    <row r="64" spans="1:3" ht="15.75" x14ac:dyDescent="0.25">
      <c r="A64" s="78" t="s">
        <v>20</v>
      </c>
      <c r="B64">
        <v>943</v>
      </c>
      <c r="C64" s="85">
        <v>43796</v>
      </c>
    </row>
    <row r="65" spans="1:3" ht="15.75" x14ac:dyDescent="0.25">
      <c r="A65" s="78"/>
      <c r="B65" s="78"/>
      <c r="C65" s="81"/>
    </row>
    <row r="66" spans="1:3" x14ac:dyDescent="0.25">
      <c r="A66" t="s">
        <v>17</v>
      </c>
      <c r="B66">
        <f>SUM(B26:B64)</f>
        <v>31139</v>
      </c>
    </row>
    <row r="68" spans="1:3" x14ac:dyDescent="0.25">
      <c r="A68" t="s">
        <v>216</v>
      </c>
      <c r="B68">
        <f>C24-B66</f>
        <v>50</v>
      </c>
    </row>
  </sheetData>
  <mergeCells count="1">
    <mergeCell ref="A24:B24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G13" sqref="G13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1.7109375" bestFit="1" customWidth="1"/>
    <col min="6" max="6" width="10.42578125" bestFit="1" customWidth="1"/>
    <col min="8" max="8" width="10.42578125" bestFit="1" customWidth="1"/>
    <col min="9" max="9" width="16.5703125" bestFit="1" customWidth="1"/>
    <col min="10" max="10" width="7.7109375" bestFit="1" customWidth="1"/>
    <col min="11" max="11" width="11.85546875" bestFit="1" customWidth="1"/>
    <col min="12" max="12" width="7.140625" bestFit="1" customWidth="1"/>
  </cols>
  <sheetData>
    <row r="1" spans="1:12" ht="15.75" x14ac:dyDescent="0.25">
      <c r="A1" s="51" t="s">
        <v>48</v>
      </c>
      <c r="B1" s="51" t="s">
        <v>89</v>
      </c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5.75" x14ac:dyDescent="0.25">
      <c r="A2" s="78" t="s">
        <v>185</v>
      </c>
      <c r="B2" s="78"/>
      <c r="C2" s="70">
        <f t="shared" ref="C2:C7" si="0">B2/5</f>
        <v>0</v>
      </c>
      <c r="D2" s="82"/>
      <c r="E2" s="70"/>
      <c r="F2" s="83"/>
      <c r="G2" s="70"/>
      <c r="H2" s="70"/>
      <c r="I2" s="70"/>
      <c r="J2" s="70"/>
      <c r="K2" s="70"/>
      <c r="L2" s="70"/>
    </row>
    <row r="3" spans="1:12" ht="15.75" x14ac:dyDescent="0.25">
      <c r="A3" s="78" t="s">
        <v>14</v>
      </c>
      <c r="B3" s="78">
        <v>10000</v>
      </c>
      <c r="C3" s="70">
        <f>B3/4</f>
        <v>2500</v>
      </c>
      <c r="D3" s="82"/>
      <c r="E3" s="70">
        <v>10000</v>
      </c>
      <c r="F3" s="70"/>
      <c r="G3" s="70"/>
      <c r="H3" s="70"/>
      <c r="I3" s="70"/>
      <c r="J3" s="70"/>
      <c r="K3" s="70"/>
      <c r="L3" s="70"/>
    </row>
    <row r="4" spans="1:12" ht="15.75" x14ac:dyDescent="0.25">
      <c r="A4" s="78" t="s">
        <v>97</v>
      </c>
      <c r="B4" s="78">
        <v>5500</v>
      </c>
      <c r="C4" s="70">
        <f>B4/4</f>
        <v>1375</v>
      </c>
      <c r="D4" s="82"/>
      <c r="E4" s="70">
        <v>5500</v>
      </c>
      <c r="F4" s="70"/>
      <c r="G4" s="70"/>
      <c r="H4" s="70"/>
      <c r="I4" s="70"/>
      <c r="J4" s="70"/>
      <c r="K4" s="70"/>
      <c r="L4" s="70"/>
    </row>
    <row r="5" spans="1:12" ht="15.75" x14ac:dyDescent="0.25">
      <c r="A5" s="78" t="s">
        <v>299</v>
      </c>
      <c r="B5" s="78">
        <v>1500</v>
      </c>
      <c r="C5" s="70">
        <f>B5/4</f>
        <v>375</v>
      </c>
      <c r="D5" s="82"/>
      <c r="E5" s="70">
        <v>1500</v>
      </c>
      <c r="F5" s="70"/>
      <c r="G5" s="70"/>
      <c r="H5" s="70"/>
      <c r="I5" s="70"/>
      <c r="J5" s="70"/>
      <c r="K5" s="70"/>
      <c r="L5" s="70"/>
    </row>
    <row r="6" spans="1:12" ht="15.75" x14ac:dyDescent="0.25">
      <c r="A6" s="78" t="s">
        <v>20</v>
      </c>
      <c r="B6" s="78">
        <v>945</v>
      </c>
      <c r="C6" s="70">
        <f>B6/4</f>
        <v>236.25</v>
      </c>
      <c r="D6" s="82"/>
      <c r="E6" s="70">
        <v>945</v>
      </c>
      <c r="G6" s="70"/>
      <c r="H6" s="87" t="s">
        <v>137</v>
      </c>
      <c r="I6" s="87" t="s">
        <v>229</v>
      </c>
      <c r="J6" s="88" t="s">
        <v>188</v>
      </c>
      <c r="K6" s="88" t="s">
        <v>189</v>
      </c>
      <c r="L6" s="88" t="s">
        <v>76</v>
      </c>
    </row>
    <row r="7" spans="1:12" ht="15.75" x14ac:dyDescent="0.25">
      <c r="A7" s="78" t="s">
        <v>31</v>
      </c>
      <c r="B7" s="78">
        <v>0</v>
      </c>
      <c r="C7" s="70">
        <f t="shared" si="0"/>
        <v>0</v>
      </c>
      <c r="D7" s="82"/>
      <c r="E7" s="70"/>
      <c r="G7" s="70"/>
      <c r="H7" s="71" t="s">
        <v>9</v>
      </c>
      <c r="I7" s="71">
        <f>B22</f>
        <v>6011.4</v>
      </c>
      <c r="J7" s="71"/>
      <c r="K7" s="78">
        <f t="shared" ref="K7:K8" si="1">I7-J7</f>
        <v>6011.4</v>
      </c>
      <c r="L7" s="78"/>
    </row>
    <row r="8" spans="1:12" ht="15.75" x14ac:dyDescent="0.25">
      <c r="A8" s="78" t="s">
        <v>19</v>
      </c>
      <c r="B8" s="78">
        <v>500</v>
      </c>
      <c r="C8" s="70"/>
      <c r="D8" s="82">
        <f t="shared" ref="D8:D17" si="2">B8/5</f>
        <v>100</v>
      </c>
      <c r="E8" s="70">
        <v>500</v>
      </c>
      <c r="G8" s="70"/>
      <c r="H8" s="73" t="s">
        <v>207</v>
      </c>
      <c r="I8" s="71">
        <f>B22</f>
        <v>6011.4</v>
      </c>
      <c r="J8" s="71"/>
      <c r="K8" s="78">
        <f t="shared" si="1"/>
        <v>6011.4</v>
      </c>
      <c r="L8" s="78"/>
    </row>
    <row r="9" spans="1:12" ht="15.75" x14ac:dyDescent="0.25">
      <c r="A9" s="78" t="s">
        <v>16</v>
      </c>
      <c r="B9" s="78">
        <v>0</v>
      </c>
      <c r="C9" s="70"/>
      <c r="D9" s="82">
        <f t="shared" si="2"/>
        <v>0</v>
      </c>
      <c r="E9" s="70"/>
      <c r="G9" s="70"/>
      <c r="H9" s="73" t="s">
        <v>241</v>
      </c>
      <c r="I9" s="71">
        <f>B22</f>
        <v>6011.4</v>
      </c>
      <c r="J9" s="71">
        <v>1212</v>
      </c>
      <c r="K9" s="78">
        <f t="shared" ref="K9:K10" si="3">I9-J9</f>
        <v>4799.3999999999996</v>
      </c>
      <c r="L9" s="78"/>
    </row>
    <row r="10" spans="1:12" ht="15.75" x14ac:dyDescent="0.25">
      <c r="A10" s="78" t="s">
        <v>109</v>
      </c>
      <c r="B10" s="78">
        <v>1500</v>
      </c>
      <c r="C10" s="70"/>
      <c r="D10" s="82">
        <f t="shared" si="2"/>
        <v>300</v>
      </c>
      <c r="E10" s="70">
        <v>1350</v>
      </c>
      <c r="G10" s="83"/>
      <c r="H10" s="73" t="s">
        <v>300</v>
      </c>
      <c r="I10" s="71">
        <f>B22</f>
        <v>6011.4</v>
      </c>
      <c r="J10" s="71"/>
      <c r="K10" s="78">
        <f t="shared" si="3"/>
        <v>6011.4</v>
      </c>
      <c r="L10" s="78"/>
    </row>
    <row r="11" spans="1:12" ht="15.75" x14ac:dyDescent="0.25">
      <c r="A11" s="78" t="s">
        <v>114</v>
      </c>
      <c r="B11" s="78">
        <v>2000</v>
      </c>
      <c r="C11" s="70"/>
      <c r="D11" s="82">
        <f t="shared" si="2"/>
        <v>400</v>
      </c>
      <c r="E11" s="70">
        <v>1800</v>
      </c>
      <c r="G11" s="70"/>
      <c r="H11" s="73" t="s">
        <v>328</v>
      </c>
      <c r="I11" s="71">
        <v>3000</v>
      </c>
      <c r="J11" s="71"/>
      <c r="K11" s="78">
        <v>3000</v>
      </c>
      <c r="L11" s="78"/>
    </row>
    <row r="12" spans="1:12" ht="15.75" x14ac:dyDescent="0.25">
      <c r="A12" s="78" t="s">
        <v>8</v>
      </c>
      <c r="B12" s="78">
        <v>2500</v>
      </c>
      <c r="C12" s="70"/>
      <c r="D12" s="82">
        <f t="shared" si="2"/>
        <v>500</v>
      </c>
      <c r="E12" s="70">
        <v>2000</v>
      </c>
      <c r="G12" s="70"/>
      <c r="I12" s="70"/>
      <c r="J12" s="70"/>
      <c r="K12" s="70"/>
      <c r="L12" s="70"/>
    </row>
    <row r="13" spans="1:12" ht="15.75" x14ac:dyDescent="0.25">
      <c r="A13" s="78" t="s">
        <v>301</v>
      </c>
      <c r="B13" s="78">
        <v>2000</v>
      </c>
      <c r="C13" s="70"/>
      <c r="D13" s="82">
        <f t="shared" si="2"/>
        <v>400</v>
      </c>
      <c r="E13" s="70"/>
      <c r="G13" s="70"/>
      <c r="H13" s="70"/>
      <c r="I13" s="70"/>
      <c r="J13" s="70"/>
      <c r="K13" s="70"/>
      <c r="L13" s="70"/>
    </row>
    <row r="14" spans="1:12" ht="15.75" x14ac:dyDescent="0.25">
      <c r="A14" s="78" t="s">
        <v>230</v>
      </c>
      <c r="B14" s="78">
        <v>700</v>
      </c>
      <c r="C14" s="70"/>
      <c r="D14" s="82">
        <f t="shared" si="2"/>
        <v>140</v>
      </c>
      <c r="E14" s="70"/>
      <c r="G14" s="70"/>
      <c r="H14" s="70"/>
      <c r="I14" s="70">
        <f>SUM(I7:I13)</f>
        <v>27045.599999999999</v>
      </c>
      <c r="J14" s="70"/>
      <c r="K14" s="70">
        <f>SUM(K7:K13)</f>
        <v>25833.599999999999</v>
      </c>
      <c r="L14" s="70"/>
    </row>
    <row r="15" spans="1:12" ht="15.75" x14ac:dyDescent="0.25">
      <c r="A15" s="78" t="s">
        <v>160</v>
      </c>
      <c r="B15" s="78">
        <v>700</v>
      </c>
      <c r="C15" s="70"/>
      <c r="D15" s="82">
        <f t="shared" si="2"/>
        <v>140</v>
      </c>
      <c r="E15" s="70"/>
      <c r="G15" s="70"/>
      <c r="H15" s="70"/>
      <c r="I15" s="70"/>
      <c r="J15" s="70"/>
      <c r="K15" s="70"/>
      <c r="L15" s="70"/>
    </row>
    <row r="16" spans="1:12" ht="15.75" x14ac:dyDescent="0.25">
      <c r="A16" s="78" t="s">
        <v>40</v>
      </c>
      <c r="B16" s="78">
        <v>1000</v>
      </c>
      <c r="C16" s="70"/>
      <c r="D16" s="82">
        <f t="shared" si="2"/>
        <v>200</v>
      </c>
      <c r="E16" s="70"/>
      <c r="G16" s="70"/>
      <c r="H16" s="70"/>
      <c r="I16" s="70"/>
      <c r="J16" s="70"/>
      <c r="K16" s="70"/>
      <c r="L16" s="70"/>
    </row>
    <row r="17" spans="1:13" ht="15.75" x14ac:dyDescent="0.25">
      <c r="A17" s="78" t="s">
        <v>313</v>
      </c>
      <c r="B17" s="78">
        <v>1212</v>
      </c>
      <c r="D17" s="82">
        <f t="shared" si="2"/>
        <v>242.4</v>
      </c>
      <c r="E17" s="70"/>
      <c r="F17" s="70"/>
      <c r="G17" s="70"/>
      <c r="H17" s="70"/>
      <c r="I17" s="70"/>
      <c r="J17" s="70"/>
      <c r="K17" s="70"/>
      <c r="L17" s="70"/>
    </row>
    <row r="18" spans="1:13" ht="15.75" x14ac:dyDescent="0.25">
      <c r="A18" s="78"/>
      <c r="B18" s="78"/>
      <c r="C18" s="70"/>
      <c r="D18" s="82"/>
      <c r="E18" s="70"/>
      <c r="F18" s="70">
        <v>3</v>
      </c>
      <c r="G18" s="70"/>
      <c r="H18" s="70"/>
      <c r="I18" s="70"/>
      <c r="J18" s="70"/>
      <c r="K18" s="70"/>
      <c r="L18" s="70"/>
    </row>
    <row r="19" spans="1:13" ht="15.75" x14ac:dyDescent="0.25">
      <c r="A19" s="78"/>
      <c r="B19" s="78"/>
      <c r="C19">
        <f>SUM(C2:C18)</f>
        <v>4486.25</v>
      </c>
      <c r="D19" s="82">
        <f>SUM(D8:D18)</f>
        <v>2422.4</v>
      </c>
      <c r="E19">
        <v>10668</v>
      </c>
      <c r="F19">
        <f>E19/F18</f>
        <v>3556</v>
      </c>
    </row>
    <row r="20" spans="1:13" ht="18" x14ac:dyDescent="0.3">
      <c r="A20" s="74" t="s">
        <v>17</v>
      </c>
      <c r="B20" s="75">
        <f>SUM(B2:B19)</f>
        <v>30057</v>
      </c>
      <c r="C20" s="75">
        <f>SUM(C2:C19)</f>
        <v>8972.5</v>
      </c>
      <c r="D20">
        <f>B20-C20</f>
        <v>21084.5</v>
      </c>
    </row>
    <row r="21" spans="1:13" x14ac:dyDescent="0.25">
      <c r="A21" s="70"/>
      <c r="B21" s="70"/>
    </row>
    <row r="22" spans="1:13" ht="18" x14ac:dyDescent="0.3">
      <c r="A22" s="6" t="s">
        <v>190</v>
      </c>
      <c r="B22" s="75">
        <f>B20/5</f>
        <v>6011.4</v>
      </c>
    </row>
    <row r="23" spans="1:13" x14ac:dyDescent="0.25">
      <c r="I23" t="s">
        <v>212</v>
      </c>
      <c r="J23">
        <v>22</v>
      </c>
      <c r="L23" t="s">
        <v>280</v>
      </c>
      <c r="M23">
        <v>11000</v>
      </c>
    </row>
    <row r="24" spans="1:13" x14ac:dyDescent="0.25">
      <c r="A24" s="106" t="s">
        <v>209</v>
      </c>
      <c r="B24" s="106"/>
      <c r="C24" s="66">
        <f>SUM(K7:K11)</f>
        <v>25833.599999999999</v>
      </c>
      <c r="I24" t="s">
        <v>281</v>
      </c>
      <c r="J24">
        <v>45746</v>
      </c>
      <c r="L24" t="s">
        <v>282</v>
      </c>
      <c r="M24">
        <v>4075</v>
      </c>
    </row>
    <row r="25" spans="1:13" ht="15.75" x14ac:dyDescent="0.25">
      <c r="A25" s="51" t="s">
        <v>48</v>
      </c>
      <c r="B25" s="51" t="s">
        <v>89</v>
      </c>
      <c r="C25" s="51" t="s">
        <v>210</v>
      </c>
      <c r="I25" t="s">
        <v>305</v>
      </c>
      <c r="J25">
        <v>11000</v>
      </c>
      <c r="L25" t="s">
        <v>284</v>
      </c>
      <c r="M25">
        <f>B74</f>
        <v>0</v>
      </c>
    </row>
    <row r="26" spans="1:13" ht="15.75" x14ac:dyDescent="0.25">
      <c r="A26" s="78" t="s">
        <v>14</v>
      </c>
      <c r="B26" s="78">
        <v>10000</v>
      </c>
      <c r="C26" s="85"/>
      <c r="I26" t="s">
        <v>283</v>
      </c>
      <c r="J26">
        <v>40</v>
      </c>
      <c r="L26" t="s">
        <v>286</v>
      </c>
      <c r="M26">
        <v>1000</v>
      </c>
    </row>
    <row r="27" spans="1:13" ht="15.75" x14ac:dyDescent="0.25">
      <c r="A27" s="78" t="s">
        <v>105</v>
      </c>
      <c r="B27" s="78">
        <v>6500</v>
      </c>
      <c r="C27" s="85"/>
      <c r="I27" t="s">
        <v>285</v>
      </c>
      <c r="J27">
        <v>550</v>
      </c>
    </row>
    <row r="28" spans="1:13" ht="15.75" x14ac:dyDescent="0.25">
      <c r="A28" s="78" t="s">
        <v>184</v>
      </c>
      <c r="B28" s="78">
        <v>1500</v>
      </c>
      <c r="C28" s="85"/>
      <c r="I28" t="s">
        <v>287</v>
      </c>
      <c r="J28">
        <v>121</v>
      </c>
    </row>
    <row r="29" spans="1:13" ht="15.75" x14ac:dyDescent="0.25">
      <c r="A29" s="78" t="s">
        <v>19</v>
      </c>
      <c r="B29" s="78">
        <v>1000</v>
      </c>
      <c r="C29" s="85"/>
      <c r="I29" t="s">
        <v>288</v>
      </c>
      <c r="J29">
        <v>90</v>
      </c>
    </row>
    <row r="30" spans="1:13" ht="15.75" x14ac:dyDescent="0.25">
      <c r="A30" s="78" t="s">
        <v>330</v>
      </c>
      <c r="B30" s="78">
        <v>228</v>
      </c>
      <c r="C30" s="85"/>
      <c r="I30" t="s">
        <v>289</v>
      </c>
      <c r="J30">
        <v>95</v>
      </c>
    </row>
    <row r="31" spans="1:13" ht="15.75" x14ac:dyDescent="0.25">
      <c r="A31" s="78" t="s">
        <v>180</v>
      </c>
      <c r="B31" s="78">
        <v>90</v>
      </c>
      <c r="C31" s="85"/>
      <c r="I31" t="s">
        <v>290</v>
      </c>
      <c r="J31">
        <v>1500</v>
      </c>
    </row>
    <row r="32" spans="1:13" ht="15.75" x14ac:dyDescent="0.25">
      <c r="A32" s="78" t="s">
        <v>114</v>
      </c>
      <c r="B32" s="78">
        <v>3136</v>
      </c>
      <c r="C32" s="85"/>
      <c r="I32" t="s">
        <v>306</v>
      </c>
      <c r="J32">
        <v>10000</v>
      </c>
    </row>
    <row r="33" spans="1:15" ht="15.75" x14ac:dyDescent="0.25">
      <c r="A33" s="78" t="s">
        <v>277</v>
      </c>
      <c r="B33" s="78">
        <v>25</v>
      </c>
      <c r="C33" s="85"/>
    </row>
    <row r="34" spans="1:15" ht="15.75" x14ac:dyDescent="0.25">
      <c r="A34" s="78" t="s">
        <v>160</v>
      </c>
      <c r="B34" s="78">
        <v>35</v>
      </c>
      <c r="C34" s="85"/>
    </row>
    <row r="35" spans="1:15" ht="15.75" x14ac:dyDescent="0.25">
      <c r="A35" s="78" t="s">
        <v>160</v>
      </c>
      <c r="B35" s="78">
        <v>38</v>
      </c>
      <c r="C35" s="85"/>
    </row>
    <row r="36" spans="1:15" ht="15.75" x14ac:dyDescent="0.25">
      <c r="A36" s="78" t="s">
        <v>160</v>
      </c>
      <c r="B36" s="78">
        <v>76</v>
      </c>
      <c r="C36" s="85"/>
    </row>
    <row r="37" spans="1:15" ht="15.75" x14ac:dyDescent="0.25">
      <c r="A37" s="78" t="s">
        <v>225</v>
      </c>
      <c r="B37" s="78">
        <v>563</v>
      </c>
      <c r="C37" s="85"/>
      <c r="I37" t="s">
        <v>17</v>
      </c>
      <c r="J37">
        <f>SUM(J23:J36)</f>
        <v>69164</v>
      </c>
      <c r="M37">
        <f>SUM(M23:M36)</f>
        <v>16075</v>
      </c>
      <c r="O37">
        <f>J37-M37</f>
        <v>53089</v>
      </c>
    </row>
    <row r="38" spans="1:15" ht="15.75" x14ac:dyDescent="0.25">
      <c r="A38" s="78" t="s">
        <v>8</v>
      </c>
      <c r="B38" s="78">
        <v>503</v>
      </c>
      <c r="C38" s="85"/>
      <c r="O38">
        <v>4525</v>
      </c>
    </row>
    <row r="39" spans="1:15" ht="15.75" x14ac:dyDescent="0.25">
      <c r="A39" s="78" t="s">
        <v>8</v>
      </c>
      <c r="B39" s="78">
        <v>108</v>
      </c>
      <c r="C39" s="85"/>
      <c r="O39">
        <v>13000</v>
      </c>
    </row>
    <row r="40" spans="1:15" ht="15.75" x14ac:dyDescent="0.25">
      <c r="A40" s="78" t="s">
        <v>8</v>
      </c>
      <c r="B40" s="78">
        <v>147</v>
      </c>
      <c r="C40" s="85"/>
    </row>
    <row r="41" spans="1:15" ht="15.75" x14ac:dyDescent="0.25">
      <c r="A41" s="78" t="s">
        <v>225</v>
      </c>
      <c r="B41" s="78">
        <v>580</v>
      </c>
      <c r="C41" s="85"/>
      <c r="O41">
        <f>SUM(O37:O40)</f>
        <v>70614</v>
      </c>
    </row>
    <row r="42" spans="1:15" ht="15.75" x14ac:dyDescent="0.25">
      <c r="A42" s="78" t="s">
        <v>331</v>
      </c>
      <c r="B42" s="78">
        <v>720</v>
      </c>
      <c r="C42" s="85"/>
    </row>
    <row r="43" spans="1:15" ht="15.75" x14ac:dyDescent="0.25">
      <c r="A43" s="78" t="s">
        <v>8</v>
      </c>
      <c r="B43" s="78">
        <v>135</v>
      </c>
      <c r="C43" s="85"/>
    </row>
    <row r="44" spans="1:15" ht="15.75" x14ac:dyDescent="0.25">
      <c r="A44" s="78" t="s">
        <v>205</v>
      </c>
      <c r="B44" s="78">
        <v>700</v>
      </c>
      <c r="C44" s="85"/>
    </row>
    <row r="45" spans="1:15" ht="15.75" x14ac:dyDescent="0.25">
      <c r="A45" s="78" t="s">
        <v>332</v>
      </c>
      <c r="B45" s="78">
        <v>428</v>
      </c>
      <c r="C45" s="85"/>
    </row>
    <row r="46" spans="1:15" ht="15.75" x14ac:dyDescent="0.25">
      <c r="A46" s="78" t="s">
        <v>160</v>
      </c>
      <c r="B46" s="78">
        <v>100</v>
      </c>
      <c r="C46" s="85"/>
    </row>
    <row r="47" spans="1:15" ht="15.75" x14ac:dyDescent="0.25">
      <c r="A47" s="78" t="s">
        <v>333</v>
      </c>
      <c r="B47" s="78">
        <v>93</v>
      </c>
      <c r="C47" s="85"/>
    </row>
    <row r="48" spans="1:15" ht="15.75" x14ac:dyDescent="0.25">
      <c r="A48" s="78" t="s">
        <v>180</v>
      </c>
      <c r="B48" s="78">
        <v>150</v>
      </c>
      <c r="C48" s="85"/>
    </row>
    <row r="49" spans="1:3" ht="15.75" x14ac:dyDescent="0.25">
      <c r="A49" s="78" t="s">
        <v>160</v>
      </c>
      <c r="B49" s="78">
        <v>50</v>
      </c>
      <c r="C49" s="85"/>
    </row>
    <row r="50" spans="1:3" ht="15.75" x14ac:dyDescent="0.25">
      <c r="A50" s="78" t="s">
        <v>220</v>
      </c>
      <c r="B50" s="78">
        <v>120</v>
      </c>
      <c r="C50" s="85"/>
    </row>
    <row r="51" spans="1:3" ht="15.75" x14ac:dyDescent="0.25">
      <c r="A51" s="78" t="s">
        <v>220</v>
      </c>
      <c r="B51" s="78">
        <v>90</v>
      </c>
      <c r="C51" s="85"/>
    </row>
    <row r="52" spans="1:3" ht="15.75" x14ac:dyDescent="0.25">
      <c r="A52" s="78" t="s">
        <v>334</v>
      </c>
      <c r="B52" s="78">
        <v>70</v>
      </c>
      <c r="C52" s="85"/>
    </row>
    <row r="53" spans="1:3" ht="15.75" x14ac:dyDescent="0.25">
      <c r="A53" s="78" t="s">
        <v>335</v>
      </c>
      <c r="B53" s="78">
        <v>80</v>
      </c>
      <c r="C53" s="85"/>
    </row>
    <row r="54" spans="1:3" ht="15.75" x14ac:dyDescent="0.25">
      <c r="A54" s="78" t="s">
        <v>160</v>
      </c>
      <c r="B54" s="78">
        <v>76</v>
      </c>
      <c r="C54" s="85">
        <v>43826</v>
      </c>
    </row>
    <row r="55" spans="1:3" ht="15.75" x14ac:dyDescent="0.25">
      <c r="A55" s="78"/>
      <c r="B55" s="78"/>
      <c r="C55" s="85"/>
    </row>
    <row r="56" spans="1:3" ht="15.75" x14ac:dyDescent="0.25">
      <c r="A56" s="78" t="s">
        <v>336</v>
      </c>
      <c r="B56" s="78">
        <v>1000</v>
      </c>
      <c r="C56" s="85">
        <v>43826</v>
      </c>
    </row>
    <row r="57" spans="1:3" ht="15.75" x14ac:dyDescent="0.25">
      <c r="A57" s="78"/>
      <c r="B57" s="78"/>
      <c r="C57" s="85"/>
    </row>
    <row r="58" spans="1:3" ht="15.75" x14ac:dyDescent="0.25">
      <c r="A58" s="78"/>
      <c r="B58" s="78"/>
      <c r="C58" s="85"/>
    </row>
    <row r="59" spans="1:3" ht="15.75" x14ac:dyDescent="0.25">
      <c r="A59" s="78"/>
      <c r="B59" s="78"/>
      <c r="C59" s="85"/>
    </row>
    <row r="60" spans="1:3" ht="15.75" x14ac:dyDescent="0.25">
      <c r="A60" s="78"/>
      <c r="B60" s="78"/>
      <c r="C60" s="85"/>
    </row>
    <row r="61" spans="1:3" ht="15.75" x14ac:dyDescent="0.25">
      <c r="A61" s="78"/>
      <c r="B61" s="78"/>
      <c r="C61" s="85"/>
    </row>
    <row r="62" spans="1:3" ht="15.75" x14ac:dyDescent="0.25">
      <c r="A62" s="78"/>
      <c r="B62" s="78"/>
      <c r="C62" s="81"/>
    </row>
    <row r="63" spans="1:3" ht="15.75" x14ac:dyDescent="0.25">
      <c r="A63" s="78" t="s">
        <v>20</v>
      </c>
      <c r="B63" s="78">
        <v>945</v>
      </c>
      <c r="C63" s="81"/>
    </row>
    <row r="64" spans="1:3" ht="15.75" x14ac:dyDescent="0.25">
      <c r="A64" s="78"/>
      <c r="B64" s="78"/>
      <c r="C64" s="81"/>
    </row>
    <row r="65" spans="1:2" x14ac:dyDescent="0.25">
      <c r="A65" t="s">
        <v>17</v>
      </c>
      <c r="B65">
        <f>SUM(B26:B60)</f>
        <v>28341</v>
      </c>
    </row>
    <row r="67" spans="1:2" x14ac:dyDescent="0.25">
      <c r="A67" t="s">
        <v>216</v>
      </c>
      <c r="B67">
        <f>C24-B65</f>
        <v>-2507.4000000000015</v>
      </c>
    </row>
  </sheetData>
  <mergeCells count="1">
    <mergeCell ref="A24:B24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topLeftCell="A19" workbookViewId="0">
      <selection activeCell="C29" sqref="C29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1.7109375" bestFit="1" customWidth="1"/>
    <col min="6" max="6" width="10.42578125" bestFit="1" customWidth="1"/>
    <col min="8" max="8" width="10.42578125" bestFit="1" customWidth="1"/>
    <col min="9" max="9" width="16.5703125" bestFit="1" customWidth="1"/>
    <col min="10" max="10" width="7.7109375" bestFit="1" customWidth="1"/>
    <col min="11" max="11" width="11.85546875" bestFit="1" customWidth="1"/>
    <col min="12" max="12" width="7.140625" bestFit="1" customWidth="1"/>
  </cols>
  <sheetData>
    <row r="1" spans="1:12" ht="15.75" x14ac:dyDescent="0.25">
      <c r="A1" s="51" t="s">
        <v>48</v>
      </c>
      <c r="B1" s="51" t="s">
        <v>89</v>
      </c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5.75" x14ac:dyDescent="0.25">
      <c r="A2" s="78" t="s">
        <v>185</v>
      </c>
      <c r="B2" s="78">
        <f>-'Dec-19'!B67</f>
        <v>2507.4000000000015</v>
      </c>
      <c r="C2" s="70"/>
      <c r="D2" s="82"/>
      <c r="E2" s="70"/>
      <c r="F2" s="83"/>
      <c r="G2" s="70"/>
      <c r="H2" s="70"/>
      <c r="I2" s="70"/>
      <c r="J2" s="70"/>
      <c r="K2" s="70"/>
      <c r="L2" s="70"/>
    </row>
    <row r="3" spans="1:12" ht="15.75" x14ac:dyDescent="0.25">
      <c r="A3" s="78" t="s">
        <v>14</v>
      </c>
      <c r="B3" s="78">
        <v>10000</v>
      </c>
      <c r="C3" s="70"/>
      <c r="D3" s="82"/>
      <c r="E3" s="70"/>
      <c r="F3" s="70"/>
      <c r="G3" s="70"/>
      <c r="H3" s="70"/>
      <c r="I3" s="70"/>
      <c r="J3" s="70"/>
      <c r="K3" s="70"/>
      <c r="L3" s="70"/>
    </row>
    <row r="4" spans="1:12" ht="15.75" x14ac:dyDescent="0.25">
      <c r="A4" s="78" t="s">
        <v>97</v>
      </c>
      <c r="B4" s="78">
        <v>6500</v>
      </c>
      <c r="C4" s="70"/>
      <c r="D4" s="82"/>
      <c r="E4" s="70"/>
      <c r="F4" s="70"/>
      <c r="G4" s="70"/>
      <c r="H4" s="70"/>
      <c r="I4" s="70"/>
      <c r="J4" s="70"/>
      <c r="K4" s="70"/>
      <c r="L4" s="70"/>
    </row>
    <row r="5" spans="1:12" ht="15.75" x14ac:dyDescent="0.25">
      <c r="A5" s="78" t="s">
        <v>299</v>
      </c>
      <c r="B5" s="78">
        <v>2000</v>
      </c>
      <c r="C5" s="70"/>
      <c r="D5" s="82"/>
      <c r="E5" s="70"/>
      <c r="F5" s="70"/>
      <c r="G5" s="70"/>
      <c r="H5" s="70"/>
      <c r="I5" s="70"/>
      <c r="J5" s="70"/>
      <c r="K5" s="70"/>
      <c r="L5" s="70"/>
    </row>
    <row r="6" spans="1:12" ht="15.75" x14ac:dyDescent="0.25">
      <c r="A6" s="78" t="s">
        <v>20</v>
      </c>
      <c r="B6" s="78">
        <v>945</v>
      </c>
      <c r="C6" s="70"/>
      <c r="D6" s="82"/>
      <c r="E6" s="70"/>
      <c r="G6" s="70"/>
      <c r="H6" s="87" t="s">
        <v>137</v>
      </c>
      <c r="I6" s="87" t="s">
        <v>229</v>
      </c>
      <c r="J6" s="88" t="s">
        <v>188</v>
      </c>
      <c r="K6" s="88" t="s">
        <v>189</v>
      </c>
      <c r="L6" s="88" t="s">
        <v>76</v>
      </c>
    </row>
    <row r="7" spans="1:12" ht="15.75" x14ac:dyDescent="0.25">
      <c r="A7" s="78" t="s">
        <v>31</v>
      </c>
      <c r="B7" s="78">
        <v>530</v>
      </c>
      <c r="C7" s="70"/>
      <c r="D7" s="82"/>
      <c r="E7" s="70"/>
      <c r="G7" s="70"/>
      <c r="H7" s="71" t="s">
        <v>9</v>
      </c>
      <c r="I7" s="71">
        <f>B22</f>
        <v>6516.4800000000005</v>
      </c>
      <c r="J7" s="71">
        <f>B2</f>
        <v>2507.4000000000015</v>
      </c>
      <c r="K7" s="78">
        <f t="shared" ref="K7:K11" si="0">I7-J7</f>
        <v>4009.079999999999</v>
      </c>
      <c r="L7" s="78"/>
    </row>
    <row r="8" spans="1:12" ht="15.75" x14ac:dyDescent="0.25">
      <c r="A8" s="78" t="s">
        <v>19</v>
      </c>
      <c r="B8" s="78">
        <v>800</v>
      </c>
      <c r="C8" s="70"/>
      <c r="D8" s="82"/>
      <c r="E8" s="70"/>
      <c r="G8" s="70"/>
      <c r="H8" s="73" t="s">
        <v>207</v>
      </c>
      <c r="I8" s="71">
        <f>B22</f>
        <v>6516.4800000000005</v>
      </c>
      <c r="J8" s="71"/>
      <c r="K8" s="78">
        <f t="shared" si="0"/>
        <v>6516.4800000000005</v>
      </c>
      <c r="L8" s="78"/>
    </row>
    <row r="9" spans="1:12" ht="15.75" x14ac:dyDescent="0.25">
      <c r="A9" s="78" t="s">
        <v>16</v>
      </c>
      <c r="B9" s="78">
        <v>600</v>
      </c>
      <c r="C9" s="70"/>
      <c r="D9" s="82"/>
      <c r="E9" s="70"/>
      <c r="G9" s="70"/>
      <c r="H9" s="73" t="s">
        <v>241</v>
      </c>
      <c r="I9" s="71">
        <f>B22</f>
        <v>6516.4800000000005</v>
      </c>
      <c r="J9" s="71"/>
      <c r="K9" s="78">
        <f t="shared" si="0"/>
        <v>6516.4800000000005</v>
      </c>
      <c r="L9" s="78"/>
    </row>
    <row r="10" spans="1:12" ht="15.75" x14ac:dyDescent="0.25">
      <c r="A10" s="78" t="s">
        <v>109</v>
      </c>
      <c r="B10" s="78">
        <v>1300</v>
      </c>
      <c r="C10" s="70"/>
      <c r="D10" s="82"/>
      <c r="E10" s="70"/>
      <c r="G10" s="83"/>
      <c r="H10" s="73" t="s">
        <v>300</v>
      </c>
      <c r="I10" s="71">
        <f>B22</f>
        <v>6516.4800000000005</v>
      </c>
      <c r="J10" s="71"/>
      <c r="K10" s="78">
        <f t="shared" si="0"/>
        <v>6516.4800000000005</v>
      </c>
      <c r="L10" s="78"/>
    </row>
    <row r="11" spans="1:12" ht="15.75" x14ac:dyDescent="0.25">
      <c r="A11" s="78" t="s">
        <v>114</v>
      </c>
      <c r="B11" s="78">
        <v>2000</v>
      </c>
      <c r="C11" s="70"/>
      <c r="D11" s="82"/>
      <c r="E11" s="70"/>
      <c r="G11" s="70"/>
      <c r="H11" s="73" t="s">
        <v>328</v>
      </c>
      <c r="I11" s="71">
        <f>B22</f>
        <v>6516.4800000000005</v>
      </c>
      <c r="J11" s="71"/>
      <c r="K11" s="78">
        <f t="shared" si="0"/>
        <v>6516.4800000000005</v>
      </c>
      <c r="L11" s="78"/>
    </row>
    <row r="12" spans="1:12" ht="15.75" x14ac:dyDescent="0.25">
      <c r="A12" s="78" t="s">
        <v>8</v>
      </c>
      <c r="B12" s="78">
        <v>2500</v>
      </c>
      <c r="C12" s="70"/>
      <c r="D12" s="82"/>
      <c r="E12" s="70"/>
      <c r="G12" s="70"/>
      <c r="I12" s="70"/>
      <c r="J12" s="70"/>
      <c r="K12" s="70"/>
      <c r="L12" s="70"/>
    </row>
    <row r="13" spans="1:12" ht="15.75" x14ac:dyDescent="0.25">
      <c r="A13" s="78" t="s">
        <v>301</v>
      </c>
      <c r="B13" s="78">
        <v>1000</v>
      </c>
      <c r="C13" s="70"/>
      <c r="D13" s="82"/>
      <c r="E13" s="70"/>
      <c r="G13" s="70"/>
      <c r="H13" s="70"/>
      <c r="I13" s="70"/>
      <c r="J13" s="70"/>
      <c r="K13" s="70"/>
      <c r="L13" s="70"/>
    </row>
    <row r="14" spans="1:12" ht="15.75" x14ac:dyDescent="0.25">
      <c r="A14" s="78" t="s">
        <v>230</v>
      </c>
      <c r="B14" s="78">
        <v>700</v>
      </c>
      <c r="C14" s="70"/>
      <c r="D14" s="82"/>
      <c r="E14" s="70"/>
      <c r="G14" s="70"/>
      <c r="H14" s="70"/>
      <c r="I14" s="70">
        <f>SUM(I7:I13)</f>
        <v>32582.400000000001</v>
      </c>
      <c r="J14" s="70"/>
      <c r="K14" s="70">
        <f>SUM(K7:K13)</f>
        <v>30075</v>
      </c>
      <c r="L14" s="70"/>
    </row>
    <row r="15" spans="1:12" ht="15.75" x14ac:dyDescent="0.25">
      <c r="A15" s="78" t="s">
        <v>160</v>
      </c>
      <c r="B15" s="78">
        <v>700</v>
      </c>
      <c r="C15" s="70"/>
      <c r="D15" s="82"/>
      <c r="E15" s="70"/>
      <c r="G15" s="70"/>
      <c r="H15" s="70"/>
      <c r="I15" s="70"/>
      <c r="J15" s="70"/>
      <c r="K15" s="70"/>
      <c r="L15" s="70"/>
    </row>
    <row r="16" spans="1:12" ht="15.75" x14ac:dyDescent="0.25">
      <c r="A16" s="78" t="s">
        <v>40</v>
      </c>
      <c r="B16" s="78">
        <v>500</v>
      </c>
      <c r="C16" s="70"/>
      <c r="D16" s="82"/>
      <c r="E16" s="70"/>
      <c r="G16" s="70"/>
      <c r="H16" s="70"/>
      <c r="I16" s="70"/>
      <c r="J16" s="70"/>
      <c r="K16" s="70"/>
      <c r="L16" s="70"/>
    </row>
    <row r="17" spans="1:13" ht="15.75" x14ac:dyDescent="0.25">
      <c r="A17" s="78"/>
      <c r="B17" s="78"/>
      <c r="D17" s="82"/>
      <c r="E17" s="70"/>
      <c r="F17" s="70"/>
      <c r="G17" s="70"/>
      <c r="H17" s="70"/>
      <c r="I17" s="70"/>
      <c r="J17" s="70"/>
      <c r="K17" s="70"/>
      <c r="L17" s="70"/>
    </row>
    <row r="18" spans="1:13" ht="15.75" x14ac:dyDescent="0.25">
      <c r="A18" s="78"/>
      <c r="B18" s="78"/>
      <c r="C18" s="70"/>
      <c r="D18" s="82"/>
      <c r="E18" s="70"/>
      <c r="F18" s="70"/>
      <c r="G18" s="70"/>
      <c r="H18" s="70"/>
      <c r="I18" s="70"/>
      <c r="J18" s="70"/>
      <c r="K18" s="70"/>
      <c r="L18" s="70"/>
    </row>
    <row r="19" spans="1:13" ht="15.75" x14ac:dyDescent="0.25">
      <c r="A19" s="78"/>
      <c r="B19" s="78"/>
      <c r="D19" s="82"/>
    </row>
    <row r="20" spans="1:13" ht="18" x14ac:dyDescent="0.3">
      <c r="A20" s="74" t="s">
        <v>17</v>
      </c>
      <c r="B20" s="75">
        <f>SUM(B2:B19)</f>
        <v>32582.400000000001</v>
      </c>
      <c r="C20" s="75"/>
    </row>
    <row r="21" spans="1:13" x14ac:dyDescent="0.25">
      <c r="A21" s="70"/>
      <c r="B21" s="70"/>
    </row>
    <row r="22" spans="1:13" ht="18" x14ac:dyDescent="0.3">
      <c r="A22" s="6" t="s">
        <v>190</v>
      </c>
      <c r="B22" s="75">
        <f>B20/5</f>
        <v>6516.4800000000005</v>
      </c>
    </row>
    <row r="23" spans="1:13" x14ac:dyDescent="0.25">
      <c r="I23" t="s">
        <v>212</v>
      </c>
      <c r="J23">
        <v>22</v>
      </c>
      <c r="L23" t="s">
        <v>280</v>
      </c>
      <c r="M23">
        <v>11000</v>
      </c>
    </row>
    <row r="24" spans="1:13" x14ac:dyDescent="0.25">
      <c r="A24" s="106" t="s">
        <v>209</v>
      </c>
      <c r="B24" s="106"/>
      <c r="C24" s="66">
        <f>SUM(K7:K11)</f>
        <v>30075</v>
      </c>
      <c r="I24" t="s">
        <v>281</v>
      </c>
      <c r="J24">
        <v>45746</v>
      </c>
      <c r="L24" t="s">
        <v>282</v>
      </c>
      <c r="M24">
        <v>4075</v>
      </c>
    </row>
    <row r="25" spans="1:13" ht="15.75" x14ac:dyDescent="0.25">
      <c r="A25" s="51" t="s">
        <v>48</v>
      </c>
      <c r="B25" s="51" t="s">
        <v>89</v>
      </c>
      <c r="C25" s="51" t="s">
        <v>210</v>
      </c>
      <c r="I25" t="s">
        <v>305</v>
      </c>
      <c r="J25">
        <v>11000</v>
      </c>
      <c r="L25" t="s">
        <v>284</v>
      </c>
      <c r="M25">
        <f>B74</f>
        <v>0</v>
      </c>
    </row>
    <row r="26" spans="1:13" ht="15.75" x14ac:dyDescent="0.25">
      <c r="A26" s="78" t="s">
        <v>14</v>
      </c>
      <c r="B26" s="78">
        <v>10000</v>
      </c>
      <c r="C26" s="85"/>
      <c r="I26" t="s">
        <v>283</v>
      </c>
      <c r="J26">
        <v>40</v>
      </c>
      <c r="L26" t="s">
        <v>286</v>
      </c>
      <c r="M26">
        <v>1000</v>
      </c>
    </row>
    <row r="27" spans="1:13" ht="15.75" x14ac:dyDescent="0.25">
      <c r="A27" s="78" t="s">
        <v>105</v>
      </c>
      <c r="B27" s="78">
        <v>6500</v>
      </c>
      <c r="C27" s="85"/>
      <c r="I27" t="s">
        <v>285</v>
      </c>
      <c r="J27">
        <v>550</v>
      </c>
    </row>
    <row r="28" spans="1:13" ht="15.75" x14ac:dyDescent="0.25">
      <c r="A28" s="78" t="s">
        <v>184</v>
      </c>
      <c r="B28" s="78">
        <v>2000</v>
      </c>
      <c r="C28" s="85"/>
      <c r="I28" t="s">
        <v>287</v>
      </c>
      <c r="J28">
        <v>121</v>
      </c>
    </row>
    <row r="29" spans="1:13" ht="15.75" x14ac:dyDescent="0.25">
      <c r="A29" s="78" t="s">
        <v>19</v>
      </c>
      <c r="B29" s="78">
        <v>1000</v>
      </c>
      <c r="C29" s="85"/>
      <c r="I29" t="s">
        <v>288</v>
      </c>
      <c r="J29">
        <v>90</v>
      </c>
    </row>
    <row r="30" spans="1:13" ht="15.75" x14ac:dyDescent="0.25">
      <c r="A30" s="78"/>
      <c r="B30" s="78"/>
      <c r="C30" s="85"/>
      <c r="I30" t="s">
        <v>289</v>
      </c>
      <c r="J30">
        <v>95</v>
      </c>
    </row>
    <row r="31" spans="1:13" ht="15.75" x14ac:dyDescent="0.25">
      <c r="A31" s="78"/>
      <c r="B31" s="78"/>
      <c r="C31" s="85"/>
      <c r="I31" t="s">
        <v>290</v>
      </c>
    </row>
    <row r="32" spans="1:13" ht="15.75" x14ac:dyDescent="0.25">
      <c r="A32" s="78"/>
      <c r="B32" s="78"/>
      <c r="C32" s="85"/>
      <c r="I32" t="s">
        <v>306</v>
      </c>
    </row>
    <row r="33" spans="1:15" ht="15.75" x14ac:dyDescent="0.25">
      <c r="A33" s="78"/>
      <c r="B33" s="78"/>
      <c r="C33" s="85"/>
    </row>
    <row r="34" spans="1:15" ht="15.75" x14ac:dyDescent="0.25">
      <c r="A34" s="78"/>
      <c r="B34" s="78"/>
      <c r="C34" s="85"/>
    </row>
    <row r="35" spans="1:15" ht="15.75" x14ac:dyDescent="0.25">
      <c r="A35" s="78"/>
      <c r="B35" s="78"/>
      <c r="C35" s="85"/>
    </row>
    <row r="36" spans="1:15" ht="15.75" x14ac:dyDescent="0.25">
      <c r="A36" s="78"/>
      <c r="B36" s="78"/>
      <c r="C36" s="85"/>
    </row>
    <row r="37" spans="1:15" ht="15.75" x14ac:dyDescent="0.25">
      <c r="A37" s="78"/>
      <c r="B37" s="78"/>
      <c r="C37" s="85"/>
      <c r="I37" t="s">
        <v>17</v>
      </c>
      <c r="J37">
        <f>SUM(J23:J36)</f>
        <v>57664</v>
      </c>
      <c r="M37">
        <f>SUM(M23:M36)</f>
        <v>16075</v>
      </c>
      <c r="O37">
        <f>J37-M37</f>
        <v>41589</v>
      </c>
    </row>
    <row r="38" spans="1:15" ht="15.75" x14ac:dyDescent="0.25">
      <c r="A38" s="78"/>
      <c r="B38" s="78"/>
      <c r="C38" s="85"/>
      <c r="O38">
        <v>4525</v>
      </c>
    </row>
    <row r="39" spans="1:15" ht="15.75" x14ac:dyDescent="0.25">
      <c r="A39" s="78"/>
      <c r="B39" s="78"/>
      <c r="C39" s="85"/>
      <c r="O39">
        <v>13000</v>
      </c>
    </row>
    <row r="40" spans="1:15" ht="15.75" x14ac:dyDescent="0.25">
      <c r="A40" s="78"/>
      <c r="B40" s="78"/>
      <c r="C40" s="85"/>
    </row>
    <row r="41" spans="1:15" ht="15.75" x14ac:dyDescent="0.25">
      <c r="A41" s="78"/>
      <c r="B41" s="78"/>
      <c r="C41" s="85"/>
      <c r="O41">
        <f>SUM(O37:O40)</f>
        <v>59114</v>
      </c>
    </row>
    <row r="42" spans="1:15" ht="15.75" x14ac:dyDescent="0.25">
      <c r="A42" s="78"/>
      <c r="B42" s="78"/>
      <c r="C42" s="85"/>
    </row>
    <row r="43" spans="1:15" ht="15.75" x14ac:dyDescent="0.25">
      <c r="A43" s="78"/>
      <c r="B43" s="78"/>
      <c r="C43" s="85"/>
    </row>
    <row r="44" spans="1:15" ht="15.75" x14ac:dyDescent="0.25">
      <c r="A44" s="78"/>
      <c r="B44" s="78"/>
      <c r="C44" s="85"/>
    </row>
    <row r="45" spans="1:15" ht="15.75" x14ac:dyDescent="0.25">
      <c r="A45" s="78"/>
      <c r="B45" s="78"/>
      <c r="C45" s="85"/>
    </row>
    <row r="46" spans="1:15" ht="15.75" x14ac:dyDescent="0.25">
      <c r="A46" s="78"/>
      <c r="B46" s="78"/>
      <c r="C46" s="85"/>
    </row>
    <row r="47" spans="1:15" ht="15.75" x14ac:dyDescent="0.25">
      <c r="A47" s="78"/>
      <c r="B47" s="78"/>
      <c r="C47" s="85"/>
    </row>
    <row r="48" spans="1:15" ht="15.75" x14ac:dyDescent="0.25">
      <c r="A48" s="78"/>
      <c r="B48" s="78"/>
      <c r="C48" s="85"/>
    </row>
    <row r="49" spans="1:3" ht="15.75" x14ac:dyDescent="0.25">
      <c r="A49" s="78"/>
      <c r="B49" s="78"/>
      <c r="C49" s="85"/>
    </row>
    <row r="50" spans="1:3" ht="15.75" x14ac:dyDescent="0.25">
      <c r="A50" s="78"/>
      <c r="B50" s="78"/>
      <c r="C50" s="85"/>
    </row>
    <row r="51" spans="1:3" ht="15.75" x14ac:dyDescent="0.25">
      <c r="A51" s="78"/>
      <c r="B51" s="78"/>
      <c r="C51" s="85"/>
    </row>
    <row r="52" spans="1:3" ht="15.75" x14ac:dyDescent="0.25">
      <c r="A52" s="78"/>
      <c r="B52" s="78"/>
      <c r="C52" s="85"/>
    </row>
    <row r="53" spans="1:3" ht="15.75" x14ac:dyDescent="0.25">
      <c r="A53" s="78"/>
      <c r="B53" s="78"/>
      <c r="C53" s="85"/>
    </row>
    <row r="54" spans="1:3" ht="15.75" x14ac:dyDescent="0.25">
      <c r="A54" s="78"/>
      <c r="B54" s="78"/>
      <c r="C54" s="85"/>
    </row>
    <row r="55" spans="1:3" ht="15.75" x14ac:dyDescent="0.25">
      <c r="A55" s="78"/>
      <c r="B55" s="78"/>
      <c r="C55" s="85"/>
    </row>
    <row r="56" spans="1:3" ht="15.75" x14ac:dyDescent="0.25">
      <c r="A56" s="78"/>
      <c r="B56" s="78"/>
      <c r="C56" s="85"/>
    </row>
    <row r="57" spans="1:3" ht="15.75" x14ac:dyDescent="0.25">
      <c r="A57" s="78"/>
      <c r="B57" s="78"/>
      <c r="C57" s="85"/>
    </row>
    <row r="58" spans="1:3" ht="15.75" x14ac:dyDescent="0.25">
      <c r="A58" s="78"/>
      <c r="B58" s="78"/>
      <c r="C58" s="85"/>
    </row>
    <row r="59" spans="1:3" ht="15.75" x14ac:dyDescent="0.25">
      <c r="A59" s="78"/>
      <c r="B59" s="78"/>
      <c r="C59" s="85"/>
    </row>
    <row r="60" spans="1:3" ht="15.75" x14ac:dyDescent="0.25">
      <c r="A60" s="78"/>
      <c r="B60" s="78"/>
      <c r="C60" s="85"/>
    </row>
    <row r="61" spans="1:3" ht="15.75" x14ac:dyDescent="0.25">
      <c r="A61" s="78"/>
      <c r="B61" s="78"/>
      <c r="C61" s="85"/>
    </row>
    <row r="62" spans="1:3" ht="15.75" x14ac:dyDescent="0.25">
      <c r="A62" s="78"/>
      <c r="B62" s="78"/>
      <c r="C62" s="81"/>
    </row>
    <row r="63" spans="1:3" ht="15.75" x14ac:dyDescent="0.25">
      <c r="A63" s="78" t="s">
        <v>20</v>
      </c>
      <c r="B63" s="78">
        <v>945</v>
      </c>
      <c r="C63" s="81"/>
    </row>
    <row r="64" spans="1:3" ht="15.75" x14ac:dyDescent="0.25">
      <c r="A64" s="78"/>
      <c r="B64" s="78"/>
      <c r="C64" s="81"/>
    </row>
    <row r="65" spans="1:2" x14ac:dyDescent="0.25">
      <c r="A65" t="s">
        <v>17</v>
      </c>
      <c r="B65">
        <f>SUM(B26:B60)</f>
        <v>19500</v>
      </c>
    </row>
    <row r="67" spans="1:2" x14ac:dyDescent="0.25">
      <c r="A67" t="s">
        <v>216</v>
      </c>
      <c r="B67">
        <f>C24-B65</f>
        <v>10575</v>
      </c>
    </row>
  </sheetData>
  <mergeCells count="1">
    <mergeCell ref="A24:B2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C23"/>
    </sheetView>
  </sheetViews>
  <sheetFormatPr defaultRowHeight="15" x14ac:dyDescent="0.25"/>
  <cols>
    <col min="1" max="1" width="24.28515625" bestFit="1" customWidth="1"/>
    <col min="2" max="2" width="11.7109375" bestFit="1" customWidth="1"/>
    <col min="3" max="3" width="22.42578125" bestFit="1" customWidth="1"/>
    <col min="4" max="4" width="12.7109375" bestFit="1" customWidth="1"/>
    <col min="7" max="7" width="51.5703125" bestFit="1" customWidth="1"/>
  </cols>
  <sheetData>
    <row r="1" spans="1:9" ht="15.75" x14ac:dyDescent="0.25">
      <c r="A1" s="77" t="s">
        <v>43</v>
      </c>
      <c r="B1" s="77" t="s">
        <v>1</v>
      </c>
      <c r="C1" s="77" t="s">
        <v>37</v>
      </c>
    </row>
    <row r="2" spans="1:9" ht="15.75" x14ac:dyDescent="0.25">
      <c r="A2" s="78" t="s">
        <v>55</v>
      </c>
      <c r="B2" s="78">
        <v>700</v>
      </c>
      <c r="C2" s="17">
        <f>B2/6</f>
        <v>116.66666666666667</v>
      </c>
    </row>
    <row r="3" spans="1:9" ht="15.75" x14ac:dyDescent="0.25">
      <c r="A3" s="78" t="s">
        <v>6</v>
      </c>
      <c r="B3" s="78">
        <v>3500</v>
      </c>
      <c r="C3" s="17">
        <f>B3/6</f>
        <v>583.33333333333337</v>
      </c>
    </row>
    <row r="4" spans="1:9" ht="15.75" x14ac:dyDescent="0.25">
      <c r="A4" s="78" t="s">
        <v>56</v>
      </c>
      <c r="B4" s="78">
        <v>700</v>
      </c>
      <c r="C4" s="17">
        <f>B4/6</f>
        <v>116.66666666666667</v>
      </c>
    </row>
    <row r="5" spans="1:9" ht="15.75" x14ac:dyDescent="0.25">
      <c r="A5" s="78" t="s">
        <v>57</v>
      </c>
      <c r="B5" s="78">
        <v>1500</v>
      </c>
      <c r="C5" s="17">
        <f>B5/6</f>
        <v>250</v>
      </c>
    </row>
    <row r="6" spans="1:9" ht="15.75" x14ac:dyDescent="0.25">
      <c r="A6" s="78" t="s">
        <v>8</v>
      </c>
      <c r="B6" s="78">
        <v>3000</v>
      </c>
      <c r="C6" s="17">
        <f t="shared" ref="C6:C15" si="0">B6/6</f>
        <v>500</v>
      </c>
    </row>
    <row r="7" spans="1:9" ht="15.75" x14ac:dyDescent="0.25">
      <c r="A7" s="78" t="s">
        <v>10</v>
      </c>
      <c r="B7" s="78">
        <v>800</v>
      </c>
      <c r="C7" s="17">
        <f t="shared" si="0"/>
        <v>133.33333333333334</v>
      </c>
    </row>
    <row r="8" spans="1:9" ht="15.75" x14ac:dyDescent="0.25">
      <c r="A8" s="78" t="s">
        <v>54</v>
      </c>
      <c r="B8" s="78">
        <v>750</v>
      </c>
      <c r="C8" s="17">
        <f t="shared" si="0"/>
        <v>125</v>
      </c>
    </row>
    <row r="9" spans="1:9" ht="15.75" x14ac:dyDescent="0.25">
      <c r="A9" s="78" t="s">
        <v>14</v>
      </c>
      <c r="B9" s="78">
        <v>8500</v>
      </c>
      <c r="C9" s="17">
        <f t="shared" si="0"/>
        <v>1416.6666666666667</v>
      </c>
    </row>
    <row r="10" spans="1:9" ht="15.75" x14ac:dyDescent="0.25">
      <c r="A10" s="78" t="s">
        <v>18</v>
      </c>
      <c r="B10" s="78">
        <v>5500</v>
      </c>
      <c r="C10" s="17">
        <f t="shared" si="0"/>
        <v>916.66666666666663</v>
      </c>
      <c r="E10" s="91">
        <f>C15</f>
        <v>4993.333333333333</v>
      </c>
      <c r="F10" s="92"/>
      <c r="G10" s="92"/>
      <c r="H10" s="92"/>
      <c r="I10" s="93"/>
    </row>
    <row r="11" spans="1:9" ht="15.75" x14ac:dyDescent="0.25">
      <c r="A11" s="78" t="s">
        <v>19</v>
      </c>
      <c r="B11" s="78">
        <v>800</v>
      </c>
      <c r="C11" s="17">
        <f t="shared" si="0"/>
        <v>133.33333333333334</v>
      </c>
      <c r="E11" s="94"/>
      <c r="F11" s="95"/>
      <c r="G11" s="95"/>
      <c r="H11" s="95"/>
      <c r="I11" s="96"/>
    </row>
    <row r="12" spans="1:9" ht="15.75" x14ac:dyDescent="0.25">
      <c r="A12" s="78" t="s">
        <v>20</v>
      </c>
      <c r="B12" s="78">
        <v>1710</v>
      </c>
      <c r="C12" s="17">
        <f t="shared" si="0"/>
        <v>285</v>
      </c>
      <c r="E12" s="94"/>
      <c r="F12" s="95"/>
      <c r="G12" s="95"/>
      <c r="H12" s="95"/>
      <c r="I12" s="96"/>
    </row>
    <row r="13" spans="1:9" ht="15.75" x14ac:dyDescent="0.25">
      <c r="A13" s="78" t="s">
        <v>39</v>
      </c>
      <c r="B13" s="78">
        <v>1500</v>
      </c>
      <c r="C13" s="17">
        <f t="shared" si="0"/>
        <v>250</v>
      </c>
      <c r="E13" s="94"/>
      <c r="F13" s="95"/>
      <c r="G13" s="95"/>
      <c r="H13" s="95"/>
      <c r="I13" s="96"/>
    </row>
    <row r="14" spans="1:9" ht="15.75" x14ac:dyDescent="0.25">
      <c r="A14" s="78" t="s">
        <v>40</v>
      </c>
      <c r="B14" s="78">
        <v>1000</v>
      </c>
      <c r="C14" s="17">
        <f t="shared" si="0"/>
        <v>166.66666666666666</v>
      </c>
      <c r="E14" s="97"/>
      <c r="F14" s="98"/>
      <c r="G14" s="98"/>
      <c r="H14" s="98"/>
      <c r="I14" s="99"/>
    </row>
    <row r="15" spans="1:9" ht="15.75" x14ac:dyDescent="0.25">
      <c r="A15" s="8" t="s">
        <v>17</v>
      </c>
      <c r="B15" s="8">
        <f>SUM(B2:B14)</f>
        <v>29960</v>
      </c>
      <c r="C15" s="17">
        <f t="shared" si="0"/>
        <v>4993.333333333333</v>
      </c>
    </row>
    <row r="17" spans="1:3" ht="15.75" x14ac:dyDescent="0.25">
      <c r="A17" s="9" t="s">
        <v>23</v>
      </c>
      <c r="B17" s="9" t="s">
        <v>3</v>
      </c>
      <c r="C17" s="9"/>
    </row>
    <row r="18" spans="1:3" ht="15.75" x14ac:dyDescent="0.25">
      <c r="A18" s="78" t="s">
        <v>7</v>
      </c>
      <c r="B18" s="78">
        <v>5000</v>
      </c>
    </row>
    <row r="19" spans="1:3" ht="15.75" x14ac:dyDescent="0.25">
      <c r="A19" s="78" t="s">
        <v>9</v>
      </c>
      <c r="B19" s="78">
        <v>5145</v>
      </c>
      <c r="C19" s="10"/>
    </row>
    <row r="20" spans="1:3" ht="15.75" x14ac:dyDescent="0.25">
      <c r="A20" s="78" t="s">
        <v>11</v>
      </c>
      <c r="B20" s="78">
        <v>5000</v>
      </c>
    </row>
    <row r="21" spans="1:3" ht="15.75" x14ac:dyDescent="0.25">
      <c r="A21" s="6" t="s">
        <v>30</v>
      </c>
      <c r="B21" s="78">
        <f>5145+380</f>
        <v>5525</v>
      </c>
      <c r="C21" s="18" t="s">
        <v>58</v>
      </c>
    </row>
    <row r="22" spans="1:3" ht="15.75" x14ac:dyDescent="0.25">
      <c r="A22" s="6" t="s">
        <v>15</v>
      </c>
      <c r="B22" s="78">
        <v>5145</v>
      </c>
      <c r="C22" s="10">
        <f>SUM(B18:B23)</f>
        <v>30380</v>
      </c>
    </row>
    <row r="23" spans="1:3" ht="15.75" x14ac:dyDescent="0.25">
      <c r="A23" s="6" t="s">
        <v>46</v>
      </c>
      <c r="B23" s="78">
        <f>5000-435</f>
        <v>4565</v>
      </c>
    </row>
    <row r="30" spans="1:3" x14ac:dyDescent="0.25">
      <c r="A30" t="s">
        <v>11</v>
      </c>
      <c r="B30">
        <v>4800</v>
      </c>
    </row>
    <row r="31" spans="1:3" x14ac:dyDescent="0.25">
      <c r="A31" t="s">
        <v>7</v>
      </c>
      <c r="B31">
        <v>5200</v>
      </c>
    </row>
    <row r="32" spans="1:3" x14ac:dyDescent="0.25">
      <c r="A32" t="s">
        <v>45</v>
      </c>
      <c r="B32">
        <v>5800</v>
      </c>
    </row>
    <row r="33" spans="1:2" x14ac:dyDescent="0.25">
      <c r="A33" t="s">
        <v>47</v>
      </c>
      <c r="B33">
        <v>1160</v>
      </c>
    </row>
  </sheetData>
  <mergeCells count="1">
    <mergeCell ref="E10:I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80" zoomScaleNormal="80" workbookViewId="0">
      <selection activeCell="B9" sqref="B9"/>
    </sheetView>
  </sheetViews>
  <sheetFormatPr defaultRowHeight="18" customHeight="1" x14ac:dyDescent="0.25"/>
  <cols>
    <col min="1" max="1" width="24.28515625" bestFit="1" customWidth="1"/>
    <col min="2" max="2" width="11.7109375" bestFit="1" customWidth="1"/>
    <col min="3" max="3" width="22.42578125" bestFit="1" customWidth="1"/>
    <col min="4" max="4" width="24.42578125" bestFit="1" customWidth="1"/>
    <col min="5" max="5" width="11.5703125" bestFit="1" customWidth="1"/>
    <col min="7" max="7" width="51.5703125" bestFit="1" customWidth="1"/>
  </cols>
  <sheetData>
    <row r="1" spans="1:10" ht="18" customHeight="1" x14ac:dyDescent="0.25">
      <c r="A1" s="77" t="s">
        <v>43</v>
      </c>
      <c r="B1" s="77" t="s">
        <v>1</v>
      </c>
      <c r="C1" s="77" t="s">
        <v>37</v>
      </c>
      <c r="D1" s="19" t="s">
        <v>59</v>
      </c>
    </row>
    <row r="2" spans="1:10" ht="18" customHeight="1" x14ac:dyDescent="0.25">
      <c r="A2" s="78" t="s">
        <v>55</v>
      </c>
      <c r="B2" s="78">
        <v>-3000</v>
      </c>
      <c r="C2" s="17">
        <f>B2/6</f>
        <v>-500</v>
      </c>
      <c r="D2" t="s">
        <v>60</v>
      </c>
    </row>
    <row r="3" spans="1:10" ht="18" customHeight="1" x14ac:dyDescent="0.25">
      <c r="A3" s="78" t="s">
        <v>6</v>
      </c>
      <c r="B3" s="78">
        <v>2500</v>
      </c>
      <c r="C3" s="17">
        <f>B3/5</f>
        <v>500</v>
      </c>
      <c r="E3" t="s">
        <v>46</v>
      </c>
      <c r="F3" s="20">
        <f>SUM(C2,C4,C8,C9,C10,C11,C12)</f>
        <v>3033.3333333333335</v>
      </c>
      <c r="J3">
        <f>C3/2</f>
        <v>250</v>
      </c>
    </row>
    <row r="4" spans="1:10" ht="18" customHeight="1" x14ac:dyDescent="0.25">
      <c r="A4" s="78" t="s">
        <v>61</v>
      </c>
      <c r="B4" s="78">
        <v>600</v>
      </c>
      <c r="C4" s="17">
        <f>B4/6</f>
        <v>100</v>
      </c>
      <c r="E4" t="s">
        <v>44</v>
      </c>
      <c r="F4" s="20">
        <f>F3+J16</f>
        <v>3795.8333333333335</v>
      </c>
    </row>
    <row r="5" spans="1:10" ht="18" customHeight="1" x14ac:dyDescent="0.25">
      <c r="A5" s="78" t="s">
        <v>62</v>
      </c>
      <c r="B5" s="78">
        <v>2500</v>
      </c>
      <c r="C5" s="17">
        <f>B5/5</f>
        <v>500</v>
      </c>
      <c r="J5">
        <f>C5/2</f>
        <v>250</v>
      </c>
    </row>
    <row r="6" spans="1:10" ht="18" customHeight="1" x14ac:dyDescent="0.25">
      <c r="A6" s="78" t="s">
        <v>10</v>
      </c>
      <c r="B6" s="78">
        <v>800</v>
      </c>
      <c r="C6" s="17">
        <f>B6/5</f>
        <v>160</v>
      </c>
      <c r="J6">
        <f>C6/2</f>
        <v>80</v>
      </c>
    </row>
    <row r="7" spans="1:10" ht="18" customHeight="1" x14ac:dyDescent="0.25">
      <c r="A7" s="78" t="s">
        <v>63</v>
      </c>
      <c r="B7" s="78">
        <f>25*33</f>
        <v>825</v>
      </c>
      <c r="C7" s="17">
        <f>B7/5</f>
        <v>165</v>
      </c>
      <c r="J7">
        <f>C7/2</f>
        <v>82.5</v>
      </c>
    </row>
    <row r="8" spans="1:10" ht="18.75" customHeight="1" x14ac:dyDescent="0.25">
      <c r="A8" s="78" t="s">
        <v>14</v>
      </c>
      <c r="B8" s="78">
        <v>8500</v>
      </c>
      <c r="C8" s="17">
        <f>B8/6</f>
        <v>1416.6666666666667</v>
      </c>
    </row>
    <row r="9" spans="1:10" ht="25.5" customHeight="1" x14ac:dyDescent="0.75">
      <c r="A9" s="78" t="s">
        <v>18</v>
      </c>
      <c r="B9" s="78">
        <v>7000</v>
      </c>
      <c r="C9" s="17">
        <f t="shared" ref="C9:C12" si="0">B9/6</f>
        <v>1166.6666666666667</v>
      </c>
      <c r="D9" t="s">
        <v>64</v>
      </c>
      <c r="E9" s="21"/>
      <c r="F9" s="22"/>
      <c r="G9" s="22"/>
      <c r="H9" s="22"/>
      <c r="I9" s="23"/>
    </row>
    <row r="10" spans="1:10" ht="23.25" customHeight="1" x14ac:dyDescent="0.75">
      <c r="A10" s="78" t="s">
        <v>19</v>
      </c>
      <c r="B10" s="78">
        <v>800</v>
      </c>
      <c r="C10" s="17">
        <f>B10/6</f>
        <v>133.33333333333334</v>
      </c>
      <c r="E10" s="24"/>
      <c r="F10" s="25"/>
      <c r="G10" s="25"/>
      <c r="H10" s="25"/>
      <c r="I10" s="26"/>
    </row>
    <row r="11" spans="1:10" ht="21.75" customHeight="1" x14ac:dyDescent="0.75">
      <c r="A11" s="78" t="s">
        <v>20</v>
      </c>
      <c r="B11" s="78">
        <v>1800</v>
      </c>
      <c r="C11" s="17">
        <f t="shared" si="0"/>
        <v>300</v>
      </c>
      <c r="E11" s="24"/>
      <c r="F11" s="25"/>
      <c r="G11" s="25"/>
      <c r="H11" s="25"/>
      <c r="I11" s="26"/>
    </row>
    <row r="12" spans="1:10" ht="29.25" customHeight="1" x14ac:dyDescent="0.75">
      <c r="A12" s="78" t="s">
        <v>39</v>
      </c>
      <c r="B12" s="78">
        <v>2500</v>
      </c>
      <c r="C12" s="17">
        <f t="shared" si="0"/>
        <v>416.66666666666669</v>
      </c>
      <c r="E12" s="24"/>
      <c r="F12" s="25"/>
      <c r="G12" s="25"/>
      <c r="H12" s="25"/>
      <c r="I12" s="26"/>
    </row>
    <row r="13" spans="1:10" ht="26.25" customHeight="1" x14ac:dyDescent="0.75">
      <c r="A13" s="78" t="s">
        <v>40</v>
      </c>
      <c r="B13" s="78">
        <v>1000</v>
      </c>
      <c r="C13" s="17">
        <f>B13/5</f>
        <v>200</v>
      </c>
      <c r="E13" s="27"/>
      <c r="F13" s="28"/>
      <c r="G13" s="28"/>
      <c r="H13" s="28"/>
      <c r="I13" s="29"/>
      <c r="J13">
        <f>C13/2</f>
        <v>100</v>
      </c>
    </row>
    <row r="14" spans="1:10" ht="18" customHeight="1" x14ac:dyDescent="0.25">
      <c r="A14" s="8" t="s">
        <v>17</v>
      </c>
      <c r="B14" s="8">
        <f>SUM(B2:B13)</f>
        <v>25825</v>
      </c>
      <c r="C14" s="17">
        <f>SUM(C2:C13)</f>
        <v>4558.3333333333339</v>
      </c>
    </row>
    <row r="16" spans="1:10" ht="18" customHeight="1" x14ac:dyDescent="0.25">
      <c r="A16" s="9" t="s">
        <v>23</v>
      </c>
      <c r="B16" s="9" t="s">
        <v>3</v>
      </c>
      <c r="C16" s="9"/>
      <c r="J16">
        <f>SUM(J3:J14)</f>
        <v>762.5</v>
      </c>
    </row>
    <row r="17" spans="1:3" ht="18" customHeight="1" x14ac:dyDescent="0.25">
      <c r="A17" s="78" t="s">
        <v>7</v>
      </c>
      <c r="B17" s="78">
        <v>3800</v>
      </c>
    </row>
    <row r="18" spans="1:3" ht="18" customHeight="1" x14ac:dyDescent="0.25">
      <c r="A18" s="78" t="s">
        <v>9</v>
      </c>
      <c r="B18" s="78">
        <v>4750</v>
      </c>
      <c r="C18" s="10"/>
    </row>
    <row r="19" spans="1:3" ht="18" customHeight="1" x14ac:dyDescent="0.25">
      <c r="A19" s="78" t="s">
        <v>11</v>
      </c>
      <c r="B19" s="78">
        <v>4750</v>
      </c>
    </row>
    <row r="20" spans="1:3" ht="18" customHeight="1" x14ac:dyDescent="0.25">
      <c r="A20" s="6" t="s">
        <v>30</v>
      </c>
      <c r="B20" s="78">
        <v>4750</v>
      </c>
      <c r="C20" s="18"/>
    </row>
    <row r="21" spans="1:3" ht="18" customHeight="1" x14ac:dyDescent="0.25">
      <c r="A21" s="6" t="s">
        <v>15</v>
      </c>
      <c r="B21" s="78">
        <v>4750</v>
      </c>
      <c r="C21" s="10"/>
    </row>
    <row r="22" spans="1:3" ht="18" customHeight="1" x14ac:dyDescent="0.25">
      <c r="A22" s="6" t="s">
        <v>46</v>
      </c>
      <c r="B22" s="78">
        <v>3050</v>
      </c>
    </row>
    <row r="29" spans="1:3" ht="18" customHeight="1" x14ac:dyDescent="0.25">
      <c r="A29" t="s">
        <v>11</v>
      </c>
      <c r="B29">
        <v>4800</v>
      </c>
    </row>
    <row r="30" spans="1:3" ht="18" customHeight="1" x14ac:dyDescent="0.25">
      <c r="A30" t="s">
        <v>7</v>
      </c>
      <c r="B30">
        <v>5200</v>
      </c>
    </row>
    <row r="31" spans="1:3" ht="18" customHeight="1" x14ac:dyDescent="0.25">
      <c r="A31" t="s">
        <v>45</v>
      </c>
      <c r="B31">
        <v>5800</v>
      </c>
    </row>
    <row r="32" spans="1:3" ht="18" customHeight="1" x14ac:dyDescent="0.25">
      <c r="A32" t="s">
        <v>47</v>
      </c>
      <c r="B32">
        <v>1160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B22"/>
    </sheetView>
  </sheetViews>
  <sheetFormatPr defaultRowHeight="15" x14ac:dyDescent="0.25"/>
  <cols>
    <col min="1" max="1" width="24.28515625" bestFit="1" customWidth="1"/>
    <col min="2" max="2" width="11.7109375" bestFit="1" customWidth="1"/>
    <col min="3" max="3" width="22.42578125" bestFit="1" customWidth="1"/>
    <col min="7" max="7" width="40.85546875" bestFit="1" customWidth="1"/>
    <col min="8" max="8" width="11.28515625" bestFit="1" customWidth="1"/>
    <col min="10" max="10" width="54.5703125" bestFit="1" customWidth="1"/>
  </cols>
  <sheetData>
    <row r="1" spans="1:10" ht="15.75" x14ac:dyDescent="0.25">
      <c r="A1" s="77" t="s">
        <v>65</v>
      </c>
      <c r="B1" s="77" t="s">
        <v>1</v>
      </c>
      <c r="C1" s="77" t="s">
        <v>37</v>
      </c>
    </row>
    <row r="2" spans="1:10" ht="15.75" x14ac:dyDescent="0.25">
      <c r="A2" s="78" t="s">
        <v>55</v>
      </c>
      <c r="B2" s="78">
        <v>1253</v>
      </c>
      <c r="C2" s="17">
        <f>B2/4</f>
        <v>313.25</v>
      </c>
    </row>
    <row r="3" spans="1:10" ht="15.75" x14ac:dyDescent="0.25">
      <c r="A3" s="78" t="s">
        <v>6</v>
      </c>
      <c r="B3" s="78">
        <v>3500</v>
      </c>
      <c r="C3" s="17">
        <f>B3/5</f>
        <v>700</v>
      </c>
      <c r="E3">
        <v>5</v>
      </c>
    </row>
    <row r="4" spans="1:10" ht="15.75" x14ac:dyDescent="0.25">
      <c r="A4" s="78" t="s">
        <v>8</v>
      </c>
      <c r="B4" s="78">
        <v>3000</v>
      </c>
      <c r="C4" s="17">
        <f>B4/4</f>
        <v>750</v>
      </c>
      <c r="E4">
        <v>4</v>
      </c>
      <c r="H4" t="s">
        <v>44</v>
      </c>
      <c r="I4" s="20">
        <f>C7+C10</f>
        <v>1716.6666666666667</v>
      </c>
      <c r="J4" t="s">
        <v>66</v>
      </c>
    </row>
    <row r="5" spans="1:10" ht="15.75" x14ac:dyDescent="0.25">
      <c r="A5" s="78" t="s">
        <v>10</v>
      </c>
      <c r="B5" s="78">
        <v>800</v>
      </c>
      <c r="C5" s="17">
        <f>B5/5</f>
        <v>160</v>
      </c>
      <c r="E5">
        <v>5</v>
      </c>
      <c r="H5" t="s">
        <v>67</v>
      </c>
      <c r="I5" s="20">
        <f>SUM(C3,C5,C6,C8,C7,C9,C10,C11,C12,C13)</f>
        <v>4364.666666666667</v>
      </c>
    </row>
    <row r="6" spans="1:10" ht="15.75" x14ac:dyDescent="0.25">
      <c r="A6" s="78" t="s">
        <v>54</v>
      </c>
      <c r="B6" s="78">
        <v>750</v>
      </c>
      <c r="C6" s="17">
        <f>B6/5</f>
        <v>150</v>
      </c>
      <c r="E6">
        <v>5</v>
      </c>
    </row>
    <row r="7" spans="1:10" ht="15.75" x14ac:dyDescent="0.25">
      <c r="A7" s="78" t="s">
        <v>14</v>
      </c>
      <c r="B7" s="78">
        <v>8500</v>
      </c>
      <c r="C7" s="17">
        <f t="shared" ref="C7:C10" si="0">B7/6</f>
        <v>1416.6666666666667</v>
      </c>
      <c r="E7">
        <v>6</v>
      </c>
    </row>
    <row r="8" spans="1:10" ht="15.75" x14ac:dyDescent="0.25">
      <c r="A8" s="78" t="s">
        <v>18</v>
      </c>
      <c r="B8" s="78">
        <v>5500</v>
      </c>
      <c r="C8" s="17">
        <f>B8/5</f>
        <v>1100</v>
      </c>
      <c r="E8">
        <v>5</v>
      </c>
    </row>
    <row r="9" spans="1:10" ht="15.75" x14ac:dyDescent="0.25">
      <c r="A9" s="78" t="s">
        <v>19</v>
      </c>
      <c r="B9" s="78">
        <v>800</v>
      </c>
      <c r="C9" s="17">
        <f>B9/5</f>
        <v>160</v>
      </c>
      <c r="E9">
        <v>5</v>
      </c>
    </row>
    <row r="10" spans="1:10" ht="15.75" x14ac:dyDescent="0.25">
      <c r="A10" s="78" t="s">
        <v>20</v>
      </c>
      <c r="B10" s="78">
        <v>1800</v>
      </c>
      <c r="C10" s="17">
        <f t="shared" si="0"/>
        <v>300</v>
      </c>
      <c r="E10">
        <v>6</v>
      </c>
    </row>
    <row r="11" spans="1:10" ht="15.75" x14ac:dyDescent="0.25">
      <c r="A11" s="78" t="s">
        <v>16</v>
      </c>
      <c r="B11" s="78">
        <v>640</v>
      </c>
      <c r="C11" s="17">
        <f>B11/5</f>
        <v>128</v>
      </c>
      <c r="E11">
        <v>5</v>
      </c>
    </row>
    <row r="12" spans="1:10" ht="15.75" x14ac:dyDescent="0.25">
      <c r="A12" s="78" t="s">
        <v>39</v>
      </c>
      <c r="B12" s="78">
        <v>750</v>
      </c>
      <c r="C12" s="17">
        <f>B12/5</f>
        <v>150</v>
      </c>
      <c r="E12">
        <v>5</v>
      </c>
      <c r="I12" s="20"/>
    </row>
    <row r="13" spans="1:10" ht="15.75" x14ac:dyDescent="0.25">
      <c r="A13" s="78" t="s">
        <v>40</v>
      </c>
      <c r="B13" s="78">
        <v>500</v>
      </c>
      <c r="C13" s="17">
        <f>B13/5</f>
        <v>100</v>
      </c>
      <c r="E13">
        <v>5</v>
      </c>
    </row>
    <row r="14" spans="1:10" ht="15.75" x14ac:dyDescent="0.25">
      <c r="A14" s="8" t="s">
        <v>17</v>
      </c>
      <c r="B14" s="8">
        <f>SUM(B2:B13)</f>
        <v>27793</v>
      </c>
      <c r="C14" s="17">
        <f>SUM(C2:C13)</f>
        <v>5427.916666666667</v>
      </c>
      <c r="G14" t="s">
        <v>68</v>
      </c>
    </row>
    <row r="15" spans="1:10" x14ac:dyDescent="0.25">
      <c r="F15" t="s">
        <v>69</v>
      </c>
      <c r="G15" t="s">
        <v>11</v>
      </c>
    </row>
    <row r="16" spans="1:10" ht="15.75" x14ac:dyDescent="0.25">
      <c r="A16" s="9" t="s">
        <v>23</v>
      </c>
      <c r="B16" s="9" t="s">
        <v>3</v>
      </c>
      <c r="C16" s="9"/>
      <c r="F16" t="s">
        <v>70</v>
      </c>
      <c r="G16" t="s">
        <v>30</v>
      </c>
    </row>
    <row r="17" spans="1:7" ht="15.75" x14ac:dyDescent="0.25">
      <c r="A17" s="78" t="s">
        <v>7</v>
      </c>
      <c r="B17" s="78">
        <v>1720</v>
      </c>
      <c r="F17" t="s">
        <v>71</v>
      </c>
      <c r="G17" t="s">
        <v>45</v>
      </c>
    </row>
    <row r="18" spans="1:7" ht="15.75" x14ac:dyDescent="0.25">
      <c r="A18" s="78" t="s">
        <v>9</v>
      </c>
      <c r="B18" s="78">
        <v>5430</v>
      </c>
      <c r="C18" s="10"/>
      <c r="F18" t="s">
        <v>72</v>
      </c>
      <c r="G18" t="s">
        <v>9</v>
      </c>
    </row>
    <row r="19" spans="1:7" ht="15.75" x14ac:dyDescent="0.25">
      <c r="A19" s="78" t="s">
        <v>11</v>
      </c>
      <c r="B19" s="30">
        <v>5275</v>
      </c>
      <c r="G19" t="s">
        <v>46</v>
      </c>
    </row>
    <row r="20" spans="1:7" ht="15.75" x14ac:dyDescent="0.25">
      <c r="A20" s="6" t="s">
        <v>30</v>
      </c>
      <c r="B20" s="30">
        <v>4330</v>
      </c>
      <c r="C20" s="18"/>
    </row>
    <row r="21" spans="1:7" ht="15.75" x14ac:dyDescent="0.25">
      <c r="A21" s="6" t="s">
        <v>15</v>
      </c>
      <c r="B21" s="78">
        <v>5430</v>
      </c>
      <c r="C21" s="10"/>
    </row>
    <row r="22" spans="1:7" ht="15.75" x14ac:dyDescent="0.25">
      <c r="A22" s="6" t="s">
        <v>46</v>
      </c>
      <c r="B22" s="78">
        <v>4365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Apr 15</vt:lpstr>
      <vt:lpstr>May 15</vt:lpstr>
      <vt:lpstr>June 15</vt:lpstr>
      <vt:lpstr>July 15</vt:lpstr>
      <vt:lpstr>Aug 15</vt:lpstr>
      <vt:lpstr>Sep 15</vt:lpstr>
      <vt:lpstr>Oct 15</vt:lpstr>
      <vt:lpstr>Nov-15</vt:lpstr>
      <vt:lpstr>Dec-15</vt:lpstr>
      <vt:lpstr>Jan-26</vt:lpstr>
      <vt:lpstr>Feb-16</vt:lpstr>
      <vt:lpstr>APR-16</vt:lpstr>
      <vt:lpstr>May-16</vt:lpstr>
      <vt:lpstr>June-16</vt:lpstr>
      <vt:lpstr>July-16</vt:lpstr>
      <vt:lpstr>Aug-16</vt:lpstr>
      <vt:lpstr>Sep-16</vt:lpstr>
      <vt:lpstr>Oct-16</vt:lpstr>
      <vt:lpstr>Temp</vt:lpstr>
      <vt:lpstr>Nov-16</vt:lpstr>
      <vt:lpstr>Nov_Expenses</vt:lpstr>
      <vt:lpstr>Dec-16</vt:lpstr>
      <vt:lpstr>Jan-17</vt:lpstr>
      <vt:lpstr>Feb-17</vt:lpstr>
      <vt:lpstr>Mar-17</vt:lpstr>
      <vt:lpstr>Apr-17</vt:lpstr>
      <vt:lpstr>May-17</vt:lpstr>
      <vt:lpstr>June-17</vt:lpstr>
      <vt:lpstr>working</vt:lpstr>
      <vt:lpstr>July-17</vt:lpstr>
      <vt:lpstr>Aug-17</vt:lpstr>
      <vt:lpstr>Sep-17</vt:lpstr>
      <vt:lpstr>Oct-17</vt:lpstr>
      <vt:lpstr>aug-workin</vt:lpstr>
      <vt:lpstr>Nov-17</vt:lpstr>
      <vt:lpstr>Dec-17</vt:lpstr>
      <vt:lpstr>Jan-18</vt:lpstr>
      <vt:lpstr>Feb-18</vt:lpstr>
      <vt:lpstr>Mar-18</vt:lpstr>
      <vt:lpstr>Apr-18</vt:lpstr>
      <vt:lpstr>May-18</vt:lpstr>
      <vt:lpstr>June-18</vt:lpstr>
      <vt:lpstr>July-18</vt:lpstr>
      <vt:lpstr>Aug-18</vt:lpstr>
      <vt:lpstr>Sep-18</vt:lpstr>
      <vt:lpstr>Oct-18</vt:lpstr>
      <vt:lpstr>Nov-18</vt:lpstr>
      <vt:lpstr>Dec-18</vt:lpstr>
      <vt:lpstr>Jan-19</vt:lpstr>
      <vt:lpstr>Feb-19</vt:lpstr>
      <vt:lpstr>Mar-19</vt:lpstr>
      <vt:lpstr>Apr-19</vt:lpstr>
      <vt:lpstr>apr19work</vt:lpstr>
      <vt:lpstr>May-19</vt:lpstr>
      <vt:lpstr>Jun-19</vt:lpstr>
      <vt:lpstr>Jul-19</vt:lpstr>
      <vt:lpstr>Aug-19</vt:lpstr>
      <vt:lpstr>Sep-19</vt:lpstr>
      <vt:lpstr>Oct-19</vt:lpstr>
      <vt:lpstr>Nov-19</vt:lpstr>
      <vt:lpstr>Dec-19</vt:lpstr>
      <vt:lpstr>Jan-20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Badrinath V</dc:creator>
  <cp:keywords/>
  <dc:description/>
  <cp:lastModifiedBy>Windows User</cp:lastModifiedBy>
  <cp:revision/>
  <dcterms:created xsi:type="dcterms:W3CDTF">2014-09-03T15:28:38Z</dcterms:created>
  <dcterms:modified xsi:type="dcterms:W3CDTF">2019-12-27T12:10:41Z</dcterms:modified>
  <cp:category/>
  <cp:contentStatus/>
</cp:coreProperties>
</file>