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ajki\OneDrive\Documents\GitHub\hf-question-answer\data\"/>
    </mc:Choice>
  </mc:AlternateContent>
  <xr:revisionPtr revIDLastSave="0" documentId="13_ncr:1_{988F99A6-C075-4D87-88FC-CDC65876C787}" xr6:coauthVersionLast="47" xr6:coauthVersionMax="47" xr10:uidLastSave="{00000000-0000-0000-0000-000000000000}"/>
  <bookViews>
    <workbookView xWindow="28680" yWindow="-120" windowWidth="29040" windowHeight="15720" activeTab="2" xr2:uid="{00000000-000D-0000-FFFF-FFFF00000000}"/>
  </bookViews>
  <sheets>
    <sheet name="author1_labels" sheetId="1" r:id="rId1"/>
    <sheet name="author2_labels" sheetId="2" r:id="rId2"/>
    <sheet name="statistics" sheetId="4" r:id="rId3"/>
    <sheet name="unmapped" sheetId="6" r:id="rId4"/>
    <sheet name="model_card_sections" sheetId="5" r:id="rId5"/>
  </sheets>
  <definedNames>
    <definedName name="_xlnm._FilterDatabase" localSheetId="2" hidden="1">statistics!$A$2:$F$374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E3" i="4"/>
  <c r="C3" i="4"/>
  <c r="B6" i="6"/>
  <c r="B5" i="6"/>
  <c r="B4" i="6"/>
  <c r="B3" i="6"/>
  <c r="B2" i="6"/>
  <c r="B1" i="6"/>
  <c r="C27" i="5"/>
  <c r="C26" i="5"/>
  <c r="C25" i="5"/>
  <c r="C24" i="5"/>
  <c r="C23" i="5"/>
  <c r="C22" i="5"/>
  <c r="C21" i="5"/>
  <c r="C20" i="5"/>
  <c r="C19" i="5"/>
  <c r="C18" i="5"/>
  <c r="C17" i="5"/>
  <c r="C16" i="5"/>
  <c r="C15" i="5"/>
  <c r="C14" i="5"/>
  <c r="C13" i="5"/>
  <c r="C12" i="5"/>
  <c r="C11" i="5"/>
  <c r="C10" i="5"/>
  <c r="C9" i="5"/>
  <c r="C8" i="5"/>
  <c r="C7" i="5"/>
  <c r="C6" i="5"/>
  <c r="C5" i="5"/>
  <c r="C4" i="5"/>
  <c r="C3" i="5"/>
  <c r="C2" i="5"/>
  <c r="C1" i="5"/>
  <c r="A374" i="4"/>
  <c r="B374" i="4" s="1"/>
  <c r="A373" i="4"/>
  <c r="B373" i="4" s="1"/>
  <c r="A372" i="4"/>
  <c r="B372" i="4" s="1"/>
  <c r="A371" i="4"/>
  <c r="B371" i="4" s="1"/>
  <c r="A370" i="4"/>
  <c r="B370" i="4" s="1"/>
  <c r="A369" i="4"/>
  <c r="B369" i="4" s="1"/>
  <c r="A368" i="4"/>
  <c r="B368" i="4" s="1"/>
  <c r="A367" i="4"/>
  <c r="B367" i="4" s="1"/>
  <c r="A366" i="4"/>
  <c r="B366" i="4" s="1"/>
  <c r="A365" i="4"/>
  <c r="B365" i="4" s="1"/>
  <c r="A364" i="4"/>
  <c r="B364" i="4" s="1"/>
  <c r="A363" i="4"/>
  <c r="B363" i="4" s="1"/>
  <c r="A362" i="4"/>
  <c r="B362" i="4" s="1"/>
  <c r="A361" i="4"/>
  <c r="B361" i="4" s="1"/>
  <c r="A360" i="4"/>
  <c r="B360" i="4" s="1"/>
  <c r="A359" i="4"/>
  <c r="B359" i="4" s="1"/>
  <c r="A358" i="4"/>
  <c r="B358" i="4" s="1"/>
  <c r="A357" i="4"/>
  <c r="B357" i="4" s="1"/>
  <c r="A356" i="4"/>
  <c r="B356" i="4" s="1"/>
  <c r="A355" i="4"/>
  <c r="B355" i="4" s="1"/>
  <c r="A354" i="4"/>
  <c r="B354" i="4" s="1"/>
  <c r="A353" i="4"/>
  <c r="B353" i="4" s="1"/>
  <c r="A352" i="4"/>
  <c r="B352" i="4" s="1"/>
  <c r="A351" i="4"/>
  <c r="B351" i="4" s="1"/>
  <c r="A350" i="4"/>
  <c r="B350" i="4" s="1"/>
  <c r="A349" i="4"/>
  <c r="B349" i="4" s="1"/>
  <c r="A348" i="4"/>
  <c r="B348" i="4" s="1"/>
  <c r="A347" i="4"/>
  <c r="B347" i="4" s="1"/>
  <c r="A346" i="4"/>
  <c r="B346" i="4" s="1"/>
  <c r="A345" i="4"/>
  <c r="B345" i="4" s="1"/>
  <c r="A344" i="4"/>
  <c r="B344" i="4" s="1"/>
  <c r="A343" i="4"/>
  <c r="B343" i="4" s="1"/>
  <c r="A342" i="4"/>
  <c r="B342" i="4" s="1"/>
  <c r="A341" i="4"/>
  <c r="B341" i="4" s="1"/>
  <c r="A340" i="4"/>
  <c r="B340" i="4" s="1"/>
  <c r="A339" i="4"/>
  <c r="B339" i="4" s="1"/>
  <c r="A338" i="4"/>
  <c r="B338" i="4" s="1"/>
  <c r="A337" i="4"/>
  <c r="B337" i="4" s="1"/>
  <c r="A336" i="4"/>
  <c r="B336" i="4" s="1"/>
  <c r="A335" i="4"/>
  <c r="B335" i="4" s="1"/>
  <c r="A334" i="4"/>
  <c r="B334" i="4" s="1"/>
  <c r="A333" i="4"/>
  <c r="B333" i="4" s="1"/>
  <c r="A332" i="4"/>
  <c r="B332" i="4" s="1"/>
  <c r="A331" i="4"/>
  <c r="B331" i="4" s="1"/>
  <c r="A330" i="4"/>
  <c r="B330" i="4" s="1"/>
  <c r="A329" i="4"/>
  <c r="B329" i="4" s="1"/>
  <c r="A328" i="4"/>
  <c r="B328" i="4" s="1"/>
  <c r="A327" i="4"/>
  <c r="B327" i="4" s="1"/>
  <c r="A326" i="4"/>
  <c r="B326" i="4" s="1"/>
  <c r="A325" i="4"/>
  <c r="B325" i="4" s="1"/>
  <c r="A324" i="4"/>
  <c r="B324" i="4" s="1"/>
  <c r="A323" i="4"/>
  <c r="B323" i="4" s="1"/>
  <c r="A322" i="4"/>
  <c r="B322" i="4" s="1"/>
  <c r="A321" i="4"/>
  <c r="B321" i="4" s="1"/>
  <c r="A320" i="4"/>
  <c r="B320" i="4" s="1"/>
  <c r="A319" i="4"/>
  <c r="B319" i="4" s="1"/>
  <c r="A318" i="4"/>
  <c r="B318" i="4" s="1"/>
  <c r="A317" i="4"/>
  <c r="B317" i="4" s="1"/>
  <c r="A316" i="4"/>
  <c r="B316" i="4" s="1"/>
  <c r="A315" i="4"/>
  <c r="B315" i="4" s="1"/>
  <c r="A314" i="4"/>
  <c r="B314" i="4" s="1"/>
  <c r="A313" i="4"/>
  <c r="B313" i="4" s="1"/>
  <c r="A312" i="4"/>
  <c r="B312" i="4" s="1"/>
  <c r="A311" i="4"/>
  <c r="B311" i="4" s="1"/>
  <c r="A310" i="4"/>
  <c r="B310" i="4" s="1"/>
  <c r="A309" i="4"/>
  <c r="B309" i="4" s="1"/>
  <c r="A308" i="4"/>
  <c r="B308" i="4" s="1"/>
  <c r="A307" i="4"/>
  <c r="B307" i="4" s="1"/>
  <c r="A306" i="4"/>
  <c r="B306" i="4" s="1"/>
  <c r="A305" i="4"/>
  <c r="B305" i="4" s="1"/>
  <c r="A304" i="4"/>
  <c r="B304" i="4" s="1"/>
  <c r="A303" i="4"/>
  <c r="B303" i="4" s="1"/>
  <c r="A302" i="4"/>
  <c r="B302" i="4" s="1"/>
  <c r="A301" i="4"/>
  <c r="B301" i="4" s="1"/>
  <c r="A300" i="4"/>
  <c r="B300" i="4" s="1"/>
  <c r="A299" i="4"/>
  <c r="B299" i="4" s="1"/>
  <c r="A298" i="4"/>
  <c r="B298" i="4" s="1"/>
  <c r="A297" i="4"/>
  <c r="B297" i="4" s="1"/>
  <c r="A296" i="4"/>
  <c r="B296" i="4" s="1"/>
  <c r="A295" i="4"/>
  <c r="B295" i="4" s="1"/>
  <c r="A294" i="4"/>
  <c r="B294" i="4" s="1"/>
  <c r="A293" i="4"/>
  <c r="B293" i="4" s="1"/>
  <c r="A292" i="4"/>
  <c r="B292" i="4" s="1"/>
  <c r="A291" i="4"/>
  <c r="B291" i="4" s="1"/>
  <c r="A290" i="4"/>
  <c r="B290" i="4" s="1"/>
  <c r="A289" i="4"/>
  <c r="B289" i="4" s="1"/>
  <c r="A288" i="4"/>
  <c r="B288" i="4" s="1"/>
  <c r="A287" i="4"/>
  <c r="B287" i="4" s="1"/>
  <c r="A286" i="4"/>
  <c r="B286" i="4" s="1"/>
  <c r="A285" i="4"/>
  <c r="B285" i="4" s="1"/>
  <c r="A284" i="4"/>
  <c r="B284" i="4" s="1"/>
  <c r="A283" i="4"/>
  <c r="B283" i="4" s="1"/>
  <c r="A282" i="4"/>
  <c r="B282" i="4" s="1"/>
  <c r="A281" i="4"/>
  <c r="B281" i="4" s="1"/>
  <c r="A280" i="4"/>
  <c r="B280" i="4" s="1"/>
  <c r="A279" i="4"/>
  <c r="B279" i="4" s="1"/>
  <c r="A278" i="4"/>
  <c r="B278" i="4" s="1"/>
  <c r="A277" i="4"/>
  <c r="B277" i="4" s="1"/>
  <c r="A276" i="4"/>
  <c r="B276" i="4" s="1"/>
  <c r="A275" i="4"/>
  <c r="B275" i="4" s="1"/>
  <c r="A274" i="4"/>
  <c r="B274" i="4" s="1"/>
  <c r="A273" i="4"/>
  <c r="B273" i="4" s="1"/>
  <c r="A272" i="4"/>
  <c r="B272" i="4" s="1"/>
  <c r="A271" i="4"/>
  <c r="B271" i="4" s="1"/>
  <c r="A270" i="4"/>
  <c r="B270" i="4" s="1"/>
  <c r="A269" i="4"/>
  <c r="B269" i="4" s="1"/>
  <c r="A268" i="4"/>
  <c r="B268" i="4" s="1"/>
  <c r="A267" i="4"/>
  <c r="B267" i="4" s="1"/>
  <c r="A266" i="4"/>
  <c r="B266" i="4" s="1"/>
  <c r="A265" i="4"/>
  <c r="B265" i="4" s="1"/>
  <c r="A264" i="4"/>
  <c r="B264" i="4" s="1"/>
  <c r="A263" i="4"/>
  <c r="B263" i="4" s="1"/>
  <c r="A262" i="4"/>
  <c r="B262" i="4" s="1"/>
  <c r="A261" i="4"/>
  <c r="B261" i="4" s="1"/>
  <c r="A260" i="4"/>
  <c r="B260" i="4" s="1"/>
  <c r="A259" i="4"/>
  <c r="B259" i="4" s="1"/>
  <c r="A258" i="4"/>
  <c r="B258" i="4" s="1"/>
  <c r="A257" i="4"/>
  <c r="B257" i="4" s="1"/>
  <c r="A256" i="4"/>
  <c r="B256" i="4" s="1"/>
  <c r="A255" i="4"/>
  <c r="B255" i="4" s="1"/>
  <c r="A254" i="4"/>
  <c r="B254" i="4" s="1"/>
  <c r="A253" i="4"/>
  <c r="B253" i="4" s="1"/>
  <c r="A252" i="4"/>
  <c r="B252" i="4" s="1"/>
  <c r="A251" i="4"/>
  <c r="B251" i="4" s="1"/>
  <c r="A250" i="4"/>
  <c r="B250" i="4" s="1"/>
  <c r="A249" i="4"/>
  <c r="B249" i="4" s="1"/>
  <c r="A248" i="4"/>
  <c r="B248" i="4" s="1"/>
  <c r="A247" i="4"/>
  <c r="B247" i="4" s="1"/>
  <c r="A246" i="4"/>
  <c r="B246" i="4" s="1"/>
  <c r="A245" i="4"/>
  <c r="B245" i="4" s="1"/>
  <c r="A244" i="4"/>
  <c r="B244" i="4" s="1"/>
  <c r="A243" i="4"/>
  <c r="B243" i="4" s="1"/>
  <c r="A242" i="4"/>
  <c r="B242" i="4" s="1"/>
  <c r="A241" i="4"/>
  <c r="B241" i="4" s="1"/>
  <c r="A240" i="4"/>
  <c r="B240" i="4" s="1"/>
  <c r="A239" i="4"/>
  <c r="B239" i="4" s="1"/>
  <c r="A238" i="4"/>
  <c r="B238" i="4" s="1"/>
  <c r="A237" i="4"/>
  <c r="B237" i="4" s="1"/>
  <c r="A236" i="4"/>
  <c r="B236" i="4" s="1"/>
  <c r="A235" i="4"/>
  <c r="B235" i="4" s="1"/>
  <c r="A234" i="4"/>
  <c r="B234" i="4" s="1"/>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A215" i="4"/>
  <c r="B215" i="4" s="1"/>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A200" i="4"/>
  <c r="B200" i="4" s="1"/>
  <c r="A199" i="4"/>
  <c r="B199" i="4" s="1"/>
  <c r="A198" i="4"/>
  <c r="B198" i="4" s="1"/>
  <c r="A197" i="4"/>
  <c r="B197" i="4" s="1"/>
  <c r="A196" i="4"/>
  <c r="B196" i="4" s="1"/>
  <c r="A195" i="4"/>
  <c r="B195" i="4" s="1"/>
  <c r="A194" i="4"/>
  <c r="B194" i="4" s="1"/>
  <c r="A193" i="4"/>
  <c r="B193" i="4" s="1"/>
  <c r="A192" i="4"/>
  <c r="B192" i="4" s="1"/>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A175" i="4"/>
  <c r="B175" i="4" s="1"/>
  <c r="A174" i="4"/>
  <c r="B174" i="4" s="1"/>
  <c r="A173" i="4"/>
  <c r="B173" i="4" s="1"/>
  <c r="A172" i="4"/>
  <c r="B172" i="4" s="1"/>
  <c r="A171" i="4"/>
  <c r="B171" i="4" s="1"/>
  <c r="A170" i="4"/>
  <c r="B170" i="4" s="1"/>
  <c r="A169" i="4"/>
  <c r="B169" i="4" s="1"/>
  <c r="A168" i="4"/>
  <c r="B168" i="4" s="1"/>
  <c r="A167" i="4"/>
  <c r="B167" i="4" s="1"/>
  <c r="A166" i="4"/>
  <c r="B166" i="4" s="1"/>
  <c r="A165" i="4"/>
  <c r="B165" i="4" s="1"/>
  <c r="A164" i="4"/>
  <c r="B164" i="4" s="1"/>
  <c r="A163" i="4"/>
  <c r="B163" i="4" s="1"/>
  <c r="A162" i="4"/>
  <c r="B162" i="4" s="1"/>
  <c r="A161" i="4"/>
  <c r="B161" i="4" s="1"/>
  <c r="A160" i="4"/>
  <c r="B160" i="4" s="1"/>
  <c r="A159" i="4"/>
  <c r="B159" i="4" s="1"/>
  <c r="A158" i="4"/>
  <c r="B158" i="4" s="1"/>
  <c r="A157" i="4"/>
  <c r="B157" i="4" s="1"/>
  <c r="A156" i="4"/>
  <c r="B156" i="4" s="1"/>
  <c r="A155" i="4"/>
  <c r="B155" i="4" s="1"/>
  <c r="A154" i="4"/>
  <c r="B154" i="4" s="1"/>
  <c r="A153" i="4"/>
  <c r="B153" i="4" s="1"/>
  <c r="A152" i="4"/>
  <c r="B152" i="4" s="1"/>
  <c r="A151" i="4"/>
  <c r="B151" i="4" s="1"/>
  <c r="A150" i="4"/>
  <c r="B150" i="4" s="1"/>
  <c r="A149" i="4"/>
  <c r="B149" i="4" s="1"/>
  <c r="A148" i="4"/>
  <c r="B148" i="4" s="1"/>
  <c r="A147" i="4"/>
  <c r="B147" i="4" s="1"/>
  <c r="A146" i="4"/>
  <c r="B146" i="4" s="1"/>
  <c r="A145" i="4"/>
  <c r="B145" i="4" s="1"/>
  <c r="A144" i="4"/>
  <c r="B144" i="4" s="1"/>
  <c r="A143" i="4"/>
  <c r="B143" i="4" s="1"/>
  <c r="A142" i="4"/>
  <c r="B142" i="4" s="1"/>
  <c r="A141" i="4"/>
  <c r="B141" i="4" s="1"/>
  <c r="A140" i="4"/>
  <c r="B140" i="4" s="1"/>
  <c r="A139" i="4"/>
  <c r="B139" i="4" s="1"/>
  <c r="A138" i="4"/>
  <c r="B138" i="4" s="1"/>
  <c r="A137" i="4"/>
  <c r="B137" i="4" s="1"/>
  <c r="A136" i="4"/>
  <c r="B136" i="4" s="1"/>
  <c r="A135" i="4"/>
  <c r="B135" i="4" s="1"/>
  <c r="A134" i="4"/>
  <c r="B134" i="4" s="1"/>
  <c r="A133" i="4"/>
  <c r="B133" i="4" s="1"/>
  <c r="A132" i="4"/>
  <c r="B132" i="4" s="1"/>
  <c r="E131" i="4"/>
  <c r="A131" i="4"/>
  <c r="B131" i="4" s="1"/>
  <c r="E130" i="4"/>
  <c r="A130" i="4"/>
  <c r="B130" i="4" s="1"/>
  <c r="E129" i="4"/>
  <c r="A129" i="4"/>
  <c r="B129" i="4" s="1"/>
  <c r="E128" i="4"/>
  <c r="A128" i="4"/>
  <c r="B128" i="4" s="1"/>
  <c r="E127" i="4"/>
  <c r="A127" i="4"/>
  <c r="B127" i="4" s="1"/>
  <c r="E126" i="4"/>
  <c r="A126" i="4"/>
  <c r="B126" i="4" s="1"/>
  <c r="E125" i="4"/>
  <c r="A125" i="4"/>
  <c r="B125" i="4" s="1"/>
  <c r="E124" i="4"/>
  <c r="A124" i="4"/>
  <c r="B124" i="4" s="1"/>
  <c r="E123" i="4"/>
  <c r="F123" i="4" s="1"/>
  <c r="A123" i="4"/>
  <c r="B123" i="4" s="1"/>
  <c r="E122" i="4"/>
  <c r="F122" i="4" s="1"/>
  <c r="A122" i="4"/>
  <c r="B122" i="4" s="1"/>
  <c r="E121" i="4"/>
  <c r="F121" i="4" s="1"/>
  <c r="A121" i="4"/>
  <c r="B121" i="4" s="1"/>
  <c r="E120" i="4"/>
  <c r="F120" i="4" s="1"/>
  <c r="A120" i="4"/>
  <c r="B120" i="4" s="1"/>
  <c r="E119" i="4"/>
  <c r="F119" i="4" s="1"/>
  <c r="A119" i="4"/>
  <c r="B119" i="4" s="1"/>
  <c r="E118" i="4"/>
  <c r="F118" i="4" s="1"/>
  <c r="A118" i="4"/>
  <c r="B118" i="4" s="1"/>
  <c r="E117" i="4"/>
  <c r="F117" i="4" s="1"/>
  <c r="A117" i="4"/>
  <c r="B117" i="4" s="1"/>
  <c r="E116" i="4"/>
  <c r="F116" i="4" s="1"/>
  <c r="A116" i="4"/>
  <c r="B116" i="4" s="1"/>
  <c r="E115" i="4"/>
  <c r="F115" i="4" s="1"/>
  <c r="A115" i="4"/>
  <c r="B115" i="4" s="1"/>
  <c r="E114" i="4"/>
  <c r="F114" i="4" s="1"/>
  <c r="A114" i="4"/>
  <c r="B114" i="4" s="1"/>
  <c r="E113" i="4"/>
  <c r="F113" i="4" s="1"/>
  <c r="A113" i="4"/>
  <c r="B113" i="4" s="1"/>
  <c r="E112" i="4"/>
  <c r="F112" i="4" s="1"/>
  <c r="A112" i="4"/>
  <c r="B112" i="4" s="1"/>
  <c r="E111" i="4"/>
  <c r="F111" i="4" s="1"/>
  <c r="A111" i="4"/>
  <c r="B111" i="4" s="1"/>
  <c r="E110" i="4"/>
  <c r="F110" i="4" s="1"/>
  <c r="A110" i="4"/>
  <c r="B110" i="4" s="1"/>
  <c r="E109" i="4"/>
  <c r="F109" i="4" s="1"/>
  <c r="A109" i="4"/>
  <c r="B109" i="4" s="1"/>
  <c r="E108" i="4"/>
  <c r="F108" i="4" s="1"/>
  <c r="A108" i="4"/>
  <c r="B108" i="4" s="1"/>
  <c r="E107" i="4"/>
  <c r="F107" i="4" s="1"/>
  <c r="A107" i="4"/>
  <c r="B107" i="4" s="1"/>
  <c r="E106" i="4"/>
  <c r="F106" i="4" s="1"/>
  <c r="A106" i="4"/>
  <c r="B106" i="4" s="1"/>
  <c r="E105" i="4"/>
  <c r="F105" i="4" s="1"/>
  <c r="A105" i="4"/>
  <c r="B105" i="4" s="1"/>
  <c r="E104" i="4"/>
  <c r="F104" i="4" s="1"/>
  <c r="A104" i="4"/>
  <c r="B104" i="4" s="1"/>
  <c r="E103" i="4"/>
  <c r="F103" i="4" s="1"/>
  <c r="A103" i="4"/>
  <c r="B103" i="4" s="1"/>
  <c r="E102" i="4"/>
  <c r="F102" i="4" s="1"/>
  <c r="A102" i="4"/>
  <c r="B102" i="4" s="1"/>
  <c r="E101" i="4"/>
  <c r="F101" i="4" s="1"/>
  <c r="A101" i="4"/>
  <c r="B101" i="4" s="1"/>
  <c r="E100" i="4"/>
  <c r="F100" i="4" s="1"/>
  <c r="A100" i="4"/>
  <c r="B100" i="4" s="1"/>
  <c r="E99" i="4"/>
  <c r="F99" i="4" s="1"/>
  <c r="A99" i="4"/>
  <c r="B99" i="4" s="1"/>
  <c r="E98" i="4"/>
  <c r="F98" i="4" s="1"/>
  <c r="A98" i="4"/>
  <c r="B98" i="4" s="1"/>
  <c r="E97" i="4"/>
  <c r="F97" i="4" s="1"/>
  <c r="A97" i="4"/>
  <c r="B97" i="4" s="1"/>
  <c r="E96" i="4"/>
  <c r="F96" i="4" s="1"/>
  <c r="A96" i="4"/>
  <c r="B96" i="4" s="1"/>
  <c r="E95" i="4"/>
  <c r="F95" i="4" s="1"/>
  <c r="A95" i="4"/>
  <c r="B95" i="4" s="1"/>
  <c r="E94" i="4"/>
  <c r="F94" i="4" s="1"/>
  <c r="A94" i="4"/>
  <c r="B94" i="4" s="1"/>
  <c r="E93" i="4"/>
  <c r="F93" i="4" s="1"/>
  <c r="A93" i="4"/>
  <c r="B93" i="4" s="1"/>
  <c r="E92" i="4"/>
  <c r="F92" i="4" s="1"/>
  <c r="A92" i="4"/>
  <c r="B92" i="4" s="1"/>
  <c r="E91" i="4"/>
  <c r="F91" i="4" s="1"/>
  <c r="A91" i="4"/>
  <c r="B91" i="4" s="1"/>
  <c r="E90" i="4"/>
  <c r="F90" i="4" s="1"/>
  <c r="A90" i="4"/>
  <c r="B90" i="4" s="1"/>
  <c r="E89" i="4"/>
  <c r="F89" i="4" s="1"/>
  <c r="A89" i="4"/>
  <c r="B89" i="4" s="1"/>
  <c r="E88" i="4"/>
  <c r="F88" i="4" s="1"/>
  <c r="A88" i="4"/>
  <c r="B88" i="4" s="1"/>
  <c r="E87" i="4"/>
  <c r="F87" i="4" s="1"/>
  <c r="A87" i="4"/>
  <c r="B87" i="4" s="1"/>
  <c r="E86" i="4"/>
  <c r="F86" i="4" s="1"/>
  <c r="A86" i="4"/>
  <c r="B86" i="4" s="1"/>
  <c r="E85" i="4"/>
  <c r="F85" i="4" s="1"/>
  <c r="A85" i="4"/>
  <c r="B85" i="4" s="1"/>
  <c r="E84" i="4"/>
  <c r="F84" i="4" s="1"/>
  <c r="A84" i="4"/>
  <c r="B84" i="4" s="1"/>
  <c r="E83" i="4"/>
  <c r="F83" i="4" s="1"/>
  <c r="A83" i="4"/>
  <c r="B83" i="4" s="1"/>
  <c r="E82" i="4"/>
  <c r="F82" i="4" s="1"/>
  <c r="A82" i="4"/>
  <c r="B82" i="4" s="1"/>
  <c r="E81" i="4"/>
  <c r="F81" i="4" s="1"/>
  <c r="A81" i="4"/>
  <c r="B81" i="4" s="1"/>
  <c r="E80" i="4"/>
  <c r="F80" i="4" s="1"/>
  <c r="A80" i="4"/>
  <c r="B80" i="4" s="1"/>
  <c r="E79" i="4"/>
  <c r="F79" i="4" s="1"/>
  <c r="A79" i="4"/>
  <c r="B79" i="4" s="1"/>
  <c r="E78" i="4"/>
  <c r="F78" i="4" s="1"/>
  <c r="A78" i="4"/>
  <c r="B78" i="4" s="1"/>
  <c r="E77" i="4"/>
  <c r="F77" i="4" s="1"/>
  <c r="A77" i="4"/>
  <c r="B77" i="4" s="1"/>
  <c r="E76" i="4"/>
  <c r="F76" i="4" s="1"/>
  <c r="A76" i="4"/>
  <c r="B76" i="4" s="1"/>
  <c r="E75" i="4"/>
  <c r="F75" i="4" s="1"/>
  <c r="A75" i="4"/>
  <c r="B75" i="4" s="1"/>
  <c r="E74" i="4"/>
  <c r="F74" i="4" s="1"/>
  <c r="A74" i="4"/>
  <c r="B74" i="4" s="1"/>
  <c r="E73" i="4"/>
  <c r="F73" i="4" s="1"/>
  <c r="A73" i="4"/>
  <c r="B73" i="4" s="1"/>
  <c r="E72" i="4"/>
  <c r="F72" i="4" s="1"/>
  <c r="A72" i="4"/>
  <c r="B72" i="4" s="1"/>
  <c r="E71" i="4"/>
  <c r="F71" i="4" s="1"/>
  <c r="A71" i="4"/>
  <c r="B71" i="4" s="1"/>
  <c r="E70" i="4"/>
  <c r="F70" i="4" s="1"/>
  <c r="A70" i="4"/>
  <c r="B70" i="4" s="1"/>
  <c r="E69" i="4"/>
  <c r="F69" i="4" s="1"/>
  <c r="A69" i="4"/>
  <c r="B69" i="4" s="1"/>
  <c r="E68" i="4"/>
  <c r="F68" i="4" s="1"/>
  <c r="A68" i="4"/>
  <c r="B68" i="4" s="1"/>
  <c r="E67" i="4"/>
  <c r="F67" i="4" s="1"/>
  <c r="A67" i="4"/>
  <c r="B67" i="4" s="1"/>
  <c r="E66" i="4"/>
  <c r="F66" i="4" s="1"/>
  <c r="A66" i="4"/>
  <c r="B66" i="4" s="1"/>
  <c r="E65" i="4"/>
  <c r="F65" i="4" s="1"/>
  <c r="A65" i="4"/>
  <c r="B65" i="4" s="1"/>
  <c r="E64" i="4"/>
  <c r="F64" i="4" s="1"/>
  <c r="A64" i="4"/>
  <c r="B64" i="4" s="1"/>
  <c r="E63" i="4"/>
  <c r="F63" i="4" s="1"/>
  <c r="A63" i="4"/>
  <c r="B63" i="4" s="1"/>
  <c r="E62" i="4"/>
  <c r="F62" i="4" s="1"/>
  <c r="A62" i="4"/>
  <c r="B62" i="4" s="1"/>
  <c r="E61" i="4"/>
  <c r="F61" i="4" s="1"/>
  <c r="A61" i="4"/>
  <c r="B61" i="4" s="1"/>
  <c r="E60" i="4"/>
  <c r="F60" i="4" s="1"/>
  <c r="A60" i="4"/>
  <c r="B60" i="4" s="1"/>
  <c r="E59" i="4"/>
  <c r="F59" i="4" s="1"/>
  <c r="A59" i="4"/>
  <c r="B59" i="4" s="1"/>
  <c r="E58" i="4"/>
  <c r="F58" i="4" s="1"/>
  <c r="A58" i="4"/>
  <c r="B58" i="4" s="1"/>
  <c r="E57" i="4"/>
  <c r="F57" i="4" s="1"/>
  <c r="A57" i="4"/>
  <c r="B57" i="4" s="1"/>
  <c r="E56" i="4"/>
  <c r="F56" i="4" s="1"/>
  <c r="A56" i="4"/>
  <c r="B56" i="4" s="1"/>
  <c r="E55" i="4"/>
  <c r="F55" i="4" s="1"/>
  <c r="A55" i="4"/>
  <c r="B55" i="4" s="1"/>
  <c r="E54" i="4"/>
  <c r="F54" i="4" s="1"/>
  <c r="A54" i="4"/>
  <c r="B54" i="4" s="1"/>
  <c r="E53" i="4"/>
  <c r="F53" i="4" s="1"/>
  <c r="A53" i="4"/>
  <c r="B53" i="4" s="1"/>
  <c r="E52" i="4"/>
  <c r="F52" i="4" s="1"/>
  <c r="A52" i="4"/>
  <c r="B52" i="4" s="1"/>
  <c r="E51" i="4"/>
  <c r="F51" i="4" s="1"/>
  <c r="A51" i="4"/>
  <c r="B51" i="4" s="1"/>
  <c r="E50" i="4"/>
  <c r="F50" i="4" s="1"/>
  <c r="A50" i="4"/>
  <c r="B50" i="4" s="1"/>
  <c r="E49" i="4"/>
  <c r="F49" i="4" s="1"/>
  <c r="A49" i="4"/>
  <c r="B49" i="4" s="1"/>
  <c r="E48" i="4"/>
  <c r="F48" i="4" s="1"/>
  <c r="A48" i="4"/>
  <c r="B48" i="4" s="1"/>
  <c r="E47" i="4"/>
  <c r="F47" i="4" s="1"/>
  <c r="A47" i="4"/>
  <c r="B47" i="4" s="1"/>
  <c r="E46" i="4"/>
  <c r="F46" i="4" s="1"/>
  <c r="A46" i="4"/>
  <c r="B46" i="4" s="1"/>
  <c r="E45" i="4"/>
  <c r="F45" i="4" s="1"/>
  <c r="A45" i="4"/>
  <c r="B45" i="4" s="1"/>
  <c r="E44" i="4"/>
  <c r="F44" i="4" s="1"/>
  <c r="A44" i="4"/>
  <c r="B44" i="4" s="1"/>
  <c r="E43" i="4"/>
  <c r="F43" i="4" s="1"/>
  <c r="A43" i="4"/>
  <c r="B43" i="4" s="1"/>
  <c r="E42" i="4"/>
  <c r="F42" i="4" s="1"/>
  <c r="A42" i="4"/>
  <c r="B42" i="4" s="1"/>
  <c r="E41" i="4"/>
  <c r="F41" i="4" s="1"/>
  <c r="A41" i="4"/>
  <c r="B41" i="4" s="1"/>
  <c r="E40" i="4"/>
  <c r="F40" i="4" s="1"/>
  <c r="A40" i="4"/>
  <c r="B40" i="4" s="1"/>
  <c r="E39" i="4"/>
  <c r="F39" i="4" s="1"/>
  <c r="A39" i="4"/>
  <c r="B39" i="4" s="1"/>
  <c r="E38" i="4"/>
  <c r="F38" i="4" s="1"/>
  <c r="A38" i="4"/>
  <c r="B38" i="4" s="1"/>
  <c r="E37" i="4"/>
  <c r="F37" i="4" s="1"/>
  <c r="A37" i="4"/>
  <c r="B37" i="4" s="1"/>
  <c r="E36" i="4"/>
  <c r="F36" i="4" s="1"/>
  <c r="A36" i="4"/>
  <c r="B36" i="4" s="1"/>
  <c r="E35" i="4"/>
  <c r="F35" i="4" s="1"/>
  <c r="A35" i="4"/>
  <c r="B35" i="4" s="1"/>
  <c r="E34" i="4"/>
  <c r="F34" i="4" s="1"/>
  <c r="A34" i="4"/>
  <c r="B34" i="4" s="1"/>
  <c r="E33" i="4"/>
  <c r="F33" i="4" s="1"/>
  <c r="A33" i="4"/>
  <c r="B33" i="4" s="1"/>
  <c r="E32" i="4"/>
  <c r="F32" i="4" s="1"/>
  <c r="A32" i="4"/>
  <c r="B32" i="4" s="1"/>
  <c r="E31" i="4"/>
  <c r="F31" i="4" s="1"/>
  <c r="A31" i="4"/>
  <c r="B31" i="4" s="1"/>
  <c r="E30" i="4"/>
  <c r="F30" i="4" s="1"/>
  <c r="A30" i="4"/>
  <c r="B30" i="4" s="1"/>
  <c r="E29" i="4"/>
  <c r="F29" i="4" s="1"/>
  <c r="A29" i="4"/>
  <c r="B29" i="4" s="1"/>
  <c r="E28" i="4"/>
  <c r="F28" i="4" s="1"/>
  <c r="A28" i="4"/>
  <c r="B28" i="4" s="1"/>
  <c r="E27" i="4"/>
  <c r="F27" i="4" s="1"/>
  <c r="A27" i="4"/>
  <c r="B27" i="4" s="1"/>
  <c r="E26" i="4"/>
  <c r="F26" i="4" s="1"/>
  <c r="A26" i="4"/>
  <c r="B26" i="4" s="1"/>
  <c r="E25" i="4"/>
  <c r="F25" i="4" s="1"/>
  <c r="A25" i="4"/>
  <c r="B25" i="4" s="1"/>
  <c r="E24" i="4"/>
  <c r="F24" i="4" s="1"/>
  <c r="A24" i="4"/>
  <c r="B24" i="4" s="1"/>
  <c r="E23" i="4"/>
  <c r="F23" i="4" s="1"/>
  <c r="A23" i="4"/>
  <c r="B23" i="4" s="1"/>
  <c r="E22" i="4"/>
  <c r="F22" i="4" s="1"/>
  <c r="A22" i="4"/>
  <c r="B22" i="4" s="1"/>
  <c r="E21" i="4"/>
  <c r="F21" i="4" s="1"/>
  <c r="A21" i="4"/>
  <c r="B21" i="4" s="1"/>
  <c r="E20" i="4"/>
  <c r="F20" i="4" s="1"/>
  <c r="C20" i="4"/>
  <c r="D20" i="4" s="1"/>
  <c r="A20" i="4"/>
  <c r="B20" i="4" s="1"/>
  <c r="E19" i="4"/>
  <c r="F19" i="4" s="1"/>
  <c r="C19" i="4"/>
  <c r="D19" i="4" s="1"/>
  <c r="A19" i="4"/>
  <c r="B19" i="4" s="1"/>
  <c r="E18" i="4"/>
  <c r="F18" i="4" s="1"/>
  <c r="C18" i="4"/>
  <c r="D18" i="4" s="1"/>
  <c r="A18" i="4"/>
  <c r="B18" i="4" s="1"/>
  <c r="E17" i="4"/>
  <c r="F17" i="4" s="1"/>
  <c r="C17" i="4"/>
  <c r="D17" i="4" s="1"/>
  <c r="A17" i="4"/>
  <c r="B17" i="4" s="1"/>
  <c r="F16" i="4"/>
  <c r="C16" i="4"/>
  <c r="D16" i="4" s="1"/>
  <c r="A16" i="4"/>
  <c r="B16" i="4" s="1"/>
  <c r="E15" i="4"/>
  <c r="F15" i="4" s="1"/>
  <c r="D15" i="4"/>
  <c r="A15" i="4"/>
  <c r="B15" i="4" s="1"/>
  <c r="E14" i="4"/>
  <c r="F14" i="4" s="1"/>
  <c r="C14" i="4"/>
  <c r="D14" i="4" s="1"/>
  <c r="A14" i="4"/>
  <c r="B14" i="4" s="1"/>
  <c r="E13" i="4"/>
  <c r="F13" i="4" s="1"/>
  <c r="C13" i="4"/>
  <c r="D13" i="4" s="1"/>
  <c r="A13" i="4"/>
  <c r="B13" i="4" s="1"/>
  <c r="E12" i="4"/>
  <c r="F12" i="4" s="1"/>
  <c r="C12" i="4"/>
  <c r="D12" i="4" s="1"/>
  <c r="A12" i="4"/>
  <c r="B12" i="4" s="1"/>
  <c r="E11" i="4"/>
  <c r="F11" i="4" s="1"/>
  <c r="C11" i="4"/>
  <c r="D11" i="4" s="1"/>
  <c r="A11" i="4"/>
  <c r="B11" i="4" s="1"/>
  <c r="E10" i="4"/>
  <c r="F10" i="4" s="1"/>
  <c r="C10" i="4"/>
  <c r="D10" i="4" s="1"/>
  <c r="A10" i="4"/>
  <c r="B10" i="4" s="1"/>
  <c r="E9" i="4"/>
  <c r="F9" i="4" s="1"/>
  <c r="C9" i="4"/>
  <c r="D9" i="4" s="1"/>
  <c r="A9" i="4"/>
  <c r="B9" i="4" s="1"/>
  <c r="E8" i="4"/>
  <c r="F8" i="4" s="1"/>
  <c r="C8" i="4"/>
  <c r="D8" i="4" s="1"/>
  <c r="A8" i="4"/>
  <c r="B8" i="4" s="1"/>
  <c r="E7" i="4"/>
  <c r="F7" i="4" s="1"/>
  <c r="C7" i="4"/>
  <c r="D7" i="4" s="1"/>
  <c r="A7" i="4"/>
  <c r="B7" i="4" s="1"/>
  <c r="E6" i="4"/>
  <c r="F6" i="4" s="1"/>
  <c r="C6" i="4"/>
  <c r="D6" i="4" s="1"/>
  <c r="A6" i="4"/>
  <c r="B6" i="4" s="1"/>
  <c r="E5" i="4"/>
  <c r="F5" i="4" s="1"/>
  <c r="C5" i="4"/>
  <c r="D5" i="4" s="1"/>
  <c r="A5" i="4"/>
  <c r="B5" i="4" s="1"/>
  <c r="E4" i="4"/>
  <c r="F4" i="4" s="1"/>
  <c r="C4" i="4"/>
  <c r="D4" i="4" s="1"/>
  <c r="A4" i="4"/>
  <c r="B4" i="4" s="1"/>
  <c r="F3" i="4"/>
  <c r="D3" i="4"/>
  <c r="B3" i="4"/>
  <c r="B1" i="4" l="1"/>
  <c r="D1" i="4"/>
  <c r="D22" i="4" s="1"/>
  <c r="F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11"/>
            <color theme="1"/>
            <rFont val="aptos narrow"/>
            <scheme val="minor"/>
          </rPr>
          <t>model is not released at that point</t>
        </r>
      </text>
    </comment>
    <comment ref="F47" authorId="0" shapeId="0" xr:uid="{00000000-0006-0000-0000-000002000000}">
      <text>
        <r>
          <rPr>
            <sz val="11"/>
            <color theme="1"/>
            <rFont val="aptos narrow"/>
            <scheme val="minor"/>
          </rPr>
          <t>Person was commenting the same day the model was added to HF</t>
        </r>
      </text>
    </comment>
    <comment ref="F48" authorId="0" shapeId="0" xr:uid="{00000000-0006-0000-0000-000003000000}">
      <text>
        <r>
          <rPr>
            <sz val="11"/>
            <color theme="1"/>
            <rFont val="aptos narrow"/>
            <scheme val="minor"/>
          </rPr>
          <t>Person was commenting the same day the model was added to HF</t>
        </r>
      </text>
    </comment>
    <comment ref="F71" authorId="0" shapeId="0" xr:uid="{00000000-0006-0000-0000-000004000000}">
      <text>
        <r>
          <rPr>
            <sz val="11"/>
            <color theme="1"/>
            <rFont val="aptos narrow"/>
            <scheme val="minor"/>
          </rPr>
          <t>There is a link for tutorials that includes one that will help with answering this question</t>
        </r>
      </text>
    </comment>
    <comment ref="F72" authorId="0" shapeId="0" xr:uid="{00000000-0006-0000-0000-000005000000}">
      <text>
        <r>
          <rPr>
            <sz val="11"/>
            <color theme="1"/>
            <rFont val="aptos narrow"/>
            <scheme val="minor"/>
          </rPr>
          <t>There is a link for tutorials that includes one that will help with answering this question</t>
        </r>
      </text>
    </comment>
    <comment ref="F74" authorId="0" shapeId="0" xr:uid="{00000000-0006-0000-0000-000006000000}">
      <text>
        <r>
          <rPr>
            <sz val="11"/>
            <color theme="1"/>
            <rFont val="aptos narrow"/>
            <scheme val="minor"/>
          </rPr>
          <t>usage examples exist, with ones that show how to do this</t>
        </r>
      </text>
    </comment>
    <comment ref="F78" authorId="0" shapeId="0" xr:uid="{00000000-0006-0000-0000-000007000000}">
      <text>
        <r>
          <rPr>
            <sz val="11"/>
            <color theme="1"/>
            <rFont val="aptos narrow"/>
            <scheme val="minor"/>
          </rPr>
          <t>tag answers question</t>
        </r>
      </text>
    </comment>
    <comment ref="F80" authorId="0" shapeId="0" xr:uid="{00000000-0006-0000-0000-000008000000}">
      <text>
        <r>
          <rPr>
            <sz val="11"/>
            <color theme="1"/>
            <rFont val="aptos narrow"/>
            <scheme val="minor"/>
          </rPr>
          <t xml:space="preserve">Legality extends to dataset that is not mentioned in model card
</t>
        </r>
      </text>
    </comment>
    <comment ref="F89" authorId="0" shapeId="0" xr:uid="{00000000-0006-0000-0000-000009000000}">
      <text>
        <r>
          <rPr>
            <sz val="11"/>
            <color theme="1"/>
            <rFont val="aptos narrow"/>
            <scheme val="minor"/>
          </rPr>
          <t>no model card</t>
        </r>
      </text>
    </comment>
    <comment ref="F90" authorId="0" shapeId="0" xr:uid="{00000000-0006-0000-0000-00000A000000}">
      <text>
        <r>
          <rPr>
            <sz val="11"/>
            <color theme="1"/>
            <rFont val="aptos narrow"/>
            <scheme val="minor"/>
          </rPr>
          <t>no model card</t>
        </r>
      </text>
    </comment>
    <comment ref="F100" authorId="0" shapeId="0" xr:uid="{00000000-0006-0000-0000-00000B000000}">
      <text>
        <r>
          <rPr>
            <sz val="11"/>
            <color theme="1"/>
            <rFont val="aptos narrow"/>
            <scheme val="minor"/>
          </rPr>
          <t>but the dataset exists....</t>
        </r>
      </text>
    </comment>
    <comment ref="F111" authorId="0" shapeId="0" xr:uid="{00000000-0006-0000-0000-00000C000000}">
      <text>
        <r>
          <rPr>
            <sz val="11"/>
            <color theme="1"/>
            <rFont val="aptos narrow"/>
            <scheme val="minor"/>
          </rPr>
          <t>in tags</t>
        </r>
      </text>
    </comment>
    <comment ref="C170" authorId="0" shapeId="0" xr:uid="{00000000-0006-0000-0000-00000D000000}">
      <text>
        <r>
          <rPr>
            <sz val="11"/>
            <color theme="1"/>
            <rFont val="aptos narrow"/>
            <scheme val="minor"/>
          </rPr>
          <t>Unmapped</t>
        </r>
      </text>
    </comment>
    <comment ref="F170" authorId="0" shapeId="0" xr:uid="{00000000-0006-0000-0000-00000E000000}">
      <text>
        <r>
          <rPr>
            <sz val="11"/>
            <color theme="1"/>
            <rFont val="aptos narrow"/>
            <scheme val="minor"/>
          </rPr>
          <t xml:space="preserve">Answer in another model card
</t>
        </r>
      </text>
    </comment>
    <comment ref="F171" authorId="0" shapeId="0" xr:uid="{00000000-0006-0000-0000-00000F000000}">
      <text>
        <r>
          <rPr>
            <sz val="11"/>
            <color theme="1"/>
            <rFont val="aptos narrow"/>
            <scheme val="minor"/>
          </rPr>
          <t xml:space="preserve">Answer in another model card
</t>
        </r>
      </text>
    </comment>
    <comment ref="C172" authorId="0" shapeId="0" xr:uid="{00000000-0006-0000-0000-000010000000}">
      <text>
        <r>
          <rPr>
            <sz val="11"/>
            <color theme="1"/>
            <rFont val="aptos narrow"/>
            <scheme val="minor"/>
          </rPr>
          <t>Evaluation Data/Preprocessing</t>
        </r>
      </text>
    </comment>
    <comment ref="C173" authorId="0" shapeId="0" xr:uid="{00000000-0006-0000-0000-000011000000}">
      <text>
        <r>
          <rPr>
            <sz val="11"/>
            <color theme="1"/>
            <rFont val="aptos narrow"/>
            <scheme val="minor"/>
          </rPr>
          <t>Unmapped</t>
        </r>
      </text>
    </comment>
    <comment ref="C174" authorId="0" shapeId="0" xr:uid="{00000000-0006-0000-0000-000012000000}">
      <text>
        <r>
          <rPr>
            <sz val="11"/>
            <color theme="1"/>
            <rFont val="aptos narrow"/>
            <scheme val="minor"/>
          </rPr>
          <t>Unmapped</t>
        </r>
      </text>
    </comment>
    <comment ref="C175" authorId="0" shapeId="0" xr:uid="{00000000-0006-0000-0000-000013000000}">
      <text>
        <r>
          <rPr>
            <sz val="11"/>
            <color theme="1"/>
            <rFont val="aptos narrow"/>
            <scheme val="minor"/>
          </rPr>
          <t>Model Details/Model type</t>
        </r>
      </text>
    </comment>
    <comment ref="C182" authorId="0" shapeId="0" xr:uid="{00000000-0006-0000-0000-000014000000}">
      <text>
        <r>
          <rPr>
            <sz val="11"/>
            <color theme="1"/>
            <rFont val="aptos narrow"/>
            <scheme val="minor"/>
          </rPr>
          <t>Unmapped</t>
        </r>
      </text>
    </comment>
    <comment ref="C183" authorId="0" shapeId="0" xr:uid="{00000000-0006-0000-0000-000015000000}">
      <text>
        <r>
          <rPr>
            <sz val="11"/>
            <color theme="1"/>
            <rFont val="aptos narrow"/>
            <scheme val="minor"/>
          </rPr>
          <t>Unmapped</t>
        </r>
      </text>
    </comment>
    <comment ref="C184" authorId="0" shapeId="0" xr:uid="{00000000-0006-0000-0000-000016000000}">
      <text>
        <r>
          <rPr>
            <sz val="11"/>
            <color theme="1"/>
            <rFont val="aptos narrow"/>
            <scheme val="minor"/>
          </rPr>
          <t>Evaluation Data/Preprocessing</t>
        </r>
      </text>
    </comment>
    <comment ref="C190" authorId="0" shapeId="0" xr:uid="{00000000-0006-0000-0000-000017000000}">
      <text>
        <r>
          <rPr>
            <sz val="11"/>
            <color theme="1"/>
            <rFont val="aptos narrow"/>
            <scheme val="minor"/>
          </rPr>
          <t>Can be training data preprocessing, however, it is not clear from the questions if the problem is because of the data.</t>
        </r>
      </text>
    </comment>
    <comment ref="F199" authorId="0" shapeId="0" xr:uid="{00000000-0006-0000-0000-000018000000}">
      <text>
        <r>
          <rPr>
            <sz val="11"/>
            <color theme="1"/>
            <rFont val="aptos narrow"/>
            <scheme val="minor"/>
          </rPr>
          <t xml:space="preserve">From license tag
</t>
        </r>
      </text>
    </comment>
    <comment ref="C204" authorId="0" shapeId="0" xr:uid="{00000000-0006-0000-0000-000019000000}">
      <text>
        <r>
          <rPr>
            <sz val="11"/>
            <color theme="1"/>
            <rFont val="aptos narrow"/>
            <scheme val="minor"/>
          </rPr>
          <t>Unmapped</t>
        </r>
      </text>
    </comment>
    <comment ref="C206" authorId="0" shapeId="0" xr:uid="{00000000-0006-0000-0000-00001A000000}">
      <text>
        <r>
          <rPr>
            <sz val="11"/>
            <color theme="1"/>
            <rFont val="aptos narrow"/>
            <scheme val="minor"/>
          </rPr>
          <t>Model Details/Training detail</t>
        </r>
      </text>
    </comment>
    <comment ref="C213" authorId="0" shapeId="0" xr:uid="{00000000-0006-0000-0000-00001B000000}">
      <text>
        <r>
          <rPr>
            <sz val="11"/>
            <color theme="1"/>
            <rFont val="aptos narrow"/>
            <scheme val="minor"/>
          </rPr>
          <t>Training Data/Preprocessing</t>
        </r>
      </text>
    </comment>
    <comment ref="C227" authorId="0" shapeId="0" xr:uid="{00000000-0006-0000-0000-00001C000000}">
      <text>
        <r>
          <rPr>
            <sz val="11"/>
            <color theme="1"/>
            <rFont val="aptos narrow"/>
            <scheme val="minor"/>
          </rPr>
          <t>Model Details/Model type</t>
        </r>
      </text>
    </comment>
    <comment ref="F232" authorId="0" shapeId="0" xr:uid="{00000000-0006-0000-0000-00001D000000}">
      <text>
        <r>
          <rPr>
            <sz val="11"/>
            <color theme="1"/>
            <rFont val="aptos narrow"/>
            <scheme val="minor"/>
          </rPr>
          <t xml:space="preserve">in tag
</t>
        </r>
      </text>
    </comment>
    <comment ref="C236" authorId="0" shapeId="0" xr:uid="{00000000-0006-0000-0000-00001E000000}">
      <text>
        <r>
          <rPr>
            <sz val="11"/>
            <color theme="1"/>
            <rFont val="aptos narrow"/>
            <scheme val="minor"/>
          </rPr>
          <t>Unmapped</t>
        </r>
      </text>
    </comment>
    <comment ref="C238" authorId="0" shapeId="0" xr:uid="{00000000-0006-0000-0000-00001F000000}">
      <text>
        <r>
          <rPr>
            <sz val="11"/>
            <color theme="1"/>
            <rFont val="aptos narrow"/>
            <scheme val="minor"/>
          </rPr>
          <t>Model Details/Paper or other resource</t>
        </r>
      </text>
    </comment>
    <comment ref="C240" authorId="0" shapeId="0" xr:uid="{00000000-0006-0000-0000-000020000000}">
      <text>
        <r>
          <rPr>
            <sz val="11"/>
            <color theme="1"/>
            <rFont val="aptos narrow"/>
            <scheme val="minor"/>
          </rPr>
          <t>already been trained to some extent, thats where the ckpt coming from.</t>
        </r>
      </text>
    </comment>
    <comment ref="C264" authorId="0" shapeId="0" xr:uid="{00000000-0006-0000-0000-000021000000}">
      <text>
        <r>
          <rPr>
            <sz val="11"/>
            <color theme="1"/>
            <rFont val="aptos narrow"/>
            <scheme val="minor"/>
          </rPr>
          <t>Model Details/License</t>
        </r>
      </text>
    </comment>
    <comment ref="C265" authorId="0" shapeId="0" xr:uid="{00000000-0006-0000-0000-000022000000}">
      <text>
        <r>
          <rPr>
            <sz val="11"/>
            <color theme="1"/>
            <rFont val="aptos narrow"/>
            <scheme val="minor"/>
          </rPr>
          <t>Unmapped</t>
        </r>
      </text>
    </comment>
    <comment ref="C278" authorId="0" shapeId="0" xr:uid="{00000000-0006-0000-0000-000023000000}">
      <text>
        <r>
          <rPr>
            <sz val="11"/>
            <color theme="1"/>
            <rFont val="aptos narrow"/>
            <scheme val="minor"/>
          </rPr>
          <t>Model Details/Training detail</t>
        </r>
      </text>
    </comment>
    <comment ref="E288" authorId="0" shapeId="0" xr:uid="{00000000-0006-0000-0000-000024000000}">
      <text>
        <r>
          <rPr>
            <sz val="11"/>
            <color theme="1"/>
            <rFont val="aptos narrow"/>
            <scheme val="minor"/>
          </rPr>
          <t>Although there is example on how to use in the model card, the output is not meaningful. May be the model card has been updated more after this question, check.</t>
        </r>
      </text>
    </comment>
    <comment ref="C294" authorId="0" shapeId="0" xr:uid="{00000000-0006-0000-0000-000025000000}">
      <text>
        <r>
          <rPr>
            <sz val="11"/>
            <color theme="1"/>
            <rFont val="aptos narrow"/>
            <scheme val="minor"/>
          </rPr>
          <t>Model Details/Paper or other resource</t>
        </r>
      </text>
    </comment>
    <comment ref="C302" authorId="0" shapeId="0" xr:uid="{00000000-0006-0000-0000-000026000000}">
      <text>
        <r>
          <rPr>
            <sz val="11"/>
            <color theme="1"/>
            <rFont val="aptos narrow"/>
            <scheme val="minor"/>
          </rPr>
          <t>Training Data/Preprocessing</t>
        </r>
      </text>
    </comment>
    <comment ref="C304" authorId="0" shapeId="0" xr:uid="{00000000-0006-0000-0000-000027000000}">
      <text>
        <r>
          <rPr>
            <sz val="11"/>
            <color theme="1"/>
            <rFont val="aptos narrow"/>
            <scheme val="minor"/>
          </rPr>
          <t>It may look like Intended Use/Primary intended uses, but it is not.</t>
        </r>
      </text>
    </comment>
    <comment ref="C318" authorId="0" shapeId="0" xr:uid="{00000000-0006-0000-0000-000028000000}">
      <text>
        <r>
          <rPr>
            <sz val="11"/>
            <color theme="1"/>
            <rFont val="aptos narrow"/>
            <scheme val="minor"/>
          </rPr>
          <t>Evaluation Data/Preprocessing</t>
        </r>
      </text>
    </comment>
    <comment ref="C319" authorId="0" shapeId="0" xr:uid="{00000000-0006-0000-0000-000029000000}">
      <text>
        <r>
          <rPr>
            <sz val="11"/>
            <color theme="1"/>
            <rFont val="aptos narrow"/>
            <scheme val="minor"/>
          </rPr>
          <t>Model Details/Training detail</t>
        </r>
      </text>
    </comment>
    <comment ref="E322" authorId="0" shapeId="0" xr:uid="{00000000-0006-0000-0000-00002A000000}">
      <text>
        <r>
          <rPr>
            <sz val="11"/>
            <color theme="1"/>
            <rFont val="aptos narrow"/>
            <scheme val="minor"/>
          </rPr>
          <t>how to use through API</t>
        </r>
      </text>
    </comment>
    <comment ref="C335" authorId="0" shapeId="0" xr:uid="{00000000-0006-0000-0000-00002B000000}">
      <text>
        <r>
          <rPr>
            <sz val="11"/>
            <color theme="1"/>
            <rFont val="aptos narrow"/>
            <scheme val="minor"/>
          </rPr>
          <t>Model Details/Training detail
Training Data/Datasets</t>
        </r>
      </text>
    </comment>
    <comment ref="C345" authorId="0" shapeId="0" xr:uid="{00000000-0006-0000-0000-00002C000000}">
      <text>
        <r>
          <rPr>
            <sz val="11"/>
            <color theme="1"/>
            <rFont val="aptos narrow"/>
            <scheme val="minor"/>
          </rPr>
          <t>Evaluation Data/Preprocessing</t>
        </r>
      </text>
    </comment>
    <comment ref="C352" authorId="0" shapeId="0" xr:uid="{00000000-0006-0000-0000-00002D000000}">
      <text>
        <r>
          <rPr>
            <sz val="11"/>
            <color theme="1"/>
            <rFont val="aptos narrow"/>
            <scheme val="minor"/>
          </rPr>
          <t>Unmapped</t>
        </r>
      </text>
    </comment>
    <comment ref="C355" authorId="0" shapeId="0" xr:uid="{00000000-0006-0000-0000-00002E000000}">
      <text>
        <r>
          <rPr>
            <sz val="11"/>
            <color theme="1"/>
            <rFont val="aptos narrow"/>
            <scheme val="minor"/>
          </rPr>
          <t>Model Details/Paper or other resource</t>
        </r>
      </text>
    </comment>
    <comment ref="D358" authorId="0" shapeId="0" xr:uid="{00000000-0006-0000-0000-00002F000000}">
      <text>
        <r>
          <rPr>
            <sz val="11"/>
            <color theme="1"/>
            <rFont val="aptos narrow"/>
            <scheme val="minor"/>
          </rPr>
          <t>Intended Use/Out-of-scope</t>
        </r>
      </text>
    </comment>
    <comment ref="C361" authorId="0" shapeId="0" xr:uid="{00000000-0006-0000-0000-000030000000}">
      <text>
        <r>
          <rPr>
            <sz val="11"/>
            <color theme="1"/>
            <rFont val="aptos narrow"/>
            <scheme val="minor"/>
          </rPr>
          <t>Seems like talking about a different model</t>
        </r>
      </text>
    </comment>
    <comment ref="C374" authorId="0" shapeId="0" xr:uid="{00000000-0006-0000-0000-000031000000}">
      <text>
        <r>
          <rPr>
            <sz val="11"/>
            <color theme="1"/>
            <rFont val="aptos narrow"/>
            <scheme val="minor"/>
          </rPr>
          <t>Quantitative Analyses/Intersectional results</t>
        </r>
      </text>
    </comment>
    <comment ref="E375" authorId="0" shapeId="0" xr:uid="{00000000-0006-0000-0000-000032000000}">
      <text>
        <r>
          <rPr>
            <sz val="11"/>
            <color theme="1"/>
            <rFont val="aptos narrow"/>
            <scheme val="minor"/>
          </rPr>
          <t>abnormal behaviour in HF inference api</t>
        </r>
      </text>
    </comment>
    <comment ref="C377" authorId="0" shapeId="0" xr:uid="{00000000-0006-0000-0000-000033000000}">
      <text>
        <r>
          <rPr>
            <sz val="11"/>
            <color theme="1"/>
            <rFont val="aptos narrow"/>
            <scheme val="minor"/>
          </rPr>
          <t>Intended Use/Primary intended uses</t>
        </r>
      </text>
    </comment>
    <comment ref="F388" authorId="0" shapeId="0" xr:uid="{00000000-0006-0000-0000-000034000000}">
      <text>
        <r>
          <rPr>
            <sz val="11"/>
            <color theme="1"/>
            <rFont val="aptos narrow"/>
            <scheme val="minor"/>
          </rPr>
          <t>answer is in faq</t>
        </r>
      </text>
    </comment>
    <comment ref="C389" authorId="0" shapeId="0" xr:uid="{00000000-0006-0000-0000-000035000000}">
      <text>
        <r>
          <rPr>
            <sz val="11"/>
            <color theme="1"/>
            <rFont val="aptos narrow"/>
            <scheme val="minor"/>
          </rPr>
          <t>Intended Use/Primary intended uses</t>
        </r>
      </text>
    </comment>
    <comment ref="F389" authorId="0" shapeId="0" xr:uid="{00000000-0006-0000-0000-000036000000}">
      <text>
        <r>
          <rPr>
            <sz val="11"/>
            <color theme="1"/>
            <rFont val="aptos narrow"/>
            <scheme val="minor"/>
          </rPr>
          <t>answer is in faq</t>
        </r>
      </text>
    </comment>
    <comment ref="F425" authorId="0" shapeId="0" xr:uid="{00000000-0006-0000-0000-000037000000}">
      <text>
        <r>
          <rPr>
            <sz val="11"/>
            <color theme="1"/>
            <rFont val="aptos narrow"/>
            <scheme val="minor"/>
          </rPr>
          <t>have result of HumanEval and MBPP score, not speed level performance</t>
        </r>
      </text>
    </comment>
    <comment ref="F428" authorId="0" shapeId="0" xr:uid="{00000000-0006-0000-0000-000038000000}">
      <text>
        <r>
          <rPr>
            <sz val="11"/>
            <color theme="1"/>
            <rFont val="aptos narrow"/>
            <scheme val="minor"/>
          </rPr>
          <t>from the model card it is not sure if the llama or the llava is quantized</t>
        </r>
      </text>
    </comment>
    <comment ref="F433" authorId="0" shapeId="0" xr:uid="{00000000-0006-0000-0000-000039000000}">
      <text>
        <r>
          <rPr>
            <sz val="11"/>
            <color theme="1"/>
            <rFont val="aptos narrow"/>
            <scheme val="minor"/>
          </rPr>
          <t>they provided script as training detail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78" authorId="0" shapeId="0" xr:uid="{00000000-0006-0000-0100-000001000000}">
      <text>
        <r>
          <rPr>
            <sz val="11"/>
            <color theme="1"/>
            <rFont val="aptos narrow"/>
            <scheme val="minor"/>
          </rPr>
          <t>Model Details/Paper or other resource</t>
        </r>
      </text>
    </comment>
    <comment ref="C364" authorId="0" shapeId="0" xr:uid="{00000000-0006-0000-0100-000002000000}">
      <text>
        <r>
          <rPr>
            <sz val="11"/>
            <color theme="1"/>
            <rFont val="aptos narrow"/>
            <scheme val="minor"/>
          </rPr>
          <t>Model Details/Paper or other resource</t>
        </r>
      </text>
    </comment>
    <comment ref="C399" authorId="0" shapeId="0" xr:uid="{00000000-0006-0000-0100-000003000000}">
      <text>
        <r>
          <rPr>
            <sz val="11"/>
            <color theme="1"/>
            <rFont val="aptos narrow"/>
            <scheme val="minor"/>
          </rPr>
          <t>Unmapped if it is about fine-tuning</t>
        </r>
      </text>
    </comment>
  </commentList>
</comments>
</file>

<file path=xl/sharedStrings.xml><?xml version="1.0" encoding="utf-8"?>
<sst xmlns="http://schemas.openxmlformats.org/spreadsheetml/2006/main" count="4258" uniqueCount="1154">
  <si>
    <t>source</t>
  </si>
  <si>
    <t>question</t>
  </si>
  <si>
    <t>mapping</t>
  </si>
  <si>
    <t>resolution</t>
  </si>
  <si>
    <t>mapping note</t>
  </si>
  <si>
    <t>has answer in model card</t>
  </si>
  <si>
    <t>context</t>
  </si>
  <si>
    <t>note</t>
  </si>
  <si>
    <t>https://huggingface.co/01-ai/Yi-34B/discussions/6</t>
  </si>
  <si>
    <t>will chat model opensource?</t>
  </si>
  <si>
    <t>Model Details/License</t>
  </si>
  <si>
    <t>no</t>
  </si>
  <si>
    <t>license</t>
  </si>
  <si>
    <t>what exactly length it supports?</t>
  </si>
  <si>
    <t>Model Details/Model type</t>
  </si>
  <si>
    <t>context size/number of tokens</t>
  </si>
  <si>
    <t>current context length support</t>
  </si>
  <si>
    <t>https://huggingface.co/01-ai/Yi-34B/discussions/8</t>
  </si>
  <si>
    <t>Can you release a chat version soon?</t>
  </si>
  <si>
    <t>Unmapped</t>
  </si>
  <si>
    <t>model variant inquiry or request</t>
  </si>
  <si>
    <t>model variant/model type</t>
  </si>
  <si>
    <t>https://huggingface.co/Abirate/gpt_3_finetuned_multi_x_science/discussions/1</t>
  </si>
  <si>
    <t>Can you also provide the Inference script if possible?</t>
  </si>
  <si>
    <t>Model Details/Paper or other resource</t>
  </si>
  <si>
    <t>model use code/script request</t>
  </si>
  <si>
    <t>script/inference script request</t>
  </si>
  <si>
    <t>https://huggingface.co/adept/fuyu-8b/discussions/35</t>
  </si>
  <si>
    <t>How to get the detailed description in the fuyu-8b-demo？</t>
  </si>
  <si>
    <t>how to use</t>
  </si>
  <si>
    <t>model use</t>
  </si>
  <si>
    <t>https://huggingface.co/adept/fuyu-8b/discussions/46</t>
  </si>
  <si>
    <t>what is the code to run in windows?</t>
  </si>
  <si>
    <t>code/model use code request</t>
  </si>
  <si>
    <t>asking about a different package</t>
  </si>
  <si>
    <t>is there a way i can run this on windows?</t>
  </si>
  <si>
    <t>model use/os</t>
  </si>
  <si>
    <t>https://huggingface.co/ahmedrachid/FinancialBERT-Sentiment-Analysis/discussions/4</t>
  </si>
  <si>
    <t>Does the program support num_labels = 2? Is there a way to set num_labels = 2?</t>
  </si>
  <si>
    <t>Intended Use/Primary intended uses</t>
  </si>
  <si>
    <t>model output processing</t>
  </si>
  <si>
    <t>feature support inquiry</t>
  </si>
  <si>
    <t>https://huggingface.co/ai4bharat/indic-bert/discussions/2</t>
  </si>
  <si>
    <t>Is that expected behavior I should compensate for, or is it something that can be fixed in the tokenizer?</t>
  </si>
  <si>
    <t>Model Details/Training detail</t>
  </si>
  <si>
    <t>model use/tokenizer behaviour</t>
  </si>
  <si>
    <t>https://huggingface.co/anon8231489123/gpt4-x-alpaca-13b-native-4bit-128g/discussions/12</t>
  </si>
  <si>
    <t>Is Vicuna involved by any means?</t>
  </si>
  <si>
    <t>training detail</t>
  </si>
  <si>
    <t>https://huggingface.co/anon8231489123/gpt4-x-alpaca-13b-native-4bit-128g/discussions/36</t>
  </si>
  <si>
    <t>Anyone have a notebook for finetuning/structuring training data?</t>
  </si>
  <si>
    <t>Training Data/Preprocessing</t>
  </si>
  <si>
    <t>dataset/preprocessing code request</t>
  </si>
  <si>
    <t>https://huggingface.co/anon8231489123/vicuna-13b-GPTQ-4bit-128g/discussions/47</t>
  </si>
  <si>
    <t>Can we finetune the GPTQ model? Can we finetune/train this model using fastchat same as the lmsys/vicuna-13b-delta-v0</t>
  </si>
  <si>
    <t>finetune</t>
  </si>
  <si>
    <t>finetuning possibilities</t>
  </si>
  <si>
    <t>https://huggingface.co/artificialguybr/OpenHermesV2-PTBR/discussions/2</t>
  </si>
  <si>
    <t>This model was trained using a translated version of openhermes dataset?</t>
  </si>
  <si>
    <t>Training Data/Datasets</t>
  </si>
  <si>
    <t>which dataset</t>
  </si>
  <si>
    <t>dataset/training data source</t>
  </si>
  <si>
    <t>https://huggingface.co/athirdpath/Iambe-20b-DARE/discussions/1</t>
  </si>
  <si>
    <t>I wish there was a benchmark to test a model story writing capabilities automatically</t>
  </si>
  <si>
    <t>Evaluation Data/Datasets</t>
  </si>
  <si>
    <t>https://huggingface.co/BAAI/bge-reranker-large/discussions/7</t>
  </si>
  <si>
    <t>Can we have the score normalized between 0 and 1</t>
  </si>
  <si>
    <t>feature support inquiry/model output</t>
  </si>
  <si>
    <t xml:space="preserve">I believe the output score is obtained by global max pooling right? </t>
  </si>
  <si>
    <t>Metrics/Variation approaches</t>
  </si>
  <si>
    <t>model architecture</t>
  </si>
  <si>
    <t>https://huggingface.co/baichuan-inc/Baichuan2-13B-Chat/discussions/26</t>
  </si>
  <si>
    <t>could you provide a sharded model?</t>
  </si>
  <si>
    <t>model variant/quantization</t>
  </si>
  <si>
    <t>https://huggingface.co/benjamin/roberta-base-wechsel-german/discussions/1</t>
  </si>
  <si>
    <t>Could you share training scripts?</t>
  </si>
  <si>
    <t>training_finetuning code/script request</t>
  </si>
  <si>
    <t>script/training script request</t>
  </si>
  <si>
    <t>Could you share what training dataset you used?</t>
  </si>
  <si>
    <t>https://huggingface.co/berkeley-nest/Starling-LM-7B-alpha/discussions/26</t>
  </si>
  <si>
    <t>I was wondering when the code/paper is going to be released?</t>
  </si>
  <si>
    <t>code/script</t>
  </si>
  <si>
    <t>code</t>
  </si>
  <si>
    <t>the code was mentioned as coming soon</t>
  </si>
  <si>
    <t>https://huggingface.co/berker/vicuna-13B-1.1-GPTQ-3bit-128g-v2/discussions/1</t>
  </si>
  <si>
    <t>Any way to make it work on a RTX 3070 (8GB VRAM)? Do you know if there are any settings I can tweak to make it fit in my GPU, or is 8GB VRAM just too low for this model?</t>
  </si>
  <si>
    <t>memory_hardware requirement</t>
  </si>
  <si>
    <t>memory_hardware requirement/model use</t>
  </si>
  <si>
    <t>https://huggingface.co/bert-base-uncased/discussions/6</t>
  </si>
  <si>
    <t>add parameter count?</t>
  </si>
  <si>
    <t>training detail/parameter settings</t>
  </si>
  <si>
    <t>https://huggingface.co/BertChristiaens/controlnet-seg-room/discussions/5</t>
  </si>
  <si>
    <t>How do I use this ControlNet model in Stable Diffusion? Do I download the .bin file and put it under the models folder?</t>
  </si>
  <si>
    <t>model use with other model</t>
  </si>
  <si>
    <t>https://huggingface.co/bhenrym14/airoboros-33b-gpt4-1.4.1-PI-8192-GPTQ/discussions/2</t>
  </si>
  <si>
    <t>any chance for 65b?</t>
  </si>
  <si>
    <t>model variant/parameters</t>
  </si>
  <si>
    <t>https://huggingface.co/bigcode/santacoder/discussions/10</t>
  </si>
  <si>
    <t>How to run the Fill-in-the-middle setting</t>
  </si>
  <si>
    <t>https://huggingface.co/bigcode/starcoder/discussions/102</t>
  </si>
  <si>
    <t>Is there a special prompt to generate SQL based on a query and a schema?</t>
  </si>
  <si>
    <t>model input/prompt</t>
  </si>
  <si>
    <t>https://huggingface.co/bigcode/starcoder/discussions/43</t>
  </si>
  <si>
    <t>How can I fix it?</t>
  </si>
  <si>
    <t>error</t>
  </si>
  <si>
    <t>error/model load</t>
  </si>
  <si>
    <t>How to load model in docker offline?</t>
  </si>
  <si>
    <t>model load instruction request</t>
  </si>
  <si>
    <t>https://huggingface.co/bigcode/starcoder/discussions/49</t>
  </si>
  <si>
    <t>How to stop the prediction once the model is generated a sufficient solution for the asked prompt?</t>
  </si>
  <si>
    <t>model output</t>
  </si>
  <si>
    <t>https://huggingface.co/bigcode/starcoder/discussions/74</t>
  </si>
  <si>
    <t>How to Fix Low GPU Usage and Improve inference speed?</t>
  </si>
  <si>
    <t>slow/fast</t>
  </si>
  <si>
    <t>model performance and evaluation</t>
  </si>
  <si>
    <t>https://huggingface.co/bigcode/starcoder/discussions/79</t>
  </si>
  <si>
    <t>I want to fine tune starcoder on my own code for a code generation task. how to prepare the dataset?</t>
  </si>
  <si>
    <t>finetuning instruction/finetune with different dataset</t>
  </si>
  <si>
    <t>https://huggingface.co/bigcode/starcoder/discussions/80</t>
  </si>
  <si>
    <t>How can i successfully run the fit method?</t>
  </si>
  <si>
    <t>https://huggingface.co/bigcode/starcoderbase/discussions/10</t>
  </si>
  <si>
    <t>trying to autocomplete a partial code. everything in the generation is python. I tried starcoderbase for a language called Verilog, it never completes anything, an I missing anything?</t>
  </si>
  <si>
    <t>model use instruction request</t>
  </si>
  <si>
    <t>https://huggingface.co/bigscience/bloom-1b7/discussions/37</t>
  </si>
  <si>
    <t>Is it possible to finetune 1b7 or 3b variation of bloom with 8x GPU with 12G*8 VRAM?</t>
  </si>
  <si>
    <t>memory_hardware requirement/finetuning</t>
  </si>
  <si>
    <t>https://huggingface.co/bigscience/bloom-560m/discussions/13</t>
  </si>
  <si>
    <t>Is it just the different naming because of a wrong number of parameters or is there any other difference?</t>
  </si>
  <si>
    <t>Intended Use/Out-of-scope use cases</t>
  </si>
  <si>
    <t>model difference</t>
  </si>
  <si>
    <t>https://huggingface.co/bigscience/bloom/discussions/209</t>
  </si>
  <si>
    <t>why giving error did anyone try and working with him</t>
  </si>
  <si>
    <t>https://huggingface.co/bigscience/bloom/discussions/80</t>
  </si>
  <si>
    <t>Any idea how to view all files. im unable to find download of seperate versions or entirety of version</t>
  </si>
  <si>
    <t>model download</t>
  </si>
  <si>
    <t>https://huggingface.co/bigscience/bloom/discussions/83</t>
  </si>
  <si>
    <t>It seems to work if I use the GPT-2 model, just fine so it must be some additional parameters I'm not setting properly?</t>
  </si>
  <si>
    <t>error/model use</t>
  </si>
  <si>
    <t>https://huggingface.co/bigscience/bloom/discussions/91</t>
  </si>
  <si>
    <t>Anyone know if this is a specific problem of BLOOM or am I doing something wrong?</t>
  </si>
  <si>
    <t>https://huggingface.co/bigscience/bloomz/discussions/38</t>
  </si>
  <si>
    <t>how much RAM memory would be needed to load the full bloomz model?</t>
  </si>
  <si>
    <t>https://huggingface.co/bigscience/bloomz/discussions/42</t>
  </si>
  <si>
    <t>Can I train Bloomz on data that uses different classification?</t>
  </si>
  <si>
    <t>Training Data/Motivation</t>
  </si>
  <si>
    <t>dataset/training data structure</t>
  </si>
  <si>
    <t>https://huggingface.co/bigscience/bloomz/discussions/44</t>
  </si>
  <si>
    <t>Is bloomz allowed for commercial use like developing ML apps?</t>
  </si>
  <si>
    <t>license/commercial use</t>
  </si>
  <si>
    <t>https://huggingface.co/bigscience/mt0-small/discussions/5</t>
  </si>
  <si>
    <t>Is there anyone who could point out the error</t>
  </si>
  <si>
    <t>error/unexpected behaviour</t>
  </si>
  <si>
    <t>not related to the model itself</t>
  </si>
  <si>
    <t>https://huggingface.co/camenduru/potat1/discussions/6</t>
  </si>
  <si>
    <t>Is there anyway to install the models locally without colab?</t>
  </si>
  <si>
    <t>model download/local</t>
  </si>
  <si>
    <t>https://huggingface.co/CausalLM/72B-preview-llamafied-qwen-llamafy/discussions/1</t>
  </si>
  <si>
    <t>Can we use it?</t>
  </si>
  <si>
    <t>What kinda data did it see? How much?</t>
  </si>
  <si>
    <t>dataset detail</t>
  </si>
  <si>
    <t>dataset/training data detail</t>
  </si>
  <si>
    <t>Is this a fine-tune?</t>
  </si>
  <si>
    <t>https://huggingface.co/cerspense/zeroscope_v2_576w/discussions/3</t>
  </si>
  <si>
    <t>Does zeroscope_ V2_576W means finetune with 576W data?</t>
  </si>
  <si>
    <t>model name</t>
  </si>
  <si>
    <t>https://huggingface.co/cerspense/zeroscope_v2_XL/discussions/11</t>
  </si>
  <si>
    <t>Has anyone got the model to work in diffusers?</t>
  </si>
  <si>
    <t>https://huggingface.co/cloudyu/Mixtral_7Bx4_MOE_24B/discussions/1</t>
  </si>
  <si>
    <t>what would be the difference between that model and cloudyu/Pluto_24B_DPO_200?</t>
  </si>
  <si>
    <t>https://huggingface.co/CobraMamba/mamba-gpt-3b-v3/discussions/4</t>
  </si>
  <si>
    <t>Prompt template? Is it trained without one or is just not included?</t>
  </si>
  <si>
    <t>https://huggingface.co/codellama/CodeLlama-34b-Instruct-hf/discussions/12</t>
  </si>
  <si>
    <t>Mismatch b/w tokenizer and model embedding. What should be used? Should we be editing the tokenizer?</t>
  </si>
  <si>
    <t>https://huggingface.co/codellama/CodeLlama-34b-Instruct-hf/discussions/16</t>
  </si>
  <si>
    <t>I am trying to use HF's inference API to interact with the model from a gradio app. Is this a limitation on this HF implementation or am I using the inference API wrong?</t>
  </si>
  <si>
    <t>model use with ui/inference/api</t>
  </si>
  <si>
    <t>https://huggingface.co/CodeNLP/pdn2_v08_kpwr_ner_n82/discussions/1</t>
  </si>
  <si>
    <t>How to use this model?</t>
  </si>
  <si>
    <t>https://huggingface.co/cognitivecomputations/dolphin-2.2-mistral-7b/discussions/1</t>
  </si>
  <si>
    <t>Any thoughts on releasing a 16k context version of this model?</t>
  </si>
  <si>
    <t>model variant/context length</t>
  </si>
  <si>
    <t>https://huggingface.co/cognitivecomputations/dolphin-2.5-mixtral-8x7b/discussions/10</t>
  </si>
  <si>
    <t>would consider add more multi language such as Chinese etc?</t>
  </si>
  <si>
    <t>model variant/language support</t>
  </si>
  <si>
    <t>https://huggingface.co/cognitivecomputations/WizardLM-7B-Uncensored/discussions/15</t>
  </si>
  <si>
    <t>what steps would be necessary if I wanted to translate this model into my language?</t>
  </si>
  <si>
    <t>training instruction</t>
  </si>
  <si>
    <t>training instruction/train with different dataset</t>
  </si>
  <si>
    <t>https://huggingface.co/CompVis/stable-diffusion-v1-4/discussions/19</t>
  </si>
  <si>
    <t>How to get results that can change to other/better results?</t>
  </si>
  <si>
    <t>https://huggingface.co/CompVis/stable-diffusion-v1-4/discussions/26</t>
  </si>
  <si>
    <t>what other arguments are available?</t>
  </si>
  <si>
    <t>model use/available arguments</t>
  </si>
  <si>
    <t>https://huggingface.co/CompVis/stable-diffusion-v1-4/discussions/86</t>
  </si>
  <si>
    <t>Why onnx branch has a 778 kB model.onnx and 3.44 GB weights.pb</t>
  </si>
  <si>
    <t>model file</t>
  </si>
  <si>
    <t>https://huggingface.co/coqui/XTTS-v2/discussions/27</t>
  </si>
  <si>
    <t>not a question</t>
  </si>
  <si>
    <t>https://huggingface.co/core42/jais-13b-chat/discussions/11</t>
  </si>
  <si>
    <t>can any one help with any of the issues with how to use it locally, step-by-step guide for the regular level laptops or the steps to deploy on cloud and use it with apis</t>
  </si>
  <si>
    <t>how to use/error</t>
  </si>
  <si>
    <t>error/model load/local</t>
  </si>
  <si>
    <t>https://huggingface.co/coreml-projects/Llama-2-7b-chat-coreml/discussions/6</t>
  </si>
  <si>
    <t>M1 8G RAM macbook air run at 0.01token/second, something is wrong right?</t>
  </si>
  <si>
    <t>Quantitative Analyses/Unitary results</t>
  </si>
  <si>
    <t>https://huggingface.co/ctheodoris/Geneformer/discussions/101</t>
  </si>
  <si>
    <t>How did you perturb 4 genes (OSKM)? Does combos function allow for 4 perturbations at once or did you need to use one of the factors as an anchor gene?</t>
  </si>
  <si>
    <t>model algorithm</t>
  </si>
  <si>
    <t>How many cells did you need to model to get statistical significance for OSKM reprogramming reported in the paper?</t>
  </si>
  <si>
    <t>For some genes (like SOX2), I'm getting extremely low N_detections in the dataset (3 cells out of 1000). Could you please explain why that would be when I'm using an "overexpress" function and if there is any way to increase it?</t>
  </si>
  <si>
    <t>Can you please double check to see if there is anything wrong with my parameters?</t>
  </si>
  <si>
    <t>https://huggingface.co/ctheodoris/Geneformer/discussions/207</t>
  </si>
  <si>
    <t>Does anyone know what could be causing the error?</t>
  </si>
  <si>
    <t>error/dataset processing</t>
  </si>
  <si>
    <t>https://huggingface.co/ctheodoris/Geneformer/discussions/232</t>
  </si>
  <si>
    <t>how to generate the file "genecorpus_30M_2048_lengths.pkl"? Is it a dictionay?</t>
  </si>
  <si>
    <t>https://huggingface.co/ctheodoris/Geneformer/discussions/25</t>
  </si>
  <si>
    <t>Can you provide a simple tutorial, since the h5ad file is quite a popular format in this task</t>
  </si>
  <si>
    <t>yes</t>
  </si>
  <si>
    <t>code/preprocessing code request</t>
  </si>
  <si>
    <t>How to construct new dataset from h5ad file? How can I process the h5ad file to fulfill the input requirements?</t>
  </si>
  <si>
    <t>dataset/preprocessing for training</t>
  </si>
  <si>
    <t>https://huggingface.co/ctheodoris/Geneformer/discussions/35</t>
  </si>
  <si>
    <t>We need to inquire with the Geneformer authors about the exact way they calculate the median for different genes.</t>
  </si>
  <si>
    <t>Answer is in linked paper</t>
  </si>
  <si>
    <t>https://huggingface.co/ctheodoris/Geneformer/discussions/59</t>
  </si>
  <si>
    <t>How to obtain the embeddings for each gene?</t>
  </si>
  <si>
    <t>Evaluation Data/Preprocessing</t>
  </si>
  <si>
    <t>https://huggingface.co/ctheodoris/Geneformer/discussions/91</t>
  </si>
  <si>
    <t>If fine-tuning can be applied, could you suggest a possible methodology to carry it out for this specific scenario?"</t>
  </si>
  <si>
    <t>finetuning instruction request</t>
  </si>
  <si>
    <t>Would this approach be feasible for studying cell-cell communication using Geneformer?</t>
  </si>
  <si>
    <t xml:space="preserve">training or finetuning </t>
  </si>
  <si>
    <t>Would this require retraining the model from scratch, or could we leverage fine-tuning for this task?</t>
  </si>
  <si>
    <t>https://huggingface.co/d4data/biomedical-ner-all/discussions/6</t>
  </si>
  <si>
    <t>Is this model commercially usable?</t>
  </si>
  <si>
    <t>https://huggingface.co/dandelin/vilt-b32-finetuned-nlvr2/discussions/1</t>
  </si>
  <si>
    <t>Can somebody guid me on how to adapt the model to do this?</t>
  </si>
  <si>
    <t>model input/change data size</t>
  </si>
  <si>
    <t>https://huggingface.co/darkstorm2150/Protogen_v2.2_Official_Release/discussions/14</t>
  </si>
  <si>
    <t>Can we use Protogen models or final images that generated using Protogen in production?</t>
  </si>
  <si>
    <t>https://huggingface.co/darkstorm2150/Protogen_x3.4_Official_Release/discussions/13</t>
  </si>
  <si>
    <t>anyone having issues with the diffusers weights? I run the weights with diffusers and faces are messed up. Anyone experiencing the same issue?</t>
  </si>
  <si>
    <t>https://huggingface.co/databricks/dolly-v2-12b/discussions/24</t>
  </si>
  <si>
    <t>I thought the pipeline inference would be relatively quick compared to loading the model. Are my expectations wrong?</t>
  </si>
  <si>
    <t>I have an RTX 2080 8GB. I'm not expecting blistering performance, but should that be sufficient to build a pipeline from a pretrained model and get it to give me answers in say less than 10 minutes?</t>
  </si>
  <si>
    <t>https://huggingface.co/databricks/dolly-v2-3b/discussions/15</t>
  </si>
  <si>
    <t>Do you know what might be the cause of this issue?</t>
  </si>
  <si>
    <t>https://huggingface.co/databricks/dolly-v2-7b/discussions/5</t>
  </si>
  <si>
    <t>wondering if there are any tweaks to control this behavior?</t>
  </si>
  <si>
    <t>https://huggingface.co/davidkim205/komt-mistral-7b-v1-dpo/discussions/2</t>
  </si>
  <si>
    <t>Where can I download the dpo model?</t>
  </si>
  <si>
    <t>https://huggingface.co/Davlan/bert-base-multilingual-cased-ner-hrl/discussions/4</t>
  </si>
  <si>
    <t>Any chance you can comment which license applies for this model?</t>
  </si>
  <si>
    <t>license/detail</t>
  </si>
  <si>
    <t>https://huggingface.co/deepseek-ai/deepseek-coder-33b-instruct/discussions/4</t>
  </si>
  <si>
    <t>Could you upload tokenizer.model for this and other models?</t>
  </si>
  <si>
    <t>https://huggingface.co/deepseek-ai/deepseek-llm-67b-chat/discussions/3</t>
  </si>
  <si>
    <t>Im wondering what the human eval score is of this version? Is it any good?</t>
  </si>
  <si>
    <t>Was this model trained on coding at all? Like deepseek coder?</t>
  </si>
  <si>
    <t>https://huggingface.co/deepset/xlm-roberta-large-squad2/discussions/6</t>
  </si>
  <si>
    <t>I get the following error message, any ideas why?</t>
  </si>
  <si>
    <t>https://huggingface.co/dennlinger/bert-wiki-paragraphs/discussions/1</t>
  </si>
  <si>
    <t>Will you be willing to share the script?</t>
  </si>
  <si>
    <t>Will you be willing to share the dataset?</t>
  </si>
  <si>
    <t>https://huggingface.co/diffusers/controlnet-canny-sdxl-1.0/discussions/21</t>
  </si>
  <si>
    <t>I had issues running this model inside the WebUI with SDXL 1.0 Base. Any tips?</t>
  </si>
  <si>
    <t>model use with ui</t>
  </si>
  <si>
    <t>https://huggingface.co/diffusers/controlnet-canny-sdxl-1.0/discussions/30</t>
  </si>
  <si>
    <t>convert it to TensorRT? How do i convert it to tensorRT and run faster</t>
  </si>
  <si>
    <t>optimization instruction</t>
  </si>
  <si>
    <t>https://huggingface.co/distilbert-base-uncased/discussions/2</t>
  </si>
  <si>
    <t>model card</t>
  </si>
  <si>
    <t>https://huggingface.co/dmis-lab/biobert-v1.1/discussions/6</t>
  </si>
  <si>
    <t>What is the difference between this model and "dmis-lab/biobert-v1.1" [1] model?</t>
  </si>
  <si>
    <t>comparing same model</t>
  </si>
  <si>
    <t>https://huggingface.co/dominguesm/positive-reframing-ptbr/discussions/1</t>
  </si>
  <si>
    <t>I am wondering how something like this could be created for other languages</t>
  </si>
  <si>
    <t>https://huggingface.co/DucHaiten/DucHaitenAIart/discussions/15</t>
  </si>
  <si>
    <t>Is this based on SD 1.5 or SD 2?</t>
  </si>
  <si>
    <t>training detail/base model</t>
  </si>
  <si>
    <t>https://huggingface.co/Edresson/wav2vec2-large-xlsr-coraa-portuguese/discussions/1</t>
  </si>
  <si>
    <t>there's not a coraa dataset available on HuggingFace datasets yet?</t>
  </si>
  <si>
    <t>https://huggingface.co/ehcalabres/wav2vec2-lg-xlsr-en-speech-emotion-recognition/discussions/4</t>
  </si>
  <si>
    <t>I can't get the model to accurately classify audio. what am I doing wrong?</t>
  </si>
  <si>
    <t>https://huggingface.co/EleutherAI/gpt-neox-20b/discussions/11</t>
  </si>
  <si>
    <t>Does this mean my hardware is not good enough? What are the minimum requirements? Will this ever run on my PC? What hardware do I need to run this? Any ideas?</t>
  </si>
  <si>
    <t>https://huggingface.co/EleutherAI/gpt-neox-20b/discussions/15</t>
  </si>
  <si>
    <t>not a question, talks about models question-answer</t>
  </si>
  <si>
    <t>https://huggingface.co/EleutherAI/polyglot-ko-1.3b/discussions/2</t>
  </si>
  <si>
    <t>I can't reproduce the kobest_hellaswag. Is there a problem or the kobest_hellaswage data has been changed?</t>
  </si>
  <si>
    <t>Quantitative Analyses/Intersectional results</t>
  </si>
  <si>
    <t>different result</t>
  </si>
  <si>
    <t>https://huggingface.co/elinas/chronos-13b-v2/discussions/2</t>
  </si>
  <si>
    <t>Any chance for a 7b model of this?.</t>
  </si>
  <si>
    <t>https://huggingface.co/emre/llama-2-13b-code-122k/discussions/1</t>
  </si>
  <si>
    <t>What coding dataset was used to train this model?</t>
  </si>
  <si>
    <t>https://huggingface.co/emre/whisper-medium-turkish-2/discussions/5</t>
  </si>
  <si>
    <t>Has anyone seen any substantial improvement in terms of quality with this model apart from the performance boost?</t>
  </si>
  <si>
    <t>https://huggingface.co/facebook/bart-large-mnli/discussions/1</t>
  </si>
  <si>
    <t>What I need is to get a single column with only the label with the highest score, in this case "senior". Any feedback which can help me to do it?</t>
  </si>
  <si>
    <t>https://huggingface.co/facebook/encodec_48khz/discussions/3</t>
  </si>
  <si>
    <t>License? Is it CC-NC non commercial like in Audiocraft, or MIT like in encodec repo?</t>
  </si>
  <si>
    <t>https://huggingface.co/facebook/fastspeech2-en-ljspeech/discussions/18</t>
  </si>
  <si>
    <t>how to fine-tune this model? Or is it even possible?</t>
  </si>
  <si>
    <t>https://huggingface.co/facebook/galactica-30b/discussions/9</t>
  </si>
  <si>
    <t>what license does this model use?</t>
  </si>
  <si>
    <t>https://huggingface.co/facebook/galactica-6.7b/discussions/6</t>
  </si>
  <si>
    <t>No support for float16 on CPU?</t>
  </si>
  <si>
    <t>https://huggingface.co/facebook/maskformer-swin-large-coco/discussions/1</t>
  </si>
  <si>
    <t>What is causing the problem?</t>
  </si>
  <si>
    <t>https://huggingface.co/facebook/mms-1b-all/discussions/4</t>
  </si>
  <si>
    <t>Can you please provide example how to transcript my audio file</t>
  </si>
  <si>
    <t>https://huggingface.co/facebook/rag-token-nq/discussions/2</t>
  </si>
  <si>
    <t>Can we use this model based on our own documents instead of using Datasets lib?</t>
  </si>
  <si>
    <t>finetuning possibilities/finetune with different dataset</t>
  </si>
  <si>
    <t>https://huggingface.co/facebook/roberta-hate-speech-dynabench-r4-target/discussions/2</t>
  </si>
  <si>
    <t>Is this model under Apache 2.0 license? Is it free for use in commercial applications?</t>
  </si>
  <si>
    <t>https://huggingface.co/facebook/xm_transformer_s2ut_hk-en/discussions/1</t>
  </si>
  <si>
    <t>Any one can help?</t>
  </si>
  <si>
    <t>https://huggingface.co/FlagAlpha/Llama2-Chinese-13b-Chat/discussions/5</t>
  </si>
  <si>
    <t>how start this model</t>
  </si>
  <si>
    <t>https://huggingface.co/flashvenom/Airoboros-13B-SuperHOT-8K-4bit-GPTQ/discussions/2</t>
  </si>
  <si>
    <t>Any suggestions what to set in oobabooga for better outputs?</t>
  </si>
  <si>
    <t>model use/oobabooga settings</t>
  </si>
  <si>
    <t>https://huggingface.co/flax-community/papuGaPT2/discussions/2</t>
  </si>
  <si>
    <t>What is the license of this model and associated scripts (including jupyter)?</t>
  </si>
  <si>
    <t>https://huggingface.co/flax-community/t5-recipe-generation/discussions/2</t>
  </si>
  <si>
    <t>how to fine tune this pre-trained model using my own dataset</t>
  </si>
  <si>
    <t>https://huggingface.co/FredZhang7/distilgpt2-stable-diffusion-v2/discussions/2</t>
  </si>
  <si>
    <t>Is the combined dataset available anywhere?</t>
  </si>
  <si>
    <t>https://huggingface.co/google/ddpm-ema-bedroom-256/discussions/3</t>
  </si>
  <si>
    <t>which dataset was used to train this model (ddpm-ema-bedroom-256), do you have the specific link of bedroom-256?</t>
  </si>
  <si>
    <t>https://huggingface.co/google/deplot/discussions/12</t>
  </si>
  <si>
    <t>how can i use the result of decoded table to LLM model</t>
  </si>
  <si>
    <t>how can i train with korean based chart image?</t>
  </si>
  <si>
    <t>https://huggingface.co/google/flan-t5-large/discussions/16</t>
  </si>
  <si>
    <t>Does anyone know the minimum hardware requirements to fine-tune this Flan-T5-Large model? Or what hardware did you use to fine-tune it? Are 2 NVIDIA A30 GPUs with 24GB each sufficient?</t>
  </si>
  <si>
    <t>https://huggingface.co/google/flan-t5-xl/discussions/14</t>
  </si>
  <si>
    <t>how do I evaluated "google/flan-t5-xl" LLM with my data?</t>
  </si>
  <si>
    <t>At what stage I need to retrain the LLM?</t>
  </si>
  <si>
    <t>I noticed "google/flan-t5-xl" model with my data gives one wrong answer. how do I correct the model?</t>
  </si>
  <si>
    <t>is it possible to retrain the LLM with my own data? or is there a concept "retraining" in LLM?</t>
  </si>
  <si>
    <t>In case if I want to move it production how do I host it? where do I store all my data(embeddings)? do I need to store all embedding in any database? if yes, could you please recommend any?</t>
  </si>
  <si>
    <t>model development or deployment</t>
  </si>
  <si>
    <t>model development/model deploy</t>
  </si>
  <si>
    <t>do I need to follow the same steps like 1.create embedding from HuggingFaceEmbeddings, 2. do similarity test, and 3. pass it to model?</t>
  </si>
  <si>
    <t>how to do I get same answer whenever I run the model? like reproducibility having torch.manual_seed(0), should I mention this to get reproducibility?</t>
  </si>
  <si>
    <t>model use/reproducibility</t>
  </si>
  <si>
    <t>https://huggingface.co/google/flan-t5-xxl/discussions/67</t>
  </si>
  <si>
    <t>how to resolve it</t>
  </si>
  <si>
    <t>https://huggingface.co/google/pix2struct-docvqa-base/discussions/1</t>
  </si>
  <si>
    <t>Is the sagemaker snippet ready for deployment?</t>
  </si>
  <si>
    <t>how is the serializer expecting the input ?</t>
  </si>
  <si>
    <t>https://huggingface.co/google/tapas-base-finetuned-wtq/discussions/4</t>
  </si>
  <si>
    <t>could you please help me here?</t>
  </si>
  <si>
    <t>error/model conversion</t>
  </si>
  <si>
    <t>https://huggingface.co/Gryphe/MythoLogic-13b/discussions/2</t>
  </si>
  <si>
    <t>Merging with Nous-Hermes-Llama2-13b? I was wondering if you would consider making a newer version of mythologic based on the new llama2 based hermes?</t>
  </si>
  <si>
    <t>model variant/architecture</t>
  </si>
  <si>
    <t>https://huggingface.co/Gryphe/MythoMax-L2-13b/discussions/19</t>
  </si>
  <si>
    <t>Whats the maximum context length for this model?</t>
  </si>
  <si>
    <t>https://huggingface.co/gsdf/Counterfeit-V2.5/discussions/7</t>
  </si>
  <si>
    <t>Could you add a ckpt model, with VAE included?</t>
  </si>
  <si>
    <t>https://huggingface.co/Gustavosta/MagicPrompt-Stable-Diffusion/discussions/2</t>
  </si>
  <si>
    <t>Why gpt2 instead of gpt neo? Is there a reason you chose to use gpt2 as opposed to gptneo? Either the 1.3B or 2.7B versions?</t>
  </si>
  <si>
    <t>model architecture selection reasoning</t>
  </si>
  <si>
    <t>https://huggingface.co/h2oai/h2ogpt-gm-oasst1-en-2048-falcon-40b-v2/discussions/1</t>
  </si>
  <si>
    <t>Is there any plan for your team to upload evaluation results for any of the GM models?</t>
  </si>
  <si>
    <t>https://huggingface.co/h94/IP-Adapter-FaceID/discussions/20</t>
  </si>
  <si>
    <t>I try to replicate your code on colab but im unable to get any good results. Not working, what am i doing wrong?</t>
  </si>
  <si>
    <t>error/memory error</t>
  </si>
  <si>
    <t>https://huggingface.co/hakurei/waifu-diffusion/discussions/115</t>
  </si>
  <si>
    <t>how can i use it in console? I'm currently creating txt/img files based on stable diffusion, but I want to change the model to waifu-diffusion, how do I do that?</t>
  </si>
  <si>
    <t>model use in console</t>
  </si>
  <si>
    <t>https://huggingface.co/hakurei/waifu-diffusion/discussions/28</t>
  </si>
  <si>
    <t>https://huggingface.co/hearmeneigh/e621-rising-v3/discussions/1</t>
  </si>
  <si>
    <t>Can anybody explain what's happening to the model right now</t>
  </si>
  <si>
    <t>https://huggingface.co/Helsinki-NLP/opus-mt-ROMANCE-en/discussions/3</t>
  </si>
  <si>
    <t>Why does translating a single word sometimes return multiple of the same value?</t>
  </si>
  <si>
    <t>https://huggingface.co/Helsinki-NLP/opus-mt-zh-en/discussions/11</t>
  </si>
  <si>
    <t>How can I run the model in python?</t>
  </si>
  <si>
    <t>https://huggingface.co/Henk717/chronoboros-33B/discussions/1</t>
  </si>
  <si>
    <t>Any plans for a superhot mix? Any plans for this model similar to TheBloke and giving the model 8k context length?</t>
  </si>
  <si>
    <t>https://huggingface.co/hivemind/gpt-j-6B-8bit/discussions/5</t>
  </si>
  <si>
    <t>When will the error get resolved?</t>
  </si>
  <si>
    <t>https://huggingface.co/hkunlp/instructor-xl/discussions/23</t>
  </si>
  <si>
    <t>Is there a decode function for this model?</t>
  </si>
  <si>
    <t>https://huggingface.co/hkunlp/instructor-xl/discussions/8</t>
  </si>
  <si>
    <t>Any guidelines on composing instructions? Do you have insights or best practices around crafting instructions for embeddings? What are the values we can specify for text_type and task_objective? Can we specify anything or is there a limited number of supported values?</t>
  </si>
  <si>
    <t>model input/instruction format</t>
  </si>
  <si>
    <t>https://huggingface.co/HuggingFaceH4/starchat-alpha/discussions/8</t>
  </si>
  <si>
    <t>how can i get the stream response for local deploy?</t>
  </si>
  <si>
    <t>model development/model deploy/local</t>
  </si>
  <si>
    <t>https://huggingface.co/HuggingFaceH4/starchat-beta/discussions/15</t>
  </si>
  <si>
    <t>Wondering if there is any better version is in the pipeline</t>
  </si>
  <si>
    <t>model variant/model performance</t>
  </si>
  <si>
    <t>https://huggingface.co/HuggingFaceM4/idefics-9b-instruct/discussions/7</t>
  </si>
  <si>
    <t>https://huggingface.co/iambestfeed/open_llama_3b_4bit_128g/discussions/1</t>
  </si>
  <si>
    <t>Which code you used to quantize the 3B model?</t>
  </si>
  <si>
    <t>code/training code request</t>
  </si>
  <si>
    <t>how did you quantize the 3B model?</t>
  </si>
  <si>
    <t>quantization detail</t>
  </si>
  <si>
    <t>Which dataset you used to quantize the 3B model?</t>
  </si>
  <si>
    <t>https://huggingface.co/internlm/internlm-chat-20b-4bit/discussions/1</t>
  </si>
  <si>
    <t>What could be wrong?</t>
  </si>
  <si>
    <t>error/model deploy</t>
  </si>
  <si>
    <t>https://huggingface.co/intfloat/e5-large-v2/discussions/13</t>
  </si>
  <si>
    <t>Providing a sentence for embedding in a single input or in a list of string with other sentences is returning different results. is this expected behaviour?</t>
  </si>
  <si>
    <t>https://huggingface.co/ise-uiuc/Magicoder-S-DS-6.7B/discussions/4</t>
  </si>
  <si>
    <t>may I ask your help to confirm if this chat template is correct?</t>
  </si>
  <si>
    <t>model development</t>
  </si>
  <si>
    <t>https://huggingface.co/j-hartmann/emotion-english-distilroberta-base/discussions/8</t>
  </si>
  <si>
    <t>I'm wondering if the probabilities for each emotion could be interpreted as a dimensional score (e.g., joy = .98, sad = .41). Is that possible?</t>
  </si>
  <si>
    <t>is there a way to fine-tune the model to accommodate this?</t>
  </si>
  <si>
    <t>https://huggingface.co/j-hartmann/emotion-english-roberta-large/discussions/1</t>
  </si>
  <si>
    <t>Could you confirm what type of open source license this model is released with?</t>
  </si>
  <si>
    <t>https://huggingface.co/jarradh/llama2_70b_chat_uncensored/discussions/8</t>
  </si>
  <si>
    <t>https://huggingface.co/joaoalvarenga/bloom-8bit/discussions/3</t>
  </si>
  <si>
    <t>How did you generate the 8-bit model? I see... but not the code. Can you share that?</t>
  </si>
  <si>
    <t>code/quantization code request</t>
  </si>
  <si>
    <t>doesn't exist in the model card and did not answer</t>
  </si>
  <si>
    <t>https://huggingface.co/jonatasgrosman/wav2vec2-xls-r-1b-english/discussions/2</t>
  </si>
  <si>
    <t>https://huggingface.co/jondurbin/airoboros-13b/discussions/5</t>
  </si>
  <si>
    <t>could you share the fine-tuning notebook used to train the airobotos-13b and 7b models.</t>
  </si>
  <si>
    <t>code/finetuning code request</t>
  </si>
  <si>
    <t>https://huggingface.co/jondurbin/airoboros-l2-70b-2.1/discussions/2</t>
  </si>
  <si>
    <t>how look benchmarks for ( programming ) MT-Bench, CoT, HumanEval+, LM-Eval .... how to do that or find it?</t>
  </si>
  <si>
    <t>different model</t>
  </si>
  <si>
    <t>not about the model</t>
  </si>
  <si>
    <t>https://huggingface.co/jondurbin/airoboros-l2-7b-gpt4-1.4.1/discussions/1</t>
  </si>
  <si>
    <t>Is this chat or completion finetune?</t>
  </si>
  <si>
    <t>model type</t>
  </si>
  <si>
    <t>What is recommended usage?</t>
  </si>
  <si>
    <t>Instruction format?</t>
  </si>
  <si>
    <t>https://huggingface.co/jondurbin/airoboros-m-7b-3.1.2/discussions/1</t>
  </si>
  <si>
    <t>Will you create a model based on the mistral 7b model?</t>
  </si>
  <si>
    <t>https://huggingface.co/jondurbin/airocoder-34b-2.1/discussions/1</t>
  </si>
  <si>
    <t>Which? -instruct, -python, or base?</t>
  </si>
  <si>
    <t>https://huggingface.co/kalpeshk2011/rankgen-t5-xl-pg19/discussions/2</t>
  </si>
  <si>
    <t>Can this be used with SentenceTransformers?</t>
  </si>
  <si>
    <t>https://huggingface.co/keras-io/structured-data-classification-grn-vsn/discussions/1</t>
  </si>
  <si>
    <t>can you fill the model card and move the model to keras-io?</t>
  </si>
  <si>
    <t>request</t>
  </si>
  <si>
    <t>https://huggingface.co/keremberke/yolov8s-table-extraction/discussions/3</t>
  </si>
  <si>
    <t>is there any technique that can be used, to extract the table data as csv or json</t>
  </si>
  <si>
    <t>the model can only detect table from inage</t>
  </si>
  <si>
    <t>https://huggingface.co/knkarthick/MEETING_SUMMARY/discussions/15</t>
  </si>
  <si>
    <t>Trying to use this model but it keeps truncating the text. Is that a limitation on running it on huggingface?</t>
  </si>
  <si>
    <t>https://huggingface.co/KoboldAI/OPT-30B-Erebus/discussions/1</t>
  </si>
  <si>
    <t>Would used k, p, and m series Tesla GPU's be suitable for such? And how much VRAM would i be looking at to run a 30b model?</t>
  </si>
  <si>
    <t>not specific about the model itself</t>
  </si>
  <si>
    <t>https://huggingface.co/ku-nlp/deberta-v2-base-japanese/discussions/1</t>
  </si>
  <si>
    <t>was the model trained with the whole word masking technique?</t>
  </si>
  <si>
    <t>https://huggingface.co/laion/CLIP-ViT-B-32-xlm-roberta-base-laion5B-s13B-b90k/discussions/2</t>
  </si>
  <si>
    <t>Is there a HF equivalent tokenizer?</t>
  </si>
  <si>
    <t>https://huggingface.co/Langboat/mengzi-gpt-neo-base/discussions/2</t>
  </si>
  <si>
    <t>version of sentencepiece?</t>
  </si>
  <si>
    <t>model development/library version</t>
  </si>
  <si>
    <t>https://huggingface.co/latent-consistency/lcm-lora-sdxl/discussions/11</t>
  </si>
  <si>
    <t>Any plan on the training instructions? how to train them along with the LoRAs, is this possible?</t>
  </si>
  <si>
    <t>finetuning instruction</t>
  </si>
  <si>
    <t>https://huggingface.co/lgaalves/tinyllama-1.1b-chat-v0.3_platypus/discussions/2</t>
  </si>
  <si>
    <t>Doesn't it require some special kind of prompt formatting?</t>
  </si>
  <si>
    <t>https://huggingface.co/llm-agents/tora-70b-v1.0/discussions/1</t>
  </si>
  <si>
    <t>Difference between model card with "code" and without? Would you like to elaborate more on the difference between model with code in name and those without?</t>
  </si>
  <si>
    <t>https://huggingface.co/llmware/bling-sheared-llama-2.7b-0.1/discussions/1</t>
  </si>
  <si>
    <t>Are the BLING models fine-tuned on a finance/legal-specific dataset?</t>
  </si>
  <si>
    <t>dataset/finetuning data source</t>
  </si>
  <si>
    <t>https://huggingface.co/lmsys/vicuna-33b-v1.3/discussions/3</t>
  </si>
  <si>
    <t>How much GPU graphics memory is required for deployment</t>
  </si>
  <si>
    <t>memory_hardware requirement/model deployment</t>
  </si>
  <si>
    <t>https://huggingface.co/lmsys/vicuna-7b-v1.1/discussions/6</t>
  </si>
  <si>
    <t>Is this an instruct model? I mean is this model going to follow the system prompt?</t>
  </si>
  <si>
    <t>https://huggingface.co/LoneStriker/Yi-34B-200K-4.65bpw-h6-exl2/discussions/2</t>
  </si>
  <si>
    <t>Do you have any suggestions on how to load the model?</t>
  </si>
  <si>
    <t>https://huggingface.co/machinists/Mistral-7B-SQL/discussions/3</t>
  </si>
  <si>
    <t>Can you please advise how to fix either prompt template in dataset or whatever I am doing wrong.</t>
  </si>
  <si>
    <t>https://huggingface.co/madebyollin/sdxl-vae-fp16-fix/discussions/9</t>
  </si>
  <si>
    <t>can you fix the encoder?</t>
  </si>
  <si>
    <t>https://huggingface.co/mayaeary/pygmalion-6b_dev-4bit-128g/discussions/6</t>
  </si>
  <si>
    <t>which loader to use</t>
  </si>
  <si>
    <t>https://huggingface.co/MBZUAI/LaMini-GPT-1.5B/discussions/10</t>
  </si>
  <si>
    <t>if is possible you add GGML (quantized) support for module</t>
  </si>
  <si>
    <t>https://huggingface.co/MetaIX/Alpaca-30B-Int4/discussions/1</t>
  </si>
  <si>
    <t>https://huggingface.co/michaelfeil/ct2fast-Llama-2-7b-chat-hf/discussions/2</t>
  </si>
  <si>
    <t>Is there a way to fix this behavior and make use of the full 4096 context length?</t>
  </si>
  <si>
    <t>bug</t>
  </si>
  <si>
    <t>context length</t>
  </si>
  <si>
    <t>https://huggingface.co/microsoft/biogpt/discussions/6</t>
  </si>
  <si>
    <t>Are last_hidden_state and logits token embeddings or something else?</t>
  </si>
  <si>
    <t>https://huggingface.co/microsoft/dit-base-finetuned-rvlcdip/discussions/1</t>
  </si>
  <si>
    <t>How to custom train on own data?</t>
  </si>
  <si>
    <t>https://huggingface.co/microsoft/git-base/discussions/1</t>
  </si>
  <si>
    <t>Am I doing something wrong?</t>
  </si>
  <si>
    <t>https://huggingface.co/microsoft/layoutlmv2-large-uncased/discussions/2</t>
  </si>
  <si>
    <t>can we use that commercially or not if not why?</t>
  </si>
  <si>
    <t>if yes or there is a possible way to do that then what are the steps for that?</t>
  </si>
  <si>
    <t>https://huggingface.co/microsoft/phi-1_5/discussions/39</t>
  </si>
  <si>
    <t>Can I / How Would I Load This Model Locally on a NVIDIA 900-2G414-0000-000 Tesla P4 8GB GDDR5 Inferencing Accelerator ?</t>
  </si>
  <si>
    <t>how to use locally with gpu</t>
  </si>
  <si>
    <t>model use/gpu</t>
  </si>
  <si>
    <t>https://huggingface.co/microsoft/phi-1_5/discussions/55</t>
  </si>
  <si>
    <t>Can I make it only complete the code once and no extra comments added?</t>
  </si>
  <si>
    <t>which programming language can it speak?</t>
  </si>
  <si>
    <t>it is the reason you named it Phi?</t>
  </si>
  <si>
    <t>is it trained with SQL (MySQL and Oracle, SQLite etc, Spider benchmark dataset)?</t>
  </si>
  <si>
    <t>https://huggingface.co/microsoft/phi-2/discussions/43</t>
  </si>
  <si>
    <t>Could any one explain which is the correctly number of tokens to use?</t>
  </si>
  <si>
    <t>https://huggingface.co/microsoft/phi-2/discussions/52</t>
  </si>
  <si>
    <t>[Positivity] What is it good for?</t>
  </si>
  <si>
    <t>output</t>
  </si>
  <si>
    <t>not a question, rather answers the question</t>
  </si>
  <si>
    <t>https://huggingface.co/microsoft/phi-2/discussions/81</t>
  </si>
  <si>
    <t>How to reduce nonsense generation?</t>
  </si>
  <si>
    <t>I can't imagine why the results are total hallucinations?</t>
  </si>
  <si>
    <t>https://huggingface.co/microsoft/phi-2/discussions/83</t>
  </si>
  <si>
    <t>Is it possible to fine-tune a model of a new language that was not trained in during the training model?</t>
  </si>
  <si>
    <t>https://huggingface.co/microsoft/phi-2/discussions/93</t>
  </si>
  <si>
    <t>How to generate a gguf file from a fine tuned phi-2?</t>
  </si>
  <si>
    <t>quantization instruction</t>
  </si>
  <si>
    <t>https://huggingface.co/microsoft/swin-large-patch4-window12-384-in22k/discussions/1</t>
  </si>
  <si>
    <t>How to load this (microsoft/swin-large-patch4-window12-384-in22k) pretrained model from a checkpoint?</t>
  </si>
  <si>
    <t>https://huggingface.co/microsoft/tapex-large-finetuned-wtq/discussions/2</t>
  </si>
  <si>
    <t>How can this model be used on tables that I have stored in Postgres</t>
  </si>
  <si>
    <t>https://huggingface.co/microsoft/trocr-small-printed/discussions/3</t>
  </si>
  <si>
    <t>why 'microsoft/trocr-small-printed' don't have vocab.json?</t>
  </si>
  <si>
    <t>https://huggingface.co/MingZhong/DialogLED-base-16384/discussions/2</t>
  </si>
  <si>
    <t>Can I use this model for a simple inference pipeline?</t>
  </si>
  <si>
    <t>https://huggingface.co/minhtoan/gpt3-small-finetune-cnndaily-news/discussions/3</t>
  </si>
  <si>
    <t>can i please know the details about the trainer used for finetuning. Is that the same HF trainer ? or did you write custom trainer?</t>
  </si>
  <si>
    <t>training detail/trainer</t>
  </si>
  <si>
    <t>can i please know the details about the dataset used for finetuning.</t>
  </si>
  <si>
    <t>https://huggingface.co/mistralai/Mistral-7B-Instruct-v0.1/discussions/12</t>
  </si>
  <si>
    <t>How to fine tune?</t>
  </si>
  <si>
    <t>https://huggingface.co/mistralai/Mistral-7B-Instruct-v0.1/discussions/64</t>
  </si>
  <si>
    <t xml:space="preserve">How do i get the confidence score of an answer? </t>
  </si>
  <si>
    <t>https://huggingface.co/mistralai/Mistral-7B-v0.1/discussions/37</t>
  </si>
  <si>
    <t>Tensorflow-variant coming? will there be a tensorflow variant of the model?</t>
  </si>
  <si>
    <t>model variant/development</t>
  </si>
  <si>
    <t>https://huggingface.co/mistralai/Mistral-7B-v0.1/discussions/4</t>
  </si>
  <si>
    <t>what is the context window available for these models?</t>
  </si>
  <si>
    <t>https://huggingface.co/mistralai/Mistral-7B-v0.1/discussions/53</t>
  </si>
  <si>
    <t>How to cite this work?</t>
  </si>
  <si>
    <t>Model Details/Citation details</t>
  </si>
  <si>
    <t>citation</t>
  </si>
  <si>
    <t>added in model card after question</t>
  </si>
  <si>
    <t>https://huggingface.co/mistralai/Mixtral-8x7B-Instruct-v0.1/discussions/28</t>
  </si>
  <si>
    <t>Text Generation Inference? has anyone been able to get this to work with Text Generation Inference?</t>
  </si>
  <si>
    <t>model use with other model/inference</t>
  </si>
  <si>
    <t>https://huggingface.co/mistralai/Mixtral-8x7B-Instruct-v0.1/discussions/94</t>
  </si>
  <si>
    <t>if i can run this model on a remote server? is there a way to consume it with IU like interface</t>
  </si>
  <si>
    <t>feature support inquiry/model use</t>
  </si>
  <si>
    <t>https://huggingface.co/Mitsua/mitsua-diffusion-one/discussions/3</t>
  </si>
  <si>
    <t>Is it possible to send you a link to my nextcloud? How can i help you, to push this project internationerly?</t>
  </si>
  <si>
    <t>collaboration proposal</t>
  </si>
  <si>
    <t>not about model</t>
  </si>
  <si>
    <t>https://huggingface.co/moonlightnexus/wonder-anime/discussions/1</t>
  </si>
  <si>
    <t>Would anyone like to train this model on any real forest dataset?</t>
  </si>
  <si>
    <t>train with different dataset</t>
  </si>
  <si>
    <t>https://huggingface.co/mosaicml/mpt-30b-chat/discussions/2</t>
  </si>
  <si>
    <t>Does the GPT4All (windows version) already support mpt-30b-chat?</t>
  </si>
  <si>
    <t>Do you have any other alternative to run this model on Windows OS? What is your suggestion for running it on Windows?</t>
  </si>
  <si>
    <t>https://huggingface.co/mosaicml/mpt-7b/discussions/21</t>
  </si>
  <si>
    <t>How do I enable cpu support? would I be able to use the model with an i7-1165G7 2.80 GHz with 16 GB RAM in total</t>
  </si>
  <si>
    <t>https://huggingface.co/mosaicml/mpt-7b/discussions/67</t>
  </si>
  <si>
    <t>How can I load this model in a pipeline?</t>
  </si>
  <si>
    <t>https://huggingface.co/mostafaamiri/persian_llama_7B_merged/discussions/1</t>
  </si>
  <si>
    <t>Did you train your tokenizer for Persian corpus? How many train steps do yo preserve for training llama?</t>
  </si>
  <si>
    <t>https://huggingface.co/mrm8488/llama-2-coder-7b/discussions/1</t>
  </si>
  <si>
    <t>license/redistribution license</t>
  </si>
  <si>
    <t>https://huggingface.co/Nacholmo/controlnet-qr-pattern-sdxl/discussions/1</t>
  </si>
  <si>
    <t>Does it need to be converted? Or is there a specific way to run it?</t>
  </si>
  <si>
    <t>https://huggingface.co/naclbit/trinart_characters_19.2m_stable_diffusion_v1/discussions/5</t>
  </si>
  <si>
    <t>Preset? Can someone explain the (2022 artstyle preset) etc. to me?</t>
  </si>
  <si>
    <t>prompt style explanation required</t>
  </si>
  <si>
    <t>https://huggingface.co/neulab/codebert-python/discussions/2</t>
  </si>
  <si>
    <t>Usable with oobabooga? Or another similar GUI perhaps?</t>
  </si>
  <si>
    <t>https://huggingface.co/nev/dalle-mini-pytorch/discussions/1</t>
  </si>
  <si>
    <t>Do you have a demo notebook on how to use this?</t>
  </si>
  <si>
    <t>https://huggingface.co/Nexusflow/NexusRaven-13B/discussions/3</t>
  </si>
  <si>
    <t>What could I do? Or what would be the mistake?</t>
  </si>
  <si>
    <t>https://huggingface.co/nferruz/ProtGPT2/discussions/17</t>
  </si>
  <si>
    <t>I would like to ask if there are some examples how to use your model, how to generate de novo proteins, or what parameters could be set up to generate these new proteins</t>
  </si>
  <si>
    <t>https://huggingface.co/nferruz/ProtGPT2/discussions/3</t>
  </si>
  <si>
    <t>Is it possible to fine-tune ProtGPT2 for a mutation generation task? If yes, then could you please guide me with how this kind of input-output sequence mutation generation could be performed with ProtGPT2?</t>
  </si>
  <si>
    <t>finetuning possibilities/finetuning instruction request</t>
  </si>
  <si>
    <t>https://huggingface.co/nitrosocke/mo-di-diffusion/discussions/10</t>
  </si>
  <si>
    <t>Can I retrain this ckpt with my photos?</t>
  </si>
  <si>
    <t>https://huggingface.co/nitrosocke/redshift-diffusion-768/discussions/3</t>
  </si>
  <si>
    <t>Would you please give more details about the specific settings of the model training parameters?</t>
  </si>
  <si>
    <t>https://huggingface.co/Nondzu/Mistral-7B-code-16k-qlora/discussions/2</t>
  </si>
  <si>
    <t>Human Eval and Human Eval-X score?</t>
  </si>
  <si>
    <t>https://huggingface.co/NousResearch/Nous-Capybara-34B/discussions/2</t>
  </si>
  <si>
    <t>Did you do full model fine tuning (all layers) or only adapters?</t>
  </si>
  <si>
    <t>training detail/model layer</t>
  </si>
  <si>
    <t>https://huggingface.co/NousResearch/Nous-Hermes-Llama2-13b/discussions/6</t>
  </si>
  <si>
    <t>Which settings would be most important to make it run well on consumer hardware. Loader - Transformers? exLlama? Llamaccp?</t>
  </si>
  <si>
    <t>Which settings would be most important to make it run well on consumer hardware. GPU/CPU memory allocations?</t>
  </si>
  <si>
    <t>https://huggingface.co/NousResearch/Yarn-Mistral-7b-128k/discussions/13</t>
  </si>
  <si>
    <t>Is there a fine tuning script available</t>
  </si>
  <si>
    <t>script/finetuning script request</t>
  </si>
  <si>
    <t>Is there a Instruction fine tuned version of this model available</t>
  </si>
  <si>
    <t>https://huggingface.co/nsfwthrowitaway69/Venus-120b-v1.1/discussions/2</t>
  </si>
  <si>
    <t>Was there anything other than just the mergekit yaml command in use here? Is the recipe missing something?</t>
  </si>
  <si>
    <t>https://huggingface.co/nuigurumi/basil_mix/discussions/23</t>
  </si>
  <si>
    <t>Are fanbox owners required to remove previously published works in light of the new license terms? Must published or printed AI artworks be revoked to comply with the updated license? Do heavily human-modified artworks or i2i'ed images count as creations of your model? Can your model be utilized as an intermediate step in the creation process without being subject to licensing terms?</t>
  </si>
  <si>
    <t>Does the license provide me with a guarantee that you will support me in the event of any copyright infringement claims arising from the use of your model? Are there any copyrighted materials utilized as training data for the model, which you do not own and that could potentially pose issues if I were to use your model commercially? would I be able to distribute another model similar to yours under a free distribution license, while maintaining compliance with your licensing terms?</t>
  </si>
  <si>
    <t>If a model is finetuned from basil-mix, to what extent does it qualify as a derivative? If a model is partially merged with basil-mix, what percentage of incorporation would classify it as a derivative?</t>
  </si>
  <si>
    <t>general question</t>
  </si>
  <si>
    <t>https://huggingface.co/nvidia/nemotron-3-8b-chat-4k-rlhf/discussions/2</t>
  </si>
  <si>
    <t>How to fine-tune this model? Is there any way to fine-tune this model in local or Google Colab?</t>
  </si>
  <si>
    <t>https://huggingface.co/nvidia/segformer-b0-finetuned-ade-512-512/discussions/8</t>
  </si>
  <si>
    <t>I wonder what is the name of the loss that you get when you run :</t>
  </si>
  <si>
    <t>training detail/loss</t>
  </si>
  <si>
    <t>https://huggingface.co/nvidia/stt_fr_conformer_transducer_large/discussions/1</t>
  </si>
  <si>
    <t>Would there be confusion between CER and WER on test metrics? is it the WER or the CER on your test?</t>
  </si>
  <si>
    <t>Metrics/Model performance measures</t>
  </si>
  <si>
    <t>https://huggingface.co/OFA-Sys/expertllama-7b-delta/discussions/1</t>
  </si>
  <si>
    <t>How to use these delta weights</t>
  </si>
  <si>
    <t>https://huggingface.co/oliverguhr/fullstop-punctuation-multilang-large/discussions/3</t>
  </si>
  <si>
    <t>Is it possible to only restore end of sentence punctuation (full stops), and not all of the other punctuation marks?</t>
  </si>
  <si>
    <t>https://huggingface.co/Open-Orca/Mistral-7B-OpenOrca/discussions/14</t>
  </si>
  <si>
    <t>Anyone else having the same issue? Any solution?</t>
  </si>
  <si>
    <t>error/dataset download</t>
  </si>
  <si>
    <t>https://huggingface.co/Open-Orca/OpenOrca-Preview1-13B/discussions/1</t>
  </si>
  <si>
    <t>Format? Alpaca or Vicuna 1.1 format?</t>
  </si>
  <si>
    <t>https://huggingface.co/openai-community/openai-gpt/discussions/2</t>
  </si>
  <si>
    <t>is openai-gpt based on gpt3 model?</t>
  </si>
  <si>
    <t>https://huggingface.co/openai/whisper-large-v2/discussions/47</t>
  </si>
  <si>
    <t>Can I get speech recognition without translation?</t>
  </si>
  <si>
    <t>How to change language when I use API?</t>
  </si>
  <si>
    <t>https://huggingface.co/openai/whisper-large-v3/discussions/60</t>
  </si>
  <si>
    <t>anyone else run into this and figure out how to fix it?</t>
  </si>
  <si>
    <t>https://huggingface.co/OpenBuddy/openbuddy-falcon-7b-v6-bf16/discussions/2</t>
  </si>
  <si>
    <t>Did you evaluate chinese in Falcon vs llama ?</t>
  </si>
  <si>
    <t>https://huggingface.co/openchat/openchat_8192/discussions/2</t>
  </si>
  <si>
    <t>Is the base model on OpenLLama (Apache 2.0), or Meta's Llama weights (LLama special licence)?</t>
  </si>
  <si>
    <t>license/base model</t>
  </si>
  <si>
    <t>https://huggingface.co/openlm-research/open_llama_7b/discussions/3</t>
  </si>
  <si>
    <t>Why does the model output the embedding for the &lt;s&gt; token?</t>
  </si>
  <si>
    <t>https://huggingface.co/openthaigpt/openthaigpt-0.1.0-beta/discussions/2</t>
  </si>
  <si>
    <t>Did I do something wrong?</t>
  </si>
  <si>
    <t>https://huggingface.co/p1atdev/pvc-v3/discussions/1</t>
  </si>
  <si>
    <t>Do you know what might be causing this?</t>
  </si>
  <si>
    <t>error/model use with other model</t>
  </si>
  <si>
    <t>https://huggingface.co/pankajmathur/orca_mini_3b/discussions/1</t>
  </si>
  <si>
    <t>May I please have your dataset?</t>
  </si>
  <si>
    <t>https://huggingface.co/patrickjohncyh/fashion-clip/discussions/12</t>
  </si>
  <si>
    <t>I wonder if you have any repo you trained Fashionclip based on clip-large?</t>
  </si>
  <si>
    <t>model variant/dataset</t>
  </si>
  <si>
    <t>https://huggingface.co/Pclanglais/MonadGPT/discussions/1</t>
  </si>
  <si>
    <t>Are you planning to release the training dataset?</t>
  </si>
  <si>
    <t>https://huggingface.co/Phind/Phind-CodeLlama-34B-v2/discussions/6</t>
  </si>
  <si>
    <t>are phind models capable of filling code in middle?</t>
  </si>
  <si>
    <t>if so, what's the prompt would be</t>
  </si>
  <si>
    <t>https://huggingface.co/princeton-nlp/Sheared-LLaMA-1.3B/discussions/5</t>
  </si>
  <si>
    <t>Are you planning to publish the instruct version of model?</t>
  </si>
  <si>
    <t>https://huggingface.co/prompthero/openjourney/discussions/52</t>
  </si>
  <si>
    <t>How do you run the safetensors version locally?</t>
  </si>
  <si>
    <t>model use instruction request/safetensor/local</t>
  </si>
  <si>
    <t>https://huggingface.co/PygmalionAI/pygmalion-6b/discussions/40</t>
  </si>
  <si>
    <t>Can character be a male?</t>
  </si>
  <si>
    <t>https://huggingface.co/Qwen/Qwen-7B-Chat/discussions/28</t>
  </si>
  <si>
    <t>13B soon?</t>
  </si>
  <si>
    <t>https://huggingface.co/Qwen/Qwen-7B-Chat/discussions/38</t>
  </si>
  <si>
    <t>Does anyone have this problem?</t>
  </si>
  <si>
    <t>https://huggingface.co/Qwen/Qwen-VL-Chat/discussions/9</t>
  </si>
  <si>
    <t>Reading your code I can't find this module. Will you kindly point it out please?</t>
  </si>
  <si>
    <t>development explanation to map to paper</t>
  </si>
  <si>
    <t>code/training code explanation request</t>
  </si>
  <si>
    <t>https://huggingface.co/Rajaram1996/Hubert_emotion/discussions/3</t>
  </si>
  <si>
    <t>Could you provide information on what datasets were used to train the model</t>
  </si>
  <si>
    <t>https://huggingface.co/replit/replit-code-v1-3b/discussions/6</t>
  </si>
  <si>
    <t>Expected minimum hardware requirements for inference?</t>
  </si>
  <si>
    <t>https://huggingface.co/rickRossie/hermes-limarp-13b-merged/discussions/1</t>
  </si>
  <si>
    <t>how did you merge the limarp with NousResearch/Nous-Hermes-Llama2-13b?</t>
  </si>
  <si>
    <t>training detail/model merge</t>
  </si>
  <si>
    <t>https://huggingface.co/RJuro/SciNERTopic/discussions/2</t>
  </si>
  <si>
    <t>What is the correct way of using safetensors?</t>
  </si>
  <si>
    <t>model use instruction request/safetensor</t>
  </si>
  <si>
    <t>https://huggingface.co/royallab/Rose-20B-exl2/discussions/1</t>
  </si>
  <si>
    <t>Any chance for 3bpw?</t>
  </si>
  <si>
    <t>https://huggingface.co/runwayml/stable-diffusion-v1-5/discussions/128</t>
  </si>
  <si>
    <t>is this the reason why diffusion is so difficult to train?</t>
  </si>
  <si>
    <t>https://huggingface.co/runwayml/stable-diffusion-v1-5/discussions/24</t>
  </si>
  <si>
    <t>but the agreement... where?</t>
  </si>
  <si>
    <t>related to HF</t>
  </si>
  <si>
    <t>HF use</t>
  </si>
  <si>
    <t>https://huggingface.co/rustformers/mpt-7b-ggml/discussions/3</t>
  </si>
  <si>
    <t>Can the rustformers/mpt-7b-ggml be used with lang chain pipeline for question answering based on document?</t>
  </si>
  <si>
    <t>https://huggingface.co/Salesforce/codegen2-7B/discussions/1</t>
  </si>
  <si>
    <t>Am I missing something specific to CodeGen2 when loading the model?</t>
  </si>
  <si>
    <t>https://huggingface.co/Salesforce/codegen25-7b-multi/discussions/5</t>
  </si>
  <si>
    <t>How to use infill sampling?</t>
  </si>
  <si>
    <t>https://huggingface.co/sanchit-gandhi/whisper-medium-fleurs-lang-id/discussions/4</t>
  </si>
  <si>
    <t>may you provide specs for setting up your environment for pytorch+deepspeed+transformers (for cluster if you had that), please?</t>
  </si>
  <si>
    <t>training detail/training environment</t>
  </si>
  <si>
    <t>https://huggingface.co/SanjiWatsuki/Sonya-7B/discussions/1</t>
  </si>
  <si>
    <t>Is there some sort of contamination or have 7b's really caught up to giant models of last year?</t>
  </si>
  <si>
    <t>https://huggingface.co/Sao10K/Frostwind-10.7B-v1/discussions/1</t>
  </si>
  <si>
    <t>Does Frostwind use the standard Alpaca format or Alpaca-extended?</t>
  </si>
  <si>
    <t>model removed</t>
  </si>
  <si>
    <t>https://huggingface.co/sayakpaul/sd-model-finetuned-lora-t4/discussions/1</t>
  </si>
  <si>
    <t>How to convert this into ckpt format?</t>
  </si>
  <si>
    <t>model conversion instruction</t>
  </si>
  <si>
    <t>https://huggingface.co/sd-dreambooth-library/disco-diffusion-style/discussions/1</t>
  </si>
  <si>
    <t>did you use any regularisation images for creating such a style?</t>
  </si>
  <si>
    <t>https://huggingface.co/sdadas/polish-longformer-base-4096/discussions/1</t>
  </si>
  <si>
    <t>How to use this model for tokenization? Could you please share a snippet showing how to do tokenization using your model?</t>
  </si>
  <si>
    <t>https://huggingface.co/SeaLLMs/SeaLLM-7B-Hybrid/discussions/1</t>
  </si>
  <si>
    <t>When I attempt to predict, I encounter the following issues. Could you give me a help?</t>
  </si>
  <si>
    <t>https://huggingface.co/segmind/SSD-1B/discussions/10</t>
  </si>
  <si>
    <t>Why distilling to SSD-1B rather than SD1.5/2.1?</t>
  </si>
  <si>
    <t>https://huggingface.co/segmind/SSD-1B/discussions/38</t>
  </si>
  <si>
    <t>Does this work for image2image and inpainting task?</t>
  </si>
  <si>
    <t>https://huggingface.co/senseable/WestLake-7B-v2/discussions/4</t>
  </si>
  <si>
    <t>Any GGUF versions for this model? is there any GGUF version of this version 2?</t>
  </si>
  <si>
    <t>https://huggingface.co/sensenova/piccolo-base-zh/discussions/1</t>
  </si>
  <si>
    <t>I would like to ask about the open-source license and whether the information can be used for commercial purposes.</t>
  </si>
  <si>
    <t>https://huggingface.co/SG161222/Realistic_Vision_V5.1_noVAE/discussions/1</t>
  </si>
  <si>
    <t>When will you train realistic vision on SDXL?</t>
  </si>
  <si>
    <t>https://huggingface.co/SG161222/RealVisXL_V3.0/discussions/2</t>
  </si>
  <si>
    <t>could you please share some detail about how you trained this model, by dreambooth or finetune of sdxl?</t>
  </si>
  <si>
    <t>which kind of data needed by training</t>
  </si>
  <si>
    <t>https://huggingface.co/ShadoWxShinigamI/MidJourney-PaperCut/discussions/7</t>
  </si>
  <si>
    <t>Would you it be okay to ask to share the source of the dataset? Or where can I search this kind of dataset?</t>
  </si>
  <si>
    <t>https://huggingface.co/sophosympatheia/Rogue-Rose-103b-v0.2/discussions/4</t>
  </si>
  <si>
    <t>Sampler Tips for Kobold.cpp? The sliders are different from oobaboba ai. What are your recommendations?</t>
  </si>
  <si>
    <t>https://huggingface.co/sshleifer/distilbart-cnn-12-6/discussions/11</t>
  </si>
  <si>
    <t>I am trying to get output but when using max length the last sentence is getting truncated Please can you let me know the solution</t>
  </si>
  <si>
    <t>https://huggingface.co/stabilityai/sd-x2-latent-upscaler/discussions/2</t>
  </si>
  <si>
    <t>Why the upscaled image is noisy?</t>
  </si>
  <si>
    <t>https://huggingface.co/stabilityai/sdxl-turbo/discussions/6</t>
  </si>
  <si>
    <t>can I upload it to Hugging Face under the same license?</t>
  </si>
  <si>
    <t>https://huggingface.co/stabilityai/stable-diffusion-2-depth/discussions/6</t>
  </si>
  <si>
    <t>https://huggingface.co/stabilityai/stable-diffusion-2/discussions/65</t>
  </si>
  <si>
    <t>Any reason why the vae configuration differs in the "sample_size" field between the "fp16" and "main" revisions? </t>
  </si>
  <si>
    <t>https://huggingface.co/stabilityai/stable-diffusion-xl-base-1.0/discussions/106</t>
  </si>
  <si>
    <t>So how to load?</t>
  </si>
  <si>
    <t>https://huggingface.co/stabilityai/stable-diffusion-xl-base-1.0/discussions/119</t>
  </si>
  <si>
    <t>What can be causing this?</t>
  </si>
  <si>
    <t>error/bug</t>
  </si>
  <si>
    <t>https://huggingface.co/stabilityai/stable-diffusion-xl-base-1.0/discussions/136</t>
  </si>
  <si>
    <t>What is next for SD to rival mj6 and dalle3?</t>
  </si>
  <si>
    <t>https://huggingface.co/stabilityai/stable-diffusion-xl-base-1.0/discussions/32</t>
  </si>
  <si>
    <t>Which VAE to use? Does one with VAE come with a trained VAE, or is it VAE weights only?</t>
  </si>
  <si>
    <t>https://huggingface.co/stabilityai/stable-diffusion-xl-refiner-1.0/discussions/18</t>
  </si>
  <si>
    <t>how to finetune “refiner” model, or training lora for "refiener"?</t>
  </si>
  <si>
    <t>https://huggingface.co/stabilityai/StableBeluga-13B/discussions/4</t>
  </si>
  <si>
    <t>System prompt? Was this model actually trained on "System" prompt, or is this a documentation mistake? What sorts of System prompts was it trained on?</t>
  </si>
  <si>
    <t>https://huggingface.co/stabilityai/StableBeluga2/discussions/30</t>
  </si>
  <si>
    <t>Minimum VRAM / GPU specs? Will this run on 4 x 3090 (96GB total VRAM)?</t>
  </si>
  <si>
    <t>https://huggingface.co/stabilityai/stablecode-instruct-alpha-3b/discussions/13</t>
  </si>
  <si>
    <t>Is this model available for the commercial use?</t>
  </si>
  <si>
    <t>https://huggingface.co/stabilityai/stablelm-zephyr-3b/discussions/12</t>
  </si>
  <si>
    <t>is the prompt example shown in the model card really correct?</t>
  </si>
  <si>
    <t>model input/prompt/model card</t>
  </si>
  <si>
    <t>https://huggingface.co/starmpcc/Asclepius-13B/discussions/1</t>
  </si>
  <si>
    <t>You're missing all the tokenizer files from your repo... just in case you've customised them in any way?</t>
  </si>
  <si>
    <t>Any plans to train this on Llama 2?</t>
  </si>
  <si>
    <t>https://huggingface.co/state-spaces/mamba-2.8b/discussions/1</t>
  </si>
  <si>
    <t>The model seems to be twice the size compared transformer based model for the same size (~5.9 GB for 3b transformer model vs 11.1GB Mamba model). Is it expected?</t>
  </si>
  <si>
    <t>model size comparison</t>
  </si>
  <si>
    <t>https://huggingface.co/suno/bark-small/discussions/7</t>
  </si>
  <si>
    <t>How can I address audio object through API?</t>
  </si>
  <si>
    <t>model input/data structure</t>
  </si>
  <si>
    <t>https://huggingface.co/suno/bark/discussions/30</t>
  </si>
  <si>
    <t>Anybody have any insight on how to resolve?</t>
  </si>
  <si>
    <t>https://huggingface.co/t5-base/discussions/14</t>
  </si>
  <si>
    <t>not a question, shares a notbook url with title "how to ..."</t>
  </si>
  <si>
    <t>https://huggingface.co/t5-base/discussions/21</t>
  </si>
  <si>
    <t>In USA english scripts there will be special characters like copyright, trademark symbols but for other reagion it is not necessary to be present, can i achieve this charactrestic in T5?</t>
  </si>
  <si>
    <t>Will this model capable of units conversions? Can this T5 convert the currency according to the region as units which is mentioned in 1.)</t>
  </si>
  <si>
    <t>I need to achieve brand specific tone setting during translation, can i achieve using T5?</t>
  </si>
  <si>
    <t>Minimum most how many data set in a csv file i need to give for training to get a standard result?</t>
  </si>
  <si>
    <t>https://huggingface.co/taozi555/MythoMax-Kimiko-Mix/discussions/1</t>
  </si>
  <si>
    <t>describe the process you used to do MythoMax-Kimiko-Mix?</t>
  </si>
  <si>
    <t>Could you please make a new mix using Kimiko V2?</t>
  </si>
  <si>
    <t>https://huggingface.co/TehVenom/Pygmalion-Vicuna-1.1-7b/discussions/5</t>
  </si>
  <si>
    <t>If somebody else could quantize the model, or suggest a way for me to do it myself</t>
  </si>
  <si>
    <t>https://huggingface.co/TheBloke/airoboros-l2-70B-gpt4-1.4.1-GPTQ/discussions/3</t>
  </si>
  <si>
    <t>could you quantise this model here: ai-forever/ruGPT-3.5-13B?</t>
  </si>
  <si>
    <t>https://huggingface.co/TheBloke/Capybara-Tess-Yi-34B-200K-GGUF/discussions/1</t>
  </si>
  <si>
    <t>Do you have plan to quant the OrionStarAI/OrionStar-Yi-34B-Chat model</t>
  </si>
  <si>
    <t>https://huggingface.co/TheBloke/CodeLlama-13B-Instruct-GGUF/discussions/1</t>
  </si>
  <si>
    <t>When I try loading any (7, 13,34) of your GGUF models (regardless of instruct or text completion) in interactive mode, it starts generating random code like below. Has anyone else seen this?</t>
  </si>
  <si>
    <t>model output/bug</t>
  </si>
  <si>
    <t>https://huggingface.co/TheBloke/DiscoLM-mixtral-8x7b-v2-GPTQ/discussions/1</t>
  </si>
  <si>
    <t>What model is this? Is this a new Mistral architecture release or a new model tuned on a different dataset?</t>
  </si>
  <si>
    <t>https://huggingface.co/TheBloke/Falcon-180B-Chat-GGUF/discussions/8</t>
  </si>
  <si>
    <t>Is there a way to force model use full CPU power? Does anyone know - will SSD survive such use?</t>
  </si>
  <si>
    <t>https://huggingface.co/TheBloke/falcon-40b-instruct-GPTQ/discussions/1</t>
  </si>
  <si>
    <t>what am I doing wrong?</t>
  </si>
  <si>
    <t>https://huggingface.co/TheBloke/Falcon-7B-Instruct-GGML/discussions/4</t>
  </si>
  <si>
    <t>How you trained and got this .bin model ,can you share</t>
  </si>
  <si>
    <t>https://huggingface.co/TheBloke/guanaco-33B-GPTQ/discussions/6</t>
  </si>
  <si>
    <t>Could this model be loaded in 3090 GPU? wonder if someone managed how to do this?</t>
  </si>
  <si>
    <t>https://huggingface.co/TheBloke/koala-7B-GPTQ/discussions/5</t>
  </si>
  <si>
    <t>https://huggingface.co/TheBloke/leo-hessianai-13B-chat-bilingual-GPTQ/discussions/1</t>
  </si>
  <si>
    <t>Why do they even have such an exotic prompt template? can someone tell me what exactly I need to put in there?</t>
  </si>
  <si>
    <t>model output/prompt</t>
  </si>
  <si>
    <t>https://huggingface.co/TheBloke/Llama-2-13B-chat-GPTQ/discussions/18</t>
  </si>
  <si>
    <t>The text is gibberish. how to solve this?</t>
  </si>
  <si>
    <t>https://huggingface.co/TheBloke/Llama-2-13B-chat-GPTQ/discussions/23</t>
  </si>
  <si>
    <t>https://huggingface.co/TheBloke/Llama-2-70B-Chat-AWQ/discussions/1</t>
  </si>
  <si>
    <t xml:space="preserve">what prompt template should I use for multiturn chat? </t>
  </si>
  <si>
    <t>I noticed that the model card only shows the use of [INST] tokens, not &lt;s&gt; tokens. Is this intentional?</t>
  </si>
  <si>
    <t>model use/tokenizer behaviour/model card</t>
  </si>
  <si>
    <t>https://huggingface.co/TheBloke/Llama-2-70B-Chat-GPTQ/discussions/5</t>
  </si>
  <si>
    <t>anyone else have this issue?</t>
  </si>
  <si>
    <t>https://huggingface.co/TheBloke/Llama-2-7B-Chat-GPTQ/discussions/29</t>
  </si>
  <si>
    <t>Is it some error in setting the device?</t>
  </si>
  <si>
    <t>https://huggingface.co/TheBloke/llama2-22B-daydreamer-v2-GGML/discussions/2</t>
  </si>
  <si>
    <t>Q3_K_L is smaller than Q3_K_S and even Q2_K... How is it possible?</t>
  </si>
  <si>
    <t>https://huggingface.co/TheBloke/LLongMA-2-7B-GPTQ/discussions/2</t>
  </si>
  <si>
    <t>Can you tell me if this model or another one will work for me to generate text by promts?</t>
  </si>
  <si>
    <t>model selection suggestion request</t>
  </si>
  <si>
    <t>Can I use this model for my own purposes with the hardware? Can I use this model for my own purposes if my Core i7-6700 computer has 16 GB RAM and integrated video?</t>
  </si>
  <si>
    <t>https://huggingface.co/TheBloke/Mistral-7B-Instruct-v0.2-GGUF/discussions/6</t>
  </si>
  <si>
    <t>No SWA? I think this still suffers from sequences that have higher length than 512. However, mistral should be solving this by using SWA. How to tackle this issue ?</t>
  </si>
  <si>
    <t>are there any similar or lightweight model for this ?</t>
  </si>
  <si>
    <t>https://huggingface.co/TheBloke/Mistral-7B-v0.1-GGUF/discussions/2</t>
  </si>
  <si>
    <t>Persian models? could u please make some quantized gguf of some persian models please?</t>
  </si>
  <si>
    <t>https://huggingface.co/TheBloke/Mixtral-8x7B-v0.1-GGUF/discussions/18</t>
  </si>
  <si>
    <t>if this model can support function calling to extract structured outputs</t>
  </si>
  <si>
    <t>are there any code samples to allow local function-calling via llama.cpp or any other libs ?</t>
  </si>
  <si>
    <t>code/model use code request/local</t>
  </si>
  <si>
    <t>https://huggingface.co/TheBloke/MPT-7B-Storywriter-GGML/discussions/5</t>
  </si>
  <si>
    <t>Can someone write a tutorial for Runpods installation after getting the Block GPU template?</t>
  </si>
  <si>
    <t>code/model setup code request</t>
  </si>
  <si>
    <t>https://huggingface.co/TheBloke/Nous-Hermes-Llama2-GGML/discussions/4</t>
  </si>
  <si>
    <t>could you make one for the 13b too?</t>
  </si>
  <si>
    <t>https://huggingface.co/TheBloke/Open_Gpt4_8x7B-GPTQ/discussions/1</t>
  </si>
  <si>
    <t>Is this better than orochi?</t>
  </si>
  <si>
    <t>https://huggingface.co/TheBloke/SOLAR-10.7B-Instruct-v1.0-GGUF/discussions/3</t>
  </si>
  <si>
    <t>if there was a way you could fine tune the SOLAR-10.7B-Instruct model so that it has a memory of previous inputs?</t>
  </si>
  <si>
    <t>https://huggingface.co/TheBloke/SOLARC-MOE-10.7Bx4-GGUF/discussions/1</t>
  </si>
  <si>
    <t>https://huggingface.co/TheBloke/StableBeluga2-70B-GPTQ/discussions/12</t>
  </si>
  <si>
    <t>Does the 32g model need a higher VRAM?</t>
  </si>
  <si>
    <t>https://huggingface.co/TheBloke/Synthia-MoE-v3-Mixtral-8x7B-GPTQ/discussions/2</t>
  </si>
  <si>
    <t>has anyone gotten multi-gpu to work?</t>
  </si>
  <si>
    <t>https://huggingface.co/TheBloke/tulu-7B-GPTQ/discussions/1</t>
  </si>
  <si>
    <t>Can someone suggest a small model which can run in a laptop powered by CPU?</t>
  </si>
  <si>
    <t>https://huggingface.co/TheBloke/Vicuna-13B-1.1-GPTQ/discussions/11</t>
  </si>
  <si>
    <t>The link to the CPU version, https://huggingface.co/TheBloke/vicuna-13B-1.1-GPTQ-4bit-128g-GGML is broken. Could you please fix it?</t>
  </si>
  <si>
    <t>https://huggingface.co/TheBloke/vicuna-13B-v1.5-16K-GPTQ/discussions/1</t>
  </si>
  <si>
    <t>the Vicunia seems to work better with tasks / chat. Any thoughts?</t>
  </si>
  <si>
    <t>https://huggingface.co/TheBloke/vicuna-7B-v0-GPTQ/discussions/3</t>
  </si>
  <si>
    <t>https://huggingface.co/TheBloke/Wizard-Vicuna-13B-Uncensored-GGUF/discussions/1</t>
  </si>
  <si>
    <t>i am waiting on the 8k version of this model, do you think it is possible?</t>
  </si>
  <si>
    <t>https://huggingface.co/TheBloke/Wizard-Vicuna-13B-Uncensored-GPTQ/discussions/10</t>
  </si>
  <si>
    <t>Sorry for my newbie question but what am I doing wrong?</t>
  </si>
  <si>
    <t>https://huggingface.co/TheBloke/Wizard-Vicuna-30B-Uncensored-GPTQ/discussions/15</t>
  </si>
  <si>
    <t>Any clue what the problem may be?</t>
  </si>
  <si>
    <t>https://huggingface.co/TheBloke/WizardCoder-15B-1.0-GGML/discussions/8</t>
  </si>
  <si>
    <t>if a gguf version will be available for this one? </t>
  </si>
  <si>
    <t>https://huggingface.co/TheBloke/WizardCoder-15B-1.0-GPTQ/discussions/14</t>
  </si>
  <si>
    <t>Is it possible to make a superhot version of it?</t>
  </si>
  <si>
    <t>https://huggingface.co/TheBloke/WizardCoder-Python-34B-V1.0-GGUF/discussions/5</t>
  </si>
  <si>
    <t>No WizardCoder-Python 7B? Why?</t>
  </si>
  <si>
    <t>https://huggingface.co/TheBloke/WizardLM-1.0-Uncensored-Llama2-13B-GGML/discussions/1</t>
  </si>
  <si>
    <t>https://huggingface.co/TheBloke/WizardLM-13B-V1.2-GPTQ/discussions/1</t>
  </si>
  <si>
    <t>I'm getting very different results from this GPTQ version (worse) compared to what I get with wizardlm-13b-v1.2.ggmlv3.q4_K_M. Is this working as expected?</t>
  </si>
  <si>
    <t>https://huggingface.co/TheBloke/Yi-6B-GGUF/discussions/1</t>
  </si>
  <si>
    <t>Inference api? How is this happening??</t>
  </si>
  <si>
    <t>https://huggingface.co/TheLastBen/William_Eggleston_Style_SDXL/discussions/2</t>
  </si>
  <si>
    <t>how to successfully load these LoRA weights?</t>
  </si>
  <si>
    <t>model use instruction request/error</t>
  </si>
  <si>
    <t>https://huggingface.co/thibaud/controlnet-openpose-sdxl-1.0/discussions/4</t>
  </si>
  <si>
    <t>is this supposed to work in Automatic1111?</t>
  </si>
  <si>
    <t>Automatic1111 is a web-based user interface (UI) for Stable Diffusion</t>
  </si>
  <si>
    <t>https://huggingface.co/thibaud/controlnet-sd21-openposev2-diffusers/discussions/1</t>
  </si>
  <si>
    <t>What's the difference between controlnet-sd21-openposev2-diffusers with controlnet-sd21-openpose-diffusers?</t>
  </si>
  <si>
    <t>https://huggingface.co/thibaud/controlnet-sd21/discussions/36</t>
  </si>
  <si>
    <t>Do you know what I can try differently?</t>
  </si>
  <si>
    <t>any chance you can upload the openposev2 model in ckpt format?</t>
  </si>
  <si>
    <t>https://huggingface.co/thibaud/controlnet-sd21/discussions/41</t>
  </si>
  <si>
    <t>Can control_v11p_sd15_inpaint be supported in the future?</t>
  </si>
  <si>
    <t>https://huggingface.co/THUDM/cogagent-vqa-hf/discussions/1</t>
  </si>
  <si>
    <t>how to write prompt</t>
  </si>
  <si>
    <t>https://huggingface.co/THUDM/cogagent-vqa-hf/discussions/2</t>
  </si>
  <si>
    <t>how to perform inference over multi-gpu setup</t>
  </si>
  <si>
    <t>https://huggingface.co/THUDM/cogvlm-grounding-generalist-hf/discussions/3</t>
  </si>
  <si>
    <t>Can this grounding model output bbox?</t>
  </si>
  <si>
    <t>How can I get the bounding box?</t>
  </si>
  <si>
    <t>https://huggingface.co/THUDM/visualglm-6b/discussions/1</t>
  </si>
  <si>
    <t>quantized version release soon? Would you release any quantized version?</t>
  </si>
  <si>
    <t>https://huggingface.co/tiiuae/falcon-180B-chat/discussions/10</t>
  </si>
  <si>
    <t>Request: DOI. Do you know how I get access?</t>
  </si>
  <si>
    <t>the citation was already there</t>
  </si>
  <si>
    <t>https://huggingface.co/tiiuae/falcon-180B/discussions/12</t>
  </si>
  <si>
    <t>If I share the new model for free use under Apache 2.0 so it that allow people to do anything commercial with it? Like hosting it as a service or using it in a company?</t>
  </si>
  <si>
    <t>Can I use Falcon 180B to make a large training dataset of JSON questions and answers? Then can I use that dataset to train a new model with Apache 2.0??</t>
  </si>
  <si>
    <t>https://huggingface.co/tiiuae/falcon-40b-instruct/discussions/87</t>
  </si>
  <si>
    <t>what am i missing</t>
  </si>
  <si>
    <t>error/model merge</t>
  </si>
  <si>
    <t>is there a way to be able to do this fully local like doing the falcon model and pass it to ChatHuggingFace?</t>
  </si>
  <si>
    <t>how to use finetuned version</t>
  </si>
  <si>
    <t>https://huggingface.co/tiiuae/falcon-40b/discussions/103</t>
  </si>
  <si>
    <t>Why isn't it working the same as the hub model, given I have all files (my assumption is that only the weights files have changed slightly)?</t>
  </si>
  <si>
    <t>how can I make my finetuned model benefit from all of the pipeline functions?</t>
  </si>
  <si>
    <t>https://huggingface.co/tiiuae/falcon-7b-instruct/discussions/15</t>
  </si>
  <si>
    <t>Could you clarify which license now applies to the model?</t>
  </si>
  <si>
    <t>https://huggingface.co/tiiuae/falcon-7b/discussions/42</t>
  </si>
  <si>
    <t>Where we can find the GitHub repo for the inference code</t>
  </si>
  <si>
    <t>code/inference code request</t>
  </si>
  <si>
    <t>https://huggingface.co/tiiuae/falcon-rw-1b/discussions/8</t>
  </si>
  <si>
    <t>Can someone help me figure this out please?</t>
  </si>
  <si>
    <t>https://huggingface.co/timm/eva02_large_patch14_clip_224.merged2b_s4b_b131k/discussions/2</t>
  </si>
  <si>
    <t>How to load these models?</t>
  </si>
  <si>
    <t>https://huggingface.co/TinyLlama/TinyLlama-1.1B-Chat-v1.0/discussions/9</t>
  </si>
  <si>
    <t>What is the context size?</t>
  </si>
  <si>
    <t>https://huggingface.co/TinyLlama/TinyLlama-1.1B-step-50K-105b/discussions/5</t>
  </si>
  <si>
    <t>How to train model with databricks-dolly-15k.jsonl dataset format</t>
  </si>
  <si>
    <t>https://huggingface.co/togethercomputer/GPT-JT-6B-v1/discussions/17</t>
  </si>
  <si>
    <t>Am I doing it wrong??</t>
  </si>
  <si>
    <t>cloned the repository, now what?</t>
  </si>
  <si>
    <t>https://huggingface.co/togethercomputer/GPT-JT-6B-v1/discussions/26</t>
  </si>
  <si>
    <t>Any way to set the "stop, split by" when running the model locally?</t>
  </si>
  <si>
    <t>model use/local</t>
  </si>
  <si>
    <t>https://huggingface.co/togethercomputer/m2-bert-80M-8k-retrieval/discussions/6</t>
  </si>
  <si>
    <t>How to run on GPU?</t>
  </si>
  <si>
    <t>https://huggingface.co/togethercomputer/RedPajama-INCITE-7B-Base/discussions/6</t>
  </si>
  <si>
    <t>if this model is good for text classification and summarisation (abstractive summarisation) tasks?</t>
  </si>
  <si>
    <t>https://huggingface.co/Tonic/mistralmed/discussions/4</t>
  </si>
  <si>
    <t>Is it possible to merge the finetuned version with the original mistral model into one model?</t>
  </si>
  <si>
    <t>model merge</t>
  </si>
  <si>
    <t>https://huggingface.co/Trelis/Llama-2-7b-chat-hf-hosted-inference-8bit/discussions/3</t>
  </si>
  <si>
    <t>Quantization method?</t>
  </si>
  <si>
    <t>https://huggingface.co/TriadParty/Deepsword-34B-Base/discussions/4</t>
  </si>
  <si>
    <t>Training data language? Does the trained base model have both?</t>
  </si>
  <si>
    <t>https://huggingface.co/tuner007/pegasus_paraphrase/discussions/12</t>
  </si>
  <si>
    <t>Do you think you could release the fine-tuning script as well?</t>
  </si>
  <si>
    <t>https://huggingface.co/TurkuNLP/gpt3-finnish-13B/discussions/1</t>
  </si>
  <si>
    <t>Is the file corrupt or do I need to open it using something else than the standard AutoModel.from_pretrained("TurkuNLP/gpt3-finnish-13B") code?</t>
  </si>
  <si>
    <t>https://huggingface.co/uklfr/gottbert-base/discussions/2</t>
  </si>
  <si>
    <t>I was wondering if you could add a tokenizer_config.json file?</t>
  </si>
  <si>
    <t>https://huggingface.co/Undi95/ReMM-L2-13B-v1/discussions/1</t>
  </si>
  <si>
    <t>do you still have ReML lying around and could upload it, too?</t>
  </si>
  <si>
    <t>base model</t>
  </si>
  <si>
    <t>https://huggingface.co/Undi95/Unholy-v2-13B/discussions/1</t>
  </si>
  <si>
    <t>Will you experiment with 3B models anytime soon?</t>
  </si>
  <si>
    <t>https://huggingface.co/unitary/toxic-bert/discussions/3</t>
  </si>
  <si>
    <t>How was toxic bert trained? Were all the layers in the pre-trained Bert model frozen except for the last two?</t>
  </si>
  <si>
    <t>https://huggingface.co/upstage/llama-30b-instruct-2048/discussions/6</t>
  </si>
  <si>
    <t>Can it run faster than 2 tokens/second on one A100?</t>
  </si>
  <si>
    <t>Does anybody know how to make it faster?</t>
  </si>
  <si>
    <t>https://huggingface.co/uukuguy/speechless-llama2-hermes-orca-platypus-wizardlm-13b/discussions/1</t>
  </si>
  <si>
    <t>What do you mean by is a merge? Did you use MOE? How did you merge them exactly?</t>
  </si>
  <si>
    <t>https://huggingface.co/VAGOsolutions/SauerkrautLM-SOLAR-Instruct/discussions/1</t>
  </si>
  <si>
    <t>QLora or full fine-tuning?</t>
  </si>
  <si>
    <t>https://huggingface.co/VietnamAIHub/LLaMA2_Vietnamese_Medical_SFT_13B/discussions/1</t>
  </si>
  <si>
    <t>Can you please help me understand what might be causing this issue?</t>
  </si>
  <si>
    <t>error/model download</t>
  </si>
  <si>
    <t>https://huggingface.co/vllab/controlnet-hands/discussions/3</t>
  </si>
  <si>
    <t>how to change the palm landmark colors?</t>
  </si>
  <si>
    <t>Could you provide a script for processing landmark like https://github.com/lht-ryu/mediapipe_hand_image_processor/blob/main/handLandmarks.py?</t>
  </si>
  <si>
    <t>https://huggingface.co/WarriorMama777/OrangeMixs/discussions/32</t>
  </si>
  <si>
    <t>Does this work with AMD gpu's ?</t>
  </si>
  <si>
    <t>https://huggingface.co/WarriorMama777/OrangeMixs/discussions/68</t>
  </si>
  <si>
    <t>what prompts I would need to get them to work with specific characters</t>
  </si>
  <si>
    <t>https://huggingface.co/WarriorMama777/OrangeMixs/discussions/7</t>
  </si>
  <si>
    <t>Which YAML config are you using?</t>
  </si>
  <si>
    <t>https://huggingface.co/WarriorMama777/OrangeMixs/discussions/81</t>
  </si>
  <si>
    <t>Virus in VAE?</t>
  </si>
  <si>
    <t>https://huggingface.co/WizardLM/WizardCoder-15B-V1.0/discussions/4</t>
  </si>
  <si>
    <t>Much slower than StarCoder?</t>
  </si>
  <si>
    <t>https://huggingface.co/WizardLM/WizardCoder-Python-34B-V1.0/discussions/25</t>
  </si>
  <si>
    <t>Can anyone tell me  about the memory requirements for the WizardLM/WizardCoder-Python-7B-V1.0.</t>
  </si>
  <si>
    <t>https://huggingface.co/WizardLM/WizardLM-30B-V1.0/discussions/2</t>
  </si>
  <si>
    <t>what's the format for the system prompt please?</t>
  </si>
  <si>
    <t>https://huggingface.co/wojtab/llava-7b-v0-4bit-128g/discussions/2</t>
  </si>
  <si>
    <t>Applied Weights? Is This Delta Weights applied llava weights which is quantized?</t>
  </si>
  <si>
    <t>https://huggingface.co/wukevin/tcr-bert/discussions/2</t>
  </si>
  <si>
    <t>Is it the same as the ones described on the paper, as follows?</t>
  </si>
  <si>
    <t>https://huggingface.co/ycros/airoboros-65b-gpt4-1.4.1-PI-8192-4bit-32g-actorder/discussions/1</t>
  </si>
  <si>
    <t>Can you please put approximate VRAM usage for this model?</t>
  </si>
  <si>
    <t>https://huggingface.co/Yukang/Llama-2-70b-chat-longlora-32k-sft/discussions/2</t>
  </si>
  <si>
    <t>Coul you please look into it?</t>
  </si>
  <si>
    <t>https://huggingface.co/zaq-hack/Noromaid-v0.4-Mixtral-Instruct-8x7b-Zloss-bpw300-h6-exl2/discussions/2</t>
  </si>
  <si>
    <t>When you say that this model uses ChatML's prompting format, but not the special token, what do you mean by "special token" in this case?</t>
  </si>
  <si>
    <t>https://huggingface.co/zarakiquemparte/zarablend-1.1-l2-7b/discussions/1</t>
  </si>
  <si>
    <t>how you went about doing that.</t>
  </si>
  <si>
    <t>model feature</t>
  </si>
  <si>
    <t>model example not resource?</t>
  </si>
  <si>
    <t>compatibility</t>
  </si>
  <si>
    <t>Changing a metric</t>
  </si>
  <si>
    <t>using model elsewhere</t>
  </si>
  <si>
    <t>model use example not resource?</t>
  </si>
  <si>
    <t>speed up model</t>
  </si>
  <si>
    <t>***</t>
  </si>
  <si>
    <t>service error</t>
  </si>
  <si>
    <t>model example not resource</t>
  </si>
  <si>
    <t>The answer given points to the training data</t>
  </si>
  <si>
    <t>user error using</t>
  </si>
  <si>
    <t>This shows the difference in the two</t>
  </si>
  <si>
    <t>Proper usage of model</t>
  </si>
  <si>
    <t>model build details</t>
  </si>
  <si>
    <t>usage example</t>
  </si>
  <si>
    <t>model feature request</t>
  </si>
  <si>
    <t>usage question for performance</t>
  </si>
  <si>
    <t>Model Details/Model version</t>
  </si>
  <si>
    <t>branch details</t>
  </si>
  <si>
    <t xml:space="preserve">error with connecting </t>
  </si>
  <si>
    <t>how to use model</t>
  </si>
  <si>
    <t>hardware specs</t>
  </si>
  <si>
    <t>replication question</t>
  </si>
  <si>
    <t>how to use/fix</t>
  </si>
  <si>
    <t>fix</t>
  </si>
  <si>
    <t>finetuning</t>
  </si>
  <si>
    <t xml:space="preserve">Would this approach be feasible for studying cell-cell communication using Geneformer? </t>
  </si>
  <si>
    <t>performance/ run time</t>
  </si>
  <si>
    <t>hardware requirements</t>
  </si>
  <si>
    <t>question/ how to use</t>
  </si>
  <si>
    <t>feature/ file request</t>
  </si>
  <si>
    <t xml:space="preserve">other issue - actually a model card issue </t>
  </si>
  <si>
    <t>Its the same model, there is not difference</t>
  </si>
  <si>
    <t>model variant request</t>
  </si>
  <si>
    <t>The dataset does exist somewhere</t>
  </si>
  <si>
    <t>error (with dataset perhaps or training)</t>
  </si>
  <si>
    <t>Comparing this models performance to another similar one</t>
  </si>
  <si>
    <t>acheiveing better performance/ outputs</t>
  </si>
  <si>
    <t>when to retrain to correct??</t>
  </si>
  <si>
    <t>the question does ask if it is possible though</t>
  </si>
  <si>
    <t>hosting a prod env</t>
  </si>
  <si>
    <t>Factors/Relevant factors</t>
  </si>
  <si>
    <t>factor for reproducibility?</t>
  </si>
  <si>
    <t>feature request</t>
  </si>
  <si>
    <t>error/ how to use</t>
  </si>
  <si>
    <t>new version inquiry</t>
  </si>
  <si>
    <t>quantization is done during training</t>
  </si>
  <si>
    <t xml:space="preserve">Is this chat or completion finetune? </t>
  </si>
  <si>
    <t xml:space="preserve">how to use/ set up instruction </t>
  </si>
  <si>
    <t>Model Details/Personal or organization developing model</t>
  </si>
  <si>
    <t>version of a tokenizer</t>
  </si>
  <si>
    <t>how to use???</t>
  </si>
  <si>
    <t xml:space="preserve">could answer question </t>
  </si>
  <si>
    <t xml:space="preserve">finetuning </t>
  </si>
  <si>
    <t>how to use... prompt structuring</t>
  </si>
  <si>
    <t>the languages it supports</t>
  </si>
  <si>
    <t>naming of model</t>
  </si>
  <si>
    <t>the length/ number of tokens</t>
  </si>
  <si>
    <t>finetuning/ how to use finetuned</t>
  </si>
  <si>
    <t>errorr/missing file or dependecy</t>
  </si>
  <si>
    <t>does it work as an inference pipeline</t>
  </si>
  <si>
    <t>finetuner is similar to training...</t>
  </si>
  <si>
    <t>model only finetunes an existing model</t>
  </si>
  <si>
    <t>new model request</t>
  </si>
  <si>
    <t>how to use with other interface</t>
  </si>
  <si>
    <t>wanting to help</t>
  </si>
  <si>
    <t>finetuning/ retraining</t>
  </si>
  <si>
    <t>support with a different model</t>
  </si>
  <si>
    <t>uses of each presets of the model</t>
  </si>
  <si>
    <t>model support with GUIs</t>
  </si>
  <si>
    <t>Human Eval and Human Eval-X score? Why not try Evo-Instruct on either Phi-1(already at HumanEval 50.6 or TinyLlama 1.1 to see if you can get Human Eval to &gt; 60( which is WizardCoder-13B levels)</t>
  </si>
  <si>
    <t>trying to use a different model all together</t>
  </si>
  <si>
    <t>how to use/ settings</t>
  </si>
  <si>
    <t>What is considered a derivative for licensing puposes</t>
  </si>
  <si>
    <t>what kind of loss function?</t>
  </si>
  <si>
    <t>CER or WER?</t>
  </si>
  <si>
    <t>model request</t>
  </si>
  <si>
    <t>finding something in the files</t>
  </si>
  <si>
    <t>harware requirements</t>
  </si>
  <si>
    <t>settings</t>
  </si>
  <si>
    <t>error/how to use</t>
  </si>
  <si>
    <t>future options dicussion</t>
  </si>
  <si>
    <t>what file to use</t>
  </si>
  <si>
    <t>*** or finetuning</t>
  </si>
  <si>
    <t>how to finetune</t>
  </si>
  <si>
    <t>hardware capacity</t>
  </si>
  <si>
    <t>compatibitlity</t>
  </si>
  <si>
    <t>its in for the prompt template of the model card</t>
  </si>
  <si>
    <t>file size</t>
  </si>
  <si>
    <t xml:space="preserve">No SWA? I think this still suffers from sequences that have higher length than 512. However, mistral should be solving this by using SWA. How to tackle this issue ? </t>
  </si>
  <si>
    <t>how to use/ fix</t>
  </si>
  <si>
    <t xml:space="preserve"> or are there any similar or lightweight model for this ?</t>
  </si>
  <si>
    <t>Asking for a different model that will work better for their hardware reqs</t>
  </si>
  <si>
    <t>broken link?</t>
  </si>
  <si>
    <t>performance discussion</t>
  </si>
  <si>
    <t>error/ unexpected behaviour</t>
  </si>
  <si>
    <t>how to use/ error</t>
  </si>
  <si>
    <t>specific web gui ***</t>
  </si>
  <si>
    <t>model output???</t>
  </si>
  <si>
    <t>asking for paper DOI?</t>
  </si>
  <si>
    <t>how to use/ finetune??</t>
  </si>
  <si>
    <t>how to merge</t>
  </si>
  <si>
    <t>hardware compatibility</t>
  </si>
  <si>
    <t>Url</t>
  </si>
  <si>
    <t>Count</t>
  </si>
  <si>
    <t>Mapping</t>
  </si>
  <si>
    <t>Context</t>
  </si>
  <si>
    <t>Mapped</t>
  </si>
  <si>
    <t>Model Details</t>
  </si>
  <si>
    <t>Personal or organization developing model</t>
  </si>
  <si>
    <t>What person or organization developed the model?</t>
  </si>
  <si>
    <t>Model date</t>
  </si>
  <si>
    <t>When was the model developed?</t>
  </si>
  <si>
    <t>Model version</t>
  </si>
  <si>
    <t>Which version of the model is it, and how does it differ from previous versions?</t>
  </si>
  <si>
    <t>Model type</t>
  </si>
  <si>
    <t>What type of model is it? This includes basic model architecture details, such as whether it is a Naive Bayes classifier, a Convolutional Neural Network, etc.</t>
  </si>
  <si>
    <t>Training detail</t>
  </si>
  <si>
    <t>Information about training algorithms, parameters, fairness constraints or other applied approaches, and features</t>
  </si>
  <si>
    <t>Paper or other resource</t>
  </si>
  <si>
    <t>Where can resources for more information be found?</t>
  </si>
  <si>
    <t>Citation details</t>
  </si>
  <si>
    <t>How should the model be cited?</t>
  </si>
  <si>
    <t>License</t>
  </si>
  <si>
    <t>License information can be provided.</t>
  </si>
  <si>
    <t>Where to communicate</t>
  </si>
  <si>
    <t>What is an email address that people may write to for further information?</t>
  </si>
  <si>
    <t>Intended Use</t>
  </si>
  <si>
    <t>Primary intended uses</t>
  </si>
  <si>
    <t>Whether the model was developed with general or specific tasks in mind (e.g., plant recognition worldwide or in the Pacific Northwest)</t>
  </si>
  <si>
    <t>Primary intended users</t>
  </si>
  <si>
    <t>Was the model developed for entertainment purposes, for hobbyists, or enterprise solutions?</t>
  </si>
  <si>
    <t>Out-of-scope use cases</t>
  </si>
  <si>
    <t>Recommend a related or similar model that was designed to better meet that particular need, where possible.</t>
  </si>
  <si>
    <t>Factors</t>
  </si>
  <si>
    <t>Relevant factors</t>
  </si>
  <si>
    <t>What are foreseeable salient factors for which model performance may vary, and how were these determined?</t>
  </si>
  <si>
    <t>Evaluation factors</t>
  </si>
  <si>
    <t>Which factors are being reported, and why were these chosen? If the relevant factors and evaluation factors are different, why?</t>
  </si>
  <si>
    <t>Metrics</t>
  </si>
  <si>
    <t>Model performance measures</t>
  </si>
  <si>
    <t>What measures of model performance are being reported, and why were they selected over other measures of model performance?</t>
  </si>
  <si>
    <t>Decision thresholds</t>
  </si>
  <si>
    <t>If decision thresholds are used, what are they, and why were those decision thresholds chosen?</t>
  </si>
  <si>
    <t>Variation approaches</t>
  </si>
  <si>
    <t>How are the measurements and estimations of these metrics calculated?</t>
  </si>
  <si>
    <t>Evaluation Data</t>
  </si>
  <si>
    <t>Datasets</t>
  </si>
  <si>
    <t>What datasets were used to evaluate the model?</t>
  </si>
  <si>
    <t>Motivation</t>
  </si>
  <si>
    <t>Why were these datasets chosen?</t>
  </si>
  <si>
    <t>Preprocessing</t>
  </si>
  <si>
    <t>How was the data preprocessed for evaluation?</t>
  </si>
  <si>
    <t>Training Data</t>
  </si>
  <si>
    <t>What datasets were used to train the model?</t>
  </si>
  <si>
    <t>How was the data preprocessed for training?</t>
  </si>
  <si>
    <t>Quantitative Analyses</t>
  </si>
  <si>
    <t>Unitary results</t>
  </si>
  <si>
    <t>How did the model perform with respect to each factor?</t>
  </si>
  <si>
    <t>Intersectional results</t>
  </si>
  <si>
    <t>How did the model perform with respect to the intersection of evaluated factors?</t>
  </si>
  <si>
    <t>Ethical Considerations</t>
  </si>
  <si>
    <t>Caveats and Recommendations</t>
  </si>
  <si>
    <t>This section should list additional concerns that were not covered in the previous sections.</t>
  </si>
  <si>
    <t>how to use model (model  input, model output, model use)</t>
  </si>
  <si>
    <t>discussion_url</t>
  </si>
  <si>
    <r>
      <rPr>
        <sz val="11"/>
        <rFont val="Arial"/>
        <family val="2"/>
      </rPr>
      <t xml:space="preserve">Is the correct link </t>
    </r>
    <r>
      <rPr>
        <u/>
        <sz val="11"/>
        <color rgb="FF1155CC"/>
        <rFont val="Arial"/>
        <family val="2"/>
      </rPr>
      <t>https://github.com/huggingface/transformers/tree/main/examples/research_projects/distillation?</t>
    </r>
  </si>
  <si>
    <r>
      <rPr>
        <sz val="11"/>
        <rFont val="Arial"/>
        <family val="2"/>
      </rPr>
      <t xml:space="preserve">LORA model or standard finetune? Is this model a 4-bit version of one of the lora trained versions like this one: </t>
    </r>
    <r>
      <rPr>
        <u/>
        <sz val="11"/>
        <color rgb="FF1155CC"/>
        <rFont val="Arial"/>
        <family val="2"/>
      </rPr>
      <t>https://huggingface.co/baseten/alpaca-30b</t>
    </r>
    <r>
      <rPr>
        <sz val="11"/>
        <rFont val="Arial"/>
        <family val="2"/>
      </rPr>
      <t xml:space="preserve"> Or is this trained with standard fine-tuning/training scripts?</t>
    </r>
  </si>
  <si>
    <r>
      <rPr>
        <sz val="11"/>
        <rFont val="Arial"/>
        <family val="2"/>
      </rPr>
      <t xml:space="preserve">LICENSE? Does it have the same license as the original model? Can it be put as a public model on </t>
    </r>
    <r>
      <rPr>
        <u/>
        <sz val="11"/>
        <color rgb="FF1155CC"/>
        <rFont val="Arial"/>
        <family val="2"/>
      </rPr>
      <t>Replicate.com?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</si>
</sst>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scheme val="minor"/>
    </font>
    <font>
      <sz val="11"/>
      <color theme="1"/>
      <name val="aptos narrow"/>
      <scheme val="minor"/>
    </font>
    <font>
      <sz val="11"/>
      <color theme="1"/>
      <name val="Arial"/>
    </font>
    <font>
      <sz val="11"/>
      <color rgb="FF000000"/>
      <name val="Arial"/>
    </font>
    <font>
      <b/>
      <sz val="11"/>
      <color theme="1"/>
      <name val="Arial"/>
    </font>
    <font>
      <u/>
      <sz val="11"/>
      <color rgb="FF0000FF"/>
      <name val="aptos narrow"/>
    </font>
    <font>
      <b/>
      <sz val="11"/>
      <color theme="1"/>
      <name val="Arial"/>
      <family val="2"/>
    </font>
    <font>
      <sz val="11"/>
      <color theme="1"/>
      <name val="Arial"/>
      <family val="2"/>
    </font>
    <font>
      <sz val="11"/>
      <color rgb="FF000000"/>
      <name val="Arial"/>
      <family val="2"/>
    </font>
    <font>
      <u/>
      <sz val="11"/>
      <color rgb="FF0000FF"/>
      <name val="Arial"/>
      <family val="2"/>
    </font>
    <font>
      <sz val="11"/>
      <name val="Arial"/>
      <family val="2"/>
    </font>
    <font>
      <u/>
      <sz val="11"/>
      <color rgb="FF1155CC"/>
      <name val="Arial"/>
      <family val="2"/>
    </font>
    <font>
      <u/>
      <sz val="11"/>
      <color rgb="FF467886"/>
      <name val="Arial"/>
      <family val="2"/>
    </font>
  </fonts>
  <fills count="7">
    <fill>
      <patternFill patternType="none"/>
    </fill>
    <fill>
      <patternFill patternType="gray125"/>
    </fill>
    <fill>
      <patternFill patternType="solid">
        <fgColor rgb="FFF4CCCC"/>
        <bgColor rgb="FFF4CCCC"/>
      </patternFill>
    </fill>
    <fill>
      <patternFill patternType="solid">
        <fgColor rgb="FFD9EAD3"/>
        <bgColor rgb="FFD9EAD3"/>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s>
  <borders count="2">
    <border>
      <left/>
      <right/>
      <top/>
      <bottom/>
      <diagonal/>
    </border>
    <border>
      <left/>
      <right/>
      <top/>
      <bottom style="thin">
        <color rgb="FF000000"/>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applyAlignment="1">
      <alignment horizontal="left"/>
    </xf>
    <xf numFmtId="0" fontId="2" fillId="3" borderId="0" xfId="0" applyFont="1" applyFill="1"/>
    <xf numFmtId="0" fontId="4" fillId="0" borderId="0" xfId="0" applyFont="1" applyAlignment="1">
      <alignment horizontal="center"/>
    </xf>
    <xf numFmtId="0" fontId="5" fillId="0" borderId="0" xfId="0" applyFont="1"/>
    <xf numFmtId="0" fontId="3" fillId="6" borderId="0" xfId="0" applyFont="1" applyFill="1"/>
    <xf numFmtId="0" fontId="6" fillId="0" borderId="0" xfId="0" applyFont="1" applyAlignment="1">
      <alignment horizontal="center"/>
    </xf>
    <xf numFmtId="0" fontId="7" fillId="0" borderId="0" xfId="0" applyFont="1"/>
    <xf numFmtId="0" fontId="8" fillId="0" borderId="0" xfId="0" applyFont="1" applyAlignment="1">
      <alignment horizontal="left"/>
    </xf>
    <xf numFmtId="0" fontId="7" fillId="0" borderId="1" xfId="0" applyFont="1" applyBorder="1"/>
    <xf numFmtId="0" fontId="7" fillId="2" borderId="0" xfId="0" applyFont="1" applyFill="1"/>
    <xf numFmtId="0" fontId="9" fillId="0" borderId="0" xfId="0" applyFont="1"/>
    <xf numFmtId="0" fontId="7" fillId="3" borderId="0" xfId="0" applyFont="1" applyFill="1"/>
    <xf numFmtId="0" fontId="6" fillId="0" borderId="0" xfId="0" applyFont="1" applyAlignment="1">
      <alignment horizontal="center" wrapText="1"/>
    </xf>
    <xf numFmtId="0" fontId="7" fillId="0" borderId="0" xfId="0" applyFont="1" applyAlignment="1">
      <alignment wrapText="1"/>
    </xf>
    <xf numFmtId="0" fontId="7" fillId="4" borderId="0" xfId="0" applyFont="1" applyFill="1"/>
    <xf numFmtId="0" fontId="7" fillId="4" borderId="0" xfId="0" applyFont="1" applyFill="1" applyAlignment="1">
      <alignment wrapText="1"/>
    </xf>
    <xf numFmtId="0" fontId="9" fillId="0" borderId="0" xfId="0" applyFont="1" applyAlignment="1">
      <alignment wrapText="1"/>
    </xf>
    <xf numFmtId="0" fontId="7" fillId="5" borderId="0" xfId="0" applyFont="1" applyFill="1"/>
    <xf numFmtId="0" fontId="7" fillId="5" borderId="0" xfId="0" applyFont="1" applyFill="1" applyAlignment="1">
      <alignment wrapText="1"/>
    </xf>
    <xf numFmtId="0" fontId="7" fillId="6" borderId="0" xfId="0" applyFont="1" applyFill="1"/>
    <xf numFmtId="0" fontId="7" fillId="6" borderId="0" xfId="0" applyFont="1" applyFill="1" applyAlignment="1">
      <alignment wrapText="1"/>
    </xf>
    <xf numFmtId="0" fontId="12" fillId="0" borderId="0" xfId="0" applyFont="1"/>
  </cellXfs>
  <cellStyles count="1">
    <cellStyle name="Normal" xfId="0" builtinId="0"/>
  </cellStyles>
  <dxfs count="4">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eplicate.com/?" TargetMode="External"/><Relationship Id="rId2" Type="http://schemas.openxmlformats.org/officeDocument/2006/relationships/hyperlink" Target="https://huggingface.co/baseten/alpaca-30b" TargetMode="External"/><Relationship Id="rId1" Type="http://schemas.openxmlformats.org/officeDocument/2006/relationships/hyperlink" Target="https://github.com/huggingface/transformers/tree/main/examples/research_projects/distillatio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huggingface.co/t5-base/discussions/14" TargetMode="External"/><Relationship Id="rId3" Type="http://schemas.openxmlformats.org/officeDocument/2006/relationships/hyperlink" Target="https://huggingface.co/microsoft/phi-1_5/discussions/55" TargetMode="External"/><Relationship Id="rId7" Type="http://schemas.openxmlformats.org/officeDocument/2006/relationships/hyperlink" Target="https://huggingface.co/t5-base/discussions/14" TargetMode="External"/><Relationship Id="rId2" Type="http://schemas.openxmlformats.org/officeDocument/2006/relationships/hyperlink" Target="https://huggingface.co/baseten/alpaca-30b" TargetMode="External"/><Relationship Id="rId1" Type="http://schemas.openxmlformats.org/officeDocument/2006/relationships/hyperlink" Target="https://github.com/huggingface/transformers/tree/main/examples/research_projects/distillation?" TargetMode="External"/><Relationship Id="rId6" Type="http://schemas.openxmlformats.org/officeDocument/2006/relationships/hyperlink" Target="http://replicate.com/?" TargetMode="External"/><Relationship Id="rId5" Type="http://schemas.openxmlformats.org/officeDocument/2006/relationships/hyperlink" Target="http://replicate.com/?" TargetMode="External"/><Relationship Id="rId10" Type="http://schemas.openxmlformats.org/officeDocument/2006/relationships/comments" Target="../comments2.xml"/><Relationship Id="rId4" Type="http://schemas.openxmlformats.org/officeDocument/2006/relationships/hyperlink" Target="https://huggingface.co/microsoft/phi-1_5/discussions/55"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ggingface.co/h94/IP-Adapter-FaceID/discussions/20" TargetMode="External"/><Relationship Id="rId299" Type="http://schemas.openxmlformats.org/officeDocument/2006/relationships/hyperlink" Target="https://huggingface.co/TheBloke/Mistral-7B-Instruct-v0.2-GGUF/discussions/6" TargetMode="External"/><Relationship Id="rId21" Type="http://schemas.openxmlformats.org/officeDocument/2006/relationships/hyperlink" Target="https://huggingface.co/bigcode/starcoder/discussions/102" TargetMode="External"/><Relationship Id="rId63" Type="http://schemas.openxmlformats.org/officeDocument/2006/relationships/hyperlink" Target="https://huggingface.co/d4data/biomedical-ner-all/discussions/6" TargetMode="External"/><Relationship Id="rId159" Type="http://schemas.openxmlformats.org/officeDocument/2006/relationships/hyperlink" Target="https://huggingface.co/machinists/Mistral-7B-SQL/discussions/3" TargetMode="External"/><Relationship Id="rId324" Type="http://schemas.openxmlformats.org/officeDocument/2006/relationships/hyperlink" Target="https://huggingface.co/thibaud/controlnet-sd21-openposev2-diffusers/discussions/1" TargetMode="External"/><Relationship Id="rId366" Type="http://schemas.openxmlformats.org/officeDocument/2006/relationships/hyperlink" Target="https://huggingface.co/wojtab/llava-7b-v0-4bit-128g/discussions/2" TargetMode="External"/><Relationship Id="rId170" Type="http://schemas.openxmlformats.org/officeDocument/2006/relationships/hyperlink" Target="https://huggingface.co/microsoft/phi-1_5/discussions/55" TargetMode="External"/><Relationship Id="rId226" Type="http://schemas.openxmlformats.org/officeDocument/2006/relationships/hyperlink" Target="https://huggingface.co/patrickjohncyh/fashion-clip/discussions/12" TargetMode="External"/><Relationship Id="rId268" Type="http://schemas.openxmlformats.org/officeDocument/2006/relationships/hyperlink" Target="https://huggingface.co/stabilityai/stable-diffusion-xl-base-1.0/discussions/32" TargetMode="External"/><Relationship Id="rId32" Type="http://schemas.openxmlformats.org/officeDocument/2006/relationships/hyperlink" Target="https://huggingface.co/bigscience/bloom/discussions/83" TargetMode="External"/><Relationship Id="rId74" Type="http://schemas.openxmlformats.org/officeDocument/2006/relationships/hyperlink" Target="https://huggingface.co/deepset/xlm-roberta-large-squad2/discussions/6" TargetMode="External"/><Relationship Id="rId128" Type="http://schemas.openxmlformats.org/officeDocument/2006/relationships/hyperlink" Target="https://huggingface.co/HuggingFaceH4/starchat-beta/discussions/15" TargetMode="External"/><Relationship Id="rId335" Type="http://schemas.openxmlformats.org/officeDocument/2006/relationships/hyperlink" Target="https://huggingface.co/tiiuae/falcon-7b-instruct/discussions/15" TargetMode="External"/><Relationship Id="rId5" Type="http://schemas.openxmlformats.org/officeDocument/2006/relationships/hyperlink" Target="https://huggingface.co/ahmedrachid/FinancialBERT-Sentiment-Analysis/discussions/4" TargetMode="External"/><Relationship Id="rId181" Type="http://schemas.openxmlformats.org/officeDocument/2006/relationships/hyperlink" Target="https://huggingface.co/mistralai/Mistral-7B-Instruct-v0.1/discussions/12" TargetMode="External"/><Relationship Id="rId237" Type="http://schemas.openxmlformats.org/officeDocument/2006/relationships/hyperlink" Target="https://huggingface.co/rickRossie/hermes-limarp-13b-merged/discussions/1" TargetMode="External"/><Relationship Id="rId279" Type="http://schemas.openxmlformats.org/officeDocument/2006/relationships/hyperlink" Target="https://huggingface.co/t5-base/discussions/21" TargetMode="External"/><Relationship Id="rId43" Type="http://schemas.openxmlformats.org/officeDocument/2006/relationships/hyperlink" Target="https://huggingface.co/CobraMamba/mamba-gpt-3b-v3/discussions/4" TargetMode="External"/><Relationship Id="rId139" Type="http://schemas.openxmlformats.org/officeDocument/2006/relationships/hyperlink" Target="https://huggingface.co/jondurbin/airoboros-13b/discussions/5" TargetMode="External"/><Relationship Id="rId290" Type="http://schemas.openxmlformats.org/officeDocument/2006/relationships/hyperlink" Target="https://huggingface.co/TheBloke/koala-7B-GPTQ/discussions/5" TargetMode="External"/><Relationship Id="rId304" Type="http://schemas.openxmlformats.org/officeDocument/2006/relationships/hyperlink" Target="https://huggingface.co/TheBloke/Open_Gpt4_8x7B-GPTQ/discussions/1" TargetMode="External"/><Relationship Id="rId346" Type="http://schemas.openxmlformats.org/officeDocument/2006/relationships/hyperlink" Target="https://huggingface.co/Trelis/Llama-2-7b-chat-hf-hosted-inference-8bit/discussions/3" TargetMode="External"/><Relationship Id="rId85" Type="http://schemas.openxmlformats.org/officeDocument/2006/relationships/hyperlink" Target="https://huggingface.co/EleutherAI/gpt-neox-20b/discussions/15" TargetMode="External"/><Relationship Id="rId150" Type="http://schemas.openxmlformats.org/officeDocument/2006/relationships/hyperlink" Target="https://huggingface.co/laion/CLIP-ViT-B-32-xlm-roberta-base-laion5B-s13B-b90k/discussions/2" TargetMode="External"/><Relationship Id="rId192" Type="http://schemas.openxmlformats.org/officeDocument/2006/relationships/hyperlink" Target="https://huggingface.co/mosaicml/mpt-7b/discussions/67" TargetMode="External"/><Relationship Id="rId206" Type="http://schemas.openxmlformats.org/officeDocument/2006/relationships/hyperlink" Target="https://huggingface.co/NousResearch/Nous-Hermes-Llama2-13b/discussions/6" TargetMode="External"/><Relationship Id="rId248" Type="http://schemas.openxmlformats.org/officeDocument/2006/relationships/hyperlink" Target="https://huggingface.co/sayakpaul/sd-model-finetuned-lora-t4/discussions/1" TargetMode="External"/><Relationship Id="rId12" Type="http://schemas.openxmlformats.org/officeDocument/2006/relationships/hyperlink" Target="https://huggingface.co/BAAI/bge-reranker-large/discussions/7" TargetMode="External"/><Relationship Id="rId108" Type="http://schemas.openxmlformats.org/officeDocument/2006/relationships/hyperlink" Target="https://huggingface.co/google/flan-t5-xl/discussions/14" TargetMode="External"/><Relationship Id="rId315" Type="http://schemas.openxmlformats.org/officeDocument/2006/relationships/hyperlink" Target="https://huggingface.co/TheBloke/Wizard-Vicuna-30B-Uncensored-GPTQ/discussions/15" TargetMode="External"/><Relationship Id="rId357" Type="http://schemas.openxmlformats.org/officeDocument/2006/relationships/hyperlink" Target="https://huggingface.co/VietnamAIHub/LLaMA2_Vietnamese_Medical_SFT_13B/discussions/1" TargetMode="External"/><Relationship Id="rId54" Type="http://schemas.openxmlformats.org/officeDocument/2006/relationships/hyperlink" Target="https://huggingface.co/core42/jais-13b-chat/discussions/11" TargetMode="External"/><Relationship Id="rId96" Type="http://schemas.openxmlformats.org/officeDocument/2006/relationships/hyperlink" Target="https://huggingface.co/facebook/mms-1b-all/discussions/4" TargetMode="External"/><Relationship Id="rId161" Type="http://schemas.openxmlformats.org/officeDocument/2006/relationships/hyperlink" Target="https://huggingface.co/mayaeary/pygmalion-6b_dev-4bit-128g/discussions/6" TargetMode="External"/><Relationship Id="rId217" Type="http://schemas.openxmlformats.org/officeDocument/2006/relationships/hyperlink" Target="https://huggingface.co/openai-community/openai-gpt/discussions/2" TargetMode="External"/><Relationship Id="rId259" Type="http://schemas.openxmlformats.org/officeDocument/2006/relationships/hyperlink" Target="https://huggingface.co/sophosympatheia/Rogue-Rose-103b-v0.2/discussions/4" TargetMode="External"/><Relationship Id="rId23" Type="http://schemas.openxmlformats.org/officeDocument/2006/relationships/hyperlink" Target="https://huggingface.co/bigcode/starcoder/discussions/49" TargetMode="External"/><Relationship Id="rId119" Type="http://schemas.openxmlformats.org/officeDocument/2006/relationships/hyperlink" Target="https://huggingface.co/hakurei/waifu-diffusion/discussions/28" TargetMode="External"/><Relationship Id="rId270" Type="http://schemas.openxmlformats.org/officeDocument/2006/relationships/hyperlink" Target="https://huggingface.co/stabilityai/StableBeluga-13B/discussions/4" TargetMode="External"/><Relationship Id="rId326" Type="http://schemas.openxmlformats.org/officeDocument/2006/relationships/hyperlink" Target="https://huggingface.co/thibaud/controlnet-sd21/discussions/41" TargetMode="External"/><Relationship Id="rId65" Type="http://schemas.openxmlformats.org/officeDocument/2006/relationships/hyperlink" Target="https://huggingface.co/darkstorm2150/Protogen_v2.2_Official_Release/discussions/14" TargetMode="External"/><Relationship Id="rId130" Type="http://schemas.openxmlformats.org/officeDocument/2006/relationships/hyperlink" Target="https://huggingface.co/iambestfeed/open_llama_3b_4bit_128g/discussions/1" TargetMode="External"/><Relationship Id="rId368" Type="http://schemas.openxmlformats.org/officeDocument/2006/relationships/hyperlink" Target="https://huggingface.co/ycros/airoboros-65b-gpt4-1.4.1-PI-8192-4bit-32g-actorder/discussions/1" TargetMode="External"/><Relationship Id="rId172" Type="http://schemas.openxmlformats.org/officeDocument/2006/relationships/hyperlink" Target="https://huggingface.co/microsoft/phi-2/discussions/52" TargetMode="External"/><Relationship Id="rId228" Type="http://schemas.openxmlformats.org/officeDocument/2006/relationships/hyperlink" Target="https://huggingface.co/Phind/Phind-CodeLlama-34B-v2/discussions/6" TargetMode="External"/><Relationship Id="rId281" Type="http://schemas.openxmlformats.org/officeDocument/2006/relationships/hyperlink" Target="https://huggingface.co/TehVenom/Pygmalion-Vicuna-1.1-7b/discussions/5" TargetMode="External"/><Relationship Id="rId337" Type="http://schemas.openxmlformats.org/officeDocument/2006/relationships/hyperlink" Target="https://huggingface.co/tiiuae/falcon-rw-1b/discussions/8" TargetMode="External"/><Relationship Id="rId34" Type="http://schemas.openxmlformats.org/officeDocument/2006/relationships/hyperlink" Target="https://huggingface.co/bigscience/bloomz/discussions/38" TargetMode="External"/><Relationship Id="rId76" Type="http://schemas.openxmlformats.org/officeDocument/2006/relationships/hyperlink" Target="https://huggingface.co/diffusers/controlnet-canny-sdxl-1.0/discussions/21" TargetMode="External"/><Relationship Id="rId141" Type="http://schemas.openxmlformats.org/officeDocument/2006/relationships/hyperlink" Target="https://huggingface.co/jondurbin/airoboros-l2-7b-gpt4-1.4.1/discussions/1" TargetMode="External"/><Relationship Id="rId7" Type="http://schemas.openxmlformats.org/officeDocument/2006/relationships/hyperlink" Target="https://huggingface.co/anon8231489123/gpt4-x-alpaca-13b-native-4bit-128g/discussions/12" TargetMode="External"/><Relationship Id="rId183" Type="http://schemas.openxmlformats.org/officeDocument/2006/relationships/hyperlink" Target="https://huggingface.co/mistralai/Mistral-7B-v0.1/discussions/37" TargetMode="External"/><Relationship Id="rId239" Type="http://schemas.openxmlformats.org/officeDocument/2006/relationships/hyperlink" Target="https://huggingface.co/royallab/Rose-20B-exl2/discussions/1" TargetMode="External"/><Relationship Id="rId250" Type="http://schemas.openxmlformats.org/officeDocument/2006/relationships/hyperlink" Target="https://huggingface.co/sdadas/polish-longformer-base-4096/discussions/1" TargetMode="External"/><Relationship Id="rId292" Type="http://schemas.openxmlformats.org/officeDocument/2006/relationships/hyperlink" Target="https://huggingface.co/TheBloke/Llama-2-13B-chat-GPTQ/discussions/18" TargetMode="External"/><Relationship Id="rId306" Type="http://schemas.openxmlformats.org/officeDocument/2006/relationships/hyperlink" Target="https://huggingface.co/TheBloke/SOLARC-MOE-10.7Bx4-GGUF/discussions/1" TargetMode="External"/><Relationship Id="rId45" Type="http://schemas.openxmlformats.org/officeDocument/2006/relationships/hyperlink" Target="https://huggingface.co/codellama/CodeLlama-34b-Instruct-hf/discussions/16" TargetMode="External"/><Relationship Id="rId87" Type="http://schemas.openxmlformats.org/officeDocument/2006/relationships/hyperlink" Target="https://huggingface.co/elinas/chronos-13b-v2/discussions/2" TargetMode="External"/><Relationship Id="rId110" Type="http://schemas.openxmlformats.org/officeDocument/2006/relationships/hyperlink" Target="https://huggingface.co/google/pix2struct-docvqa-base/discussions/1" TargetMode="External"/><Relationship Id="rId348" Type="http://schemas.openxmlformats.org/officeDocument/2006/relationships/hyperlink" Target="https://huggingface.co/tuner007/pegasus_paraphrase/discussions/12" TargetMode="External"/><Relationship Id="rId152" Type="http://schemas.openxmlformats.org/officeDocument/2006/relationships/hyperlink" Target="https://huggingface.co/latent-consistency/lcm-lora-sdxl/discussions/11" TargetMode="External"/><Relationship Id="rId194" Type="http://schemas.openxmlformats.org/officeDocument/2006/relationships/hyperlink" Target="https://huggingface.co/mrm8488/llama-2-coder-7b/discussions/1" TargetMode="External"/><Relationship Id="rId208" Type="http://schemas.openxmlformats.org/officeDocument/2006/relationships/hyperlink" Target="https://huggingface.co/nsfwthrowitaway69/Venus-120b-v1.1/discussions/2" TargetMode="External"/><Relationship Id="rId261" Type="http://schemas.openxmlformats.org/officeDocument/2006/relationships/hyperlink" Target="https://huggingface.co/stabilityai/sd-x2-latent-upscaler/discussions/2" TargetMode="External"/><Relationship Id="rId14" Type="http://schemas.openxmlformats.org/officeDocument/2006/relationships/hyperlink" Target="https://huggingface.co/benjamin/roberta-base-wechsel-german/discussions/1" TargetMode="External"/><Relationship Id="rId56" Type="http://schemas.openxmlformats.org/officeDocument/2006/relationships/hyperlink" Target="https://huggingface.co/ctheodoris/Geneformer/discussions/101" TargetMode="External"/><Relationship Id="rId317" Type="http://schemas.openxmlformats.org/officeDocument/2006/relationships/hyperlink" Target="https://huggingface.co/TheBloke/WizardCoder-15B-1.0-GPTQ/discussions/14" TargetMode="External"/><Relationship Id="rId359" Type="http://schemas.openxmlformats.org/officeDocument/2006/relationships/hyperlink" Target="https://huggingface.co/WarriorMama777/OrangeMixs/discussions/32" TargetMode="External"/><Relationship Id="rId98" Type="http://schemas.openxmlformats.org/officeDocument/2006/relationships/hyperlink" Target="https://huggingface.co/facebook/roberta-hate-speech-dynabench-r4-target/discussions/2" TargetMode="External"/><Relationship Id="rId121" Type="http://schemas.openxmlformats.org/officeDocument/2006/relationships/hyperlink" Target="https://huggingface.co/Helsinki-NLP/opus-mt-ROMANCE-en/discussions/3" TargetMode="External"/><Relationship Id="rId163" Type="http://schemas.openxmlformats.org/officeDocument/2006/relationships/hyperlink" Target="https://huggingface.co/MetaIX/Alpaca-30B-Int4/discussions/1" TargetMode="External"/><Relationship Id="rId219" Type="http://schemas.openxmlformats.org/officeDocument/2006/relationships/hyperlink" Target="https://huggingface.co/openai/whisper-large-v3/discussions/60" TargetMode="External"/><Relationship Id="rId370" Type="http://schemas.openxmlformats.org/officeDocument/2006/relationships/hyperlink" Target="https://huggingface.co/zaq-hack/Noromaid-v0.4-Mixtral-Instruct-8x7b-Zloss-bpw300-h6-exl2/discussions/2" TargetMode="External"/><Relationship Id="rId230" Type="http://schemas.openxmlformats.org/officeDocument/2006/relationships/hyperlink" Target="https://huggingface.co/prompthero/openjourney/discussions/52" TargetMode="External"/><Relationship Id="rId25" Type="http://schemas.openxmlformats.org/officeDocument/2006/relationships/hyperlink" Target="https://huggingface.co/bigcode/starcoder/discussions/79" TargetMode="External"/><Relationship Id="rId67" Type="http://schemas.openxmlformats.org/officeDocument/2006/relationships/hyperlink" Target="https://huggingface.co/databricks/dolly-v2-12b/discussions/24" TargetMode="External"/><Relationship Id="rId272" Type="http://schemas.openxmlformats.org/officeDocument/2006/relationships/hyperlink" Target="https://huggingface.co/stabilityai/stablecode-instruct-alpha-3b/discussions/13" TargetMode="External"/><Relationship Id="rId328" Type="http://schemas.openxmlformats.org/officeDocument/2006/relationships/hyperlink" Target="https://huggingface.co/THUDM/cogagent-vqa-hf/discussions/2" TargetMode="External"/><Relationship Id="rId132" Type="http://schemas.openxmlformats.org/officeDocument/2006/relationships/hyperlink" Target="https://huggingface.co/intfloat/e5-large-v2/discussions/13" TargetMode="External"/><Relationship Id="rId174" Type="http://schemas.openxmlformats.org/officeDocument/2006/relationships/hyperlink" Target="https://huggingface.co/microsoft/phi-2/discussions/83" TargetMode="External"/><Relationship Id="rId241" Type="http://schemas.openxmlformats.org/officeDocument/2006/relationships/hyperlink" Target="https://huggingface.co/runwayml/stable-diffusion-v1-5/discussions/24" TargetMode="External"/><Relationship Id="rId15" Type="http://schemas.openxmlformats.org/officeDocument/2006/relationships/hyperlink" Target="https://huggingface.co/berkeley-nest/Starling-LM-7B-alpha/discussions/26" TargetMode="External"/><Relationship Id="rId36" Type="http://schemas.openxmlformats.org/officeDocument/2006/relationships/hyperlink" Target="https://huggingface.co/bigscience/bloomz/discussions/44" TargetMode="External"/><Relationship Id="rId57" Type="http://schemas.openxmlformats.org/officeDocument/2006/relationships/hyperlink" Target="https://huggingface.co/ctheodoris/Geneformer/discussions/207" TargetMode="External"/><Relationship Id="rId262" Type="http://schemas.openxmlformats.org/officeDocument/2006/relationships/hyperlink" Target="https://huggingface.co/stabilityai/sdxl-turbo/discussions/6" TargetMode="External"/><Relationship Id="rId283" Type="http://schemas.openxmlformats.org/officeDocument/2006/relationships/hyperlink" Target="https://huggingface.co/TheBloke/Capybara-Tess-Yi-34B-200K-GGUF/discussions/1" TargetMode="External"/><Relationship Id="rId318" Type="http://schemas.openxmlformats.org/officeDocument/2006/relationships/hyperlink" Target="https://huggingface.co/TheBloke/WizardCoder-Python-34B-V1.0-GGUF/discussions/5" TargetMode="External"/><Relationship Id="rId339" Type="http://schemas.openxmlformats.org/officeDocument/2006/relationships/hyperlink" Target="https://huggingface.co/TinyLlama/TinyLlama-1.1B-Chat-v1.0/discussions/9" TargetMode="External"/><Relationship Id="rId78" Type="http://schemas.openxmlformats.org/officeDocument/2006/relationships/hyperlink" Target="https://huggingface.co/distilbert-base-uncased/discussions/2" TargetMode="External"/><Relationship Id="rId99" Type="http://schemas.openxmlformats.org/officeDocument/2006/relationships/hyperlink" Target="https://huggingface.co/facebook/xm_transformer_s2ut_hk-en/discussions/1" TargetMode="External"/><Relationship Id="rId101" Type="http://schemas.openxmlformats.org/officeDocument/2006/relationships/hyperlink" Target="https://huggingface.co/flashvenom/Airoboros-13B-SuperHOT-8K-4bit-GPTQ/discussions/2" TargetMode="External"/><Relationship Id="rId122" Type="http://schemas.openxmlformats.org/officeDocument/2006/relationships/hyperlink" Target="https://huggingface.co/Helsinki-NLP/opus-mt-zh-en/discussions/11" TargetMode="External"/><Relationship Id="rId143" Type="http://schemas.openxmlformats.org/officeDocument/2006/relationships/hyperlink" Target="https://huggingface.co/jondurbin/airocoder-34b-2.1/discussions/1" TargetMode="External"/><Relationship Id="rId164" Type="http://schemas.openxmlformats.org/officeDocument/2006/relationships/hyperlink" Target="https://huggingface.co/michaelfeil/ct2fast-Llama-2-7b-chat-hf/discussions/2" TargetMode="External"/><Relationship Id="rId185" Type="http://schemas.openxmlformats.org/officeDocument/2006/relationships/hyperlink" Target="https://huggingface.co/mistralai/Mistral-7B-v0.1/discussions/53" TargetMode="External"/><Relationship Id="rId350" Type="http://schemas.openxmlformats.org/officeDocument/2006/relationships/hyperlink" Target="https://huggingface.co/uklfr/gottbert-base/discussions/2" TargetMode="External"/><Relationship Id="rId371" Type="http://schemas.openxmlformats.org/officeDocument/2006/relationships/hyperlink" Target="https://huggingface.co/zarakiquemparte/zarablend-1.1-l2-7b/discussions/1" TargetMode="External"/><Relationship Id="rId9" Type="http://schemas.openxmlformats.org/officeDocument/2006/relationships/hyperlink" Target="https://huggingface.co/anon8231489123/vicuna-13b-GPTQ-4bit-128g/discussions/47" TargetMode="External"/><Relationship Id="rId210" Type="http://schemas.openxmlformats.org/officeDocument/2006/relationships/hyperlink" Target="https://huggingface.co/nvidia/nemotron-3-8b-chat-4k-rlhf/discussions/2" TargetMode="External"/><Relationship Id="rId26" Type="http://schemas.openxmlformats.org/officeDocument/2006/relationships/hyperlink" Target="https://huggingface.co/bigcode/starcoder/discussions/80" TargetMode="External"/><Relationship Id="rId231" Type="http://schemas.openxmlformats.org/officeDocument/2006/relationships/hyperlink" Target="https://huggingface.co/PygmalionAI/pygmalion-6b/discussions/40" TargetMode="External"/><Relationship Id="rId252" Type="http://schemas.openxmlformats.org/officeDocument/2006/relationships/hyperlink" Target="https://huggingface.co/segmind/SSD-1B/discussions/10" TargetMode="External"/><Relationship Id="rId273" Type="http://schemas.openxmlformats.org/officeDocument/2006/relationships/hyperlink" Target="https://huggingface.co/stabilityai/stablelm-zephyr-3b/discussions/12" TargetMode="External"/><Relationship Id="rId294" Type="http://schemas.openxmlformats.org/officeDocument/2006/relationships/hyperlink" Target="https://huggingface.co/TheBloke/Llama-2-70B-Chat-AWQ/discussions/1" TargetMode="External"/><Relationship Id="rId308" Type="http://schemas.openxmlformats.org/officeDocument/2006/relationships/hyperlink" Target="https://huggingface.co/TheBloke/Synthia-MoE-v3-Mixtral-8x7B-GPTQ/discussions/2" TargetMode="External"/><Relationship Id="rId329" Type="http://schemas.openxmlformats.org/officeDocument/2006/relationships/hyperlink" Target="https://huggingface.co/THUDM/cogvlm-grounding-generalist-hf/discussions/3" TargetMode="External"/><Relationship Id="rId47" Type="http://schemas.openxmlformats.org/officeDocument/2006/relationships/hyperlink" Target="https://huggingface.co/cognitivecomputations/dolphin-2.2-mistral-7b/discussions/1" TargetMode="External"/><Relationship Id="rId68" Type="http://schemas.openxmlformats.org/officeDocument/2006/relationships/hyperlink" Target="https://huggingface.co/databricks/dolly-v2-3b/discussions/15" TargetMode="External"/><Relationship Id="rId89" Type="http://schemas.openxmlformats.org/officeDocument/2006/relationships/hyperlink" Target="https://huggingface.co/emre/whisper-medium-turkish-2/discussions/5" TargetMode="External"/><Relationship Id="rId112" Type="http://schemas.openxmlformats.org/officeDocument/2006/relationships/hyperlink" Target="https://huggingface.co/Gryphe/MythoLogic-13b/discussions/2" TargetMode="External"/><Relationship Id="rId133" Type="http://schemas.openxmlformats.org/officeDocument/2006/relationships/hyperlink" Target="https://huggingface.co/ise-uiuc/Magicoder-S-DS-6.7B/discussions/4" TargetMode="External"/><Relationship Id="rId154" Type="http://schemas.openxmlformats.org/officeDocument/2006/relationships/hyperlink" Target="https://huggingface.co/llm-agents/tora-70b-v1.0/discussions/1" TargetMode="External"/><Relationship Id="rId175" Type="http://schemas.openxmlformats.org/officeDocument/2006/relationships/hyperlink" Target="https://huggingface.co/microsoft/phi-2/discussions/93" TargetMode="External"/><Relationship Id="rId340" Type="http://schemas.openxmlformats.org/officeDocument/2006/relationships/hyperlink" Target="https://huggingface.co/TinyLlama/TinyLlama-1.1B-step-50K-105b/discussions/5" TargetMode="External"/><Relationship Id="rId361" Type="http://schemas.openxmlformats.org/officeDocument/2006/relationships/hyperlink" Target="https://huggingface.co/WarriorMama777/OrangeMixs/discussions/7" TargetMode="External"/><Relationship Id="rId196" Type="http://schemas.openxmlformats.org/officeDocument/2006/relationships/hyperlink" Target="https://huggingface.co/naclbit/trinart_characters_19.2m_stable_diffusion_v1/discussions/5" TargetMode="External"/><Relationship Id="rId200" Type="http://schemas.openxmlformats.org/officeDocument/2006/relationships/hyperlink" Target="https://huggingface.co/nferruz/ProtGPT2/discussions/17" TargetMode="External"/><Relationship Id="rId16" Type="http://schemas.openxmlformats.org/officeDocument/2006/relationships/hyperlink" Target="https://huggingface.co/berker/vicuna-13B-1.1-GPTQ-3bit-128g-v2/discussions/1" TargetMode="External"/><Relationship Id="rId221" Type="http://schemas.openxmlformats.org/officeDocument/2006/relationships/hyperlink" Target="https://huggingface.co/openchat/openchat_8192/discussions/2" TargetMode="External"/><Relationship Id="rId242" Type="http://schemas.openxmlformats.org/officeDocument/2006/relationships/hyperlink" Target="https://huggingface.co/rustformers/mpt-7b-ggml/discussions/3" TargetMode="External"/><Relationship Id="rId263" Type="http://schemas.openxmlformats.org/officeDocument/2006/relationships/hyperlink" Target="https://huggingface.co/stabilityai/stable-diffusion-2-depth/discussions/6" TargetMode="External"/><Relationship Id="rId284" Type="http://schemas.openxmlformats.org/officeDocument/2006/relationships/hyperlink" Target="https://huggingface.co/TheBloke/CodeLlama-13B-Instruct-GGUF/discussions/1" TargetMode="External"/><Relationship Id="rId319" Type="http://schemas.openxmlformats.org/officeDocument/2006/relationships/hyperlink" Target="https://huggingface.co/TheBloke/WizardLM-1.0-Uncensored-Llama2-13B-GGML/discussions/1" TargetMode="External"/><Relationship Id="rId37" Type="http://schemas.openxmlformats.org/officeDocument/2006/relationships/hyperlink" Target="https://huggingface.co/bigscience/mt0-small/discussions/5" TargetMode="External"/><Relationship Id="rId58" Type="http://schemas.openxmlformats.org/officeDocument/2006/relationships/hyperlink" Target="https://huggingface.co/ctheodoris/Geneformer/discussions/232" TargetMode="External"/><Relationship Id="rId79" Type="http://schemas.openxmlformats.org/officeDocument/2006/relationships/hyperlink" Target="https://huggingface.co/dmis-lab/biobert-v1.1/discussions/6" TargetMode="External"/><Relationship Id="rId102" Type="http://schemas.openxmlformats.org/officeDocument/2006/relationships/hyperlink" Target="https://huggingface.co/flax-community/papuGaPT2/discussions/2" TargetMode="External"/><Relationship Id="rId123" Type="http://schemas.openxmlformats.org/officeDocument/2006/relationships/hyperlink" Target="https://huggingface.co/Henk717/chronoboros-33B/discussions/1" TargetMode="External"/><Relationship Id="rId144" Type="http://schemas.openxmlformats.org/officeDocument/2006/relationships/hyperlink" Target="https://huggingface.co/kalpeshk2011/rankgen-t5-xl-pg19/discussions/2" TargetMode="External"/><Relationship Id="rId330" Type="http://schemas.openxmlformats.org/officeDocument/2006/relationships/hyperlink" Target="https://huggingface.co/THUDM/visualglm-6b/discussions/1" TargetMode="External"/><Relationship Id="rId90" Type="http://schemas.openxmlformats.org/officeDocument/2006/relationships/hyperlink" Target="https://huggingface.co/facebook/bart-large-mnli/discussions/1" TargetMode="External"/><Relationship Id="rId165" Type="http://schemas.openxmlformats.org/officeDocument/2006/relationships/hyperlink" Target="https://huggingface.co/microsoft/biogpt/discussions/6" TargetMode="External"/><Relationship Id="rId186" Type="http://schemas.openxmlformats.org/officeDocument/2006/relationships/hyperlink" Target="https://huggingface.co/mistralai/Mixtral-8x7B-Instruct-v0.1/discussions/28" TargetMode="External"/><Relationship Id="rId351" Type="http://schemas.openxmlformats.org/officeDocument/2006/relationships/hyperlink" Target="https://huggingface.co/Undi95/ReMM-L2-13B-v1/discussions/1" TargetMode="External"/><Relationship Id="rId211" Type="http://schemas.openxmlformats.org/officeDocument/2006/relationships/hyperlink" Target="https://huggingface.co/nvidia/segformer-b0-finetuned-ade-512-512/discussions/8" TargetMode="External"/><Relationship Id="rId232" Type="http://schemas.openxmlformats.org/officeDocument/2006/relationships/hyperlink" Target="https://huggingface.co/Qwen/Qwen-7B-Chat/discussions/28" TargetMode="External"/><Relationship Id="rId253" Type="http://schemas.openxmlformats.org/officeDocument/2006/relationships/hyperlink" Target="https://huggingface.co/segmind/SSD-1B/discussions/38" TargetMode="External"/><Relationship Id="rId274" Type="http://schemas.openxmlformats.org/officeDocument/2006/relationships/hyperlink" Target="https://huggingface.co/starmpcc/Asclepius-13B/discussions/1" TargetMode="External"/><Relationship Id="rId295" Type="http://schemas.openxmlformats.org/officeDocument/2006/relationships/hyperlink" Target="https://huggingface.co/TheBloke/Llama-2-70B-Chat-GPTQ/discussions/5" TargetMode="External"/><Relationship Id="rId309" Type="http://schemas.openxmlformats.org/officeDocument/2006/relationships/hyperlink" Target="https://huggingface.co/TheBloke/tulu-7B-GPTQ/discussions/1" TargetMode="External"/><Relationship Id="rId27" Type="http://schemas.openxmlformats.org/officeDocument/2006/relationships/hyperlink" Target="https://huggingface.co/bigcode/starcoderbase/discussions/10" TargetMode="External"/><Relationship Id="rId48" Type="http://schemas.openxmlformats.org/officeDocument/2006/relationships/hyperlink" Target="https://huggingface.co/cognitivecomputations/dolphin-2.5-mixtral-8x7b/discussions/10" TargetMode="External"/><Relationship Id="rId69" Type="http://schemas.openxmlformats.org/officeDocument/2006/relationships/hyperlink" Target="https://huggingface.co/databricks/dolly-v2-7b/discussions/5" TargetMode="External"/><Relationship Id="rId113" Type="http://schemas.openxmlformats.org/officeDocument/2006/relationships/hyperlink" Target="https://huggingface.co/Gryphe/MythoMax-L2-13b/discussions/19" TargetMode="External"/><Relationship Id="rId134" Type="http://schemas.openxmlformats.org/officeDocument/2006/relationships/hyperlink" Target="https://huggingface.co/j-hartmann/emotion-english-distilroberta-base/discussions/8" TargetMode="External"/><Relationship Id="rId320" Type="http://schemas.openxmlformats.org/officeDocument/2006/relationships/hyperlink" Target="https://huggingface.co/TheBloke/WizardLM-13B-V1.2-GPTQ/discussions/1" TargetMode="External"/><Relationship Id="rId80" Type="http://schemas.openxmlformats.org/officeDocument/2006/relationships/hyperlink" Target="https://huggingface.co/dominguesm/positive-reframing-ptbr/discussions/1" TargetMode="External"/><Relationship Id="rId155" Type="http://schemas.openxmlformats.org/officeDocument/2006/relationships/hyperlink" Target="https://huggingface.co/llmware/bling-sheared-llama-2.7b-0.1/discussions/1" TargetMode="External"/><Relationship Id="rId176" Type="http://schemas.openxmlformats.org/officeDocument/2006/relationships/hyperlink" Target="https://huggingface.co/microsoft/swin-large-patch4-window12-384-in22k/discussions/1" TargetMode="External"/><Relationship Id="rId197" Type="http://schemas.openxmlformats.org/officeDocument/2006/relationships/hyperlink" Target="https://huggingface.co/neulab/codebert-python/discussions/2" TargetMode="External"/><Relationship Id="rId341" Type="http://schemas.openxmlformats.org/officeDocument/2006/relationships/hyperlink" Target="https://huggingface.co/togethercomputer/GPT-JT-6B-v1/discussions/17" TargetMode="External"/><Relationship Id="rId362" Type="http://schemas.openxmlformats.org/officeDocument/2006/relationships/hyperlink" Target="https://huggingface.co/WarriorMama777/OrangeMixs/discussions/81" TargetMode="External"/><Relationship Id="rId201" Type="http://schemas.openxmlformats.org/officeDocument/2006/relationships/hyperlink" Target="https://huggingface.co/nferruz/ProtGPT2/discussions/3" TargetMode="External"/><Relationship Id="rId222" Type="http://schemas.openxmlformats.org/officeDocument/2006/relationships/hyperlink" Target="https://huggingface.co/openlm-research/open_llama_7b/discussions/3" TargetMode="External"/><Relationship Id="rId243" Type="http://schemas.openxmlformats.org/officeDocument/2006/relationships/hyperlink" Target="https://huggingface.co/Salesforce/codegen2-7B/discussions/1" TargetMode="External"/><Relationship Id="rId264" Type="http://schemas.openxmlformats.org/officeDocument/2006/relationships/hyperlink" Target="https://huggingface.co/stabilityai/stable-diffusion-2/discussions/65" TargetMode="External"/><Relationship Id="rId285" Type="http://schemas.openxmlformats.org/officeDocument/2006/relationships/hyperlink" Target="https://huggingface.co/TheBloke/DiscoLM-mixtral-8x7b-v2-GPTQ/discussions/1" TargetMode="External"/><Relationship Id="rId17" Type="http://schemas.openxmlformats.org/officeDocument/2006/relationships/hyperlink" Target="https://huggingface.co/bert-base-uncased/discussions/6" TargetMode="External"/><Relationship Id="rId38" Type="http://schemas.openxmlformats.org/officeDocument/2006/relationships/hyperlink" Target="https://huggingface.co/camenduru/potat1/discussions/6" TargetMode="External"/><Relationship Id="rId59" Type="http://schemas.openxmlformats.org/officeDocument/2006/relationships/hyperlink" Target="https://huggingface.co/ctheodoris/Geneformer/discussions/25" TargetMode="External"/><Relationship Id="rId103" Type="http://schemas.openxmlformats.org/officeDocument/2006/relationships/hyperlink" Target="https://huggingface.co/flax-community/t5-recipe-generation/discussions/2" TargetMode="External"/><Relationship Id="rId124" Type="http://schemas.openxmlformats.org/officeDocument/2006/relationships/hyperlink" Target="https://huggingface.co/hivemind/gpt-j-6B-8bit/discussions/5" TargetMode="External"/><Relationship Id="rId310" Type="http://schemas.openxmlformats.org/officeDocument/2006/relationships/hyperlink" Target="https://huggingface.co/TheBloke/Vicuna-13B-1.1-GPTQ/discussions/11" TargetMode="External"/><Relationship Id="rId70" Type="http://schemas.openxmlformats.org/officeDocument/2006/relationships/hyperlink" Target="https://huggingface.co/davidkim205/komt-mistral-7b-v1-dpo/discussions/2" TargetMode="External"/><Relationship Id="rId91" Type="http://schemas.openxmlformats.org/officeDocument/2006/relationships/hyperlink" Target="https://huggingface.co/facebook/encodec_48khz/discussions/3" TargetMode="External"/><Relationship Id="rId145" Type="http://schemas.openxmlformats.org/officeDocument/2006/relationships/hyperlink" Target="https://huggingface.co/keras-io/structured-data-classification-grn-vsn/discussions/1" TargetMode="External"/><Relationship Id="rId166" Type="http://schemas.openxmlformats.org/officeDocument/2006/relationships/hyperlink" Target="https://huggingface.co/microsoft/dit-base-finetuned-rvlcdip/discussions/1" TargetMode="External"/><Relationship Id="rId187" Type="http://schemas.openxmlformats.org/officeDocument/2006/relationships/hyperlink" Target="https://huggingface.co/mistralai/Mixtral-8x7B-Instruct-v0.1/discussions/94" TargetMode="External"/><Relationship Id="rId331" Type="http://schemas.openxmlformats.org/officeDocument/2006/relationships/hyperlink" Target="https://huggingface.co/tiiuae/falcon-180B-chat/discussions/10" TargetMode="External"/><Relationship Id="rId352" Type="http://schemas.openxmlformats.org/officeDocument/2006/relationships/hyperlink" Target="https://huggingface.co/Undi95/Unholy-v2-13B/discussions/1" TargetMode="External"/><Relationship Id="rId1" Type="http://schemas.openxmlformats.org/officeDocument/2006/relationships/hyperlink" Target="https://huggingface.co/01-ai/Yi-34B/discussions/8" TargetMode="External"/><Relationship Id="rId212" Type="http://schemas.openxmlformats.org/officeDocument/2006/relationships/hyperlink" Target="https://huggingface.co/nvidia/stt_fr_conformer_transducer_large/discussions/1" TargetMode="External"/><Relationship Id="rId233" Type="http://schemas.openxmlformats.org/officeDocument/2006/relationships/hyperlink" Target="https://huggingface.co/Qwen/Qwen-7B-Chat/discussions/38" TargetMode="External"/><Relationship Id="rId254" Type="http://schemas.openxmlformats.org/officeDocument/2006/relationships/hyperlink" Target="https://huggingface.co/senseable/WestLake-7B-v2/discussions/4" TargetMode="External"/><Relationship Id="rId28" Type="http://schemas.openxmlformats.org/officeDocument/2006/relationships/hyperlink" Target="https://huggingface.co/bigscience/bloom-1b7/discussions/37" TargetMode="External"/><Relationship Id="rId49" Type="http://schemas.openxmlformats.org/officeDocument/2006/relationships/hyperlink" Target="https://huggingface.co/cognitivecomputations/WizardLM-7B-Uncensored/discussions/15" TargetMode="External"/><Relationship Id="rId114" Type="http://schemas.openxmlformats.org/officeDocument/2006/relationships/hyperlink" Target="https://huggingface.co/gsdf/Counterfeit-V2.5/discussions/7" TargetMode="External"/><Relationship Id="rId275" Type="http://schemas.openxmlformats.org/officeDocument/2006/relationships/hyperlink" Target="https://huggingface.co/state-spaces/mamba-2.8b/discussions/1" TargetMode="External"/><Relationship Id="rId296" Type="http://schemas.openxmlformats.org/officeDocument/2006/relationships/hyperlink" Target="https://huggingface.co/TheBloke/Llama-2-7B-Chat-GPTQ/discussions/29" TargetMode="External"/><Relationship Id="rId300" Type="http://schemas.openxmlformats.org/officeDocument/2006/relationships/hyperlink" Target="https://huggingface.co/TheBloke/Mistral-7B-v0.1-GGUF/discussions/2" TargetMode="External"/><Relationship Id="rId60" Type="http://schemas.openxmlformats.org/officeDocument/2006/relationships/hyperlink" Target="https://huggingface.co/ctheodoris/Geneformer/discussions/35" TargetMode="External"/><Relationship Id="rId81" Type="http://schemas.openxmlformats.org/officeDocument/2006/relationships/hyperlink" Target="https://huggingface.co/DucHaiten/DucHaitenAIart/discussions/15" TargetMode="External"/><Relationship Id="rId135" Type="http://schemas.openxmlformats.org/officeDocument/2006/relationships/hyperlink" Target="https://huggingface.co/j-hartmann/emotion-english-roberta-large/discussions/1" TargetMode="External"/><Relationship Id="rId156" Type="http://schemas.openxmlformats.org/officeDocument/2006/relationships/hyperlink" Target="https://huggingface.co/lmsys/vicuna-33b-v1.3/discussions/3" TargetMode="External"/><Relationship Id="rId177" Type="http://schemas.openxmlformats.org/officeDocument/2006/relationships/hyperlink" Target="https://huggingface.co/microsoft/tapex-large-finetuned-wtq/discussions/2" TargetMode="External"/><Relationship Id="rId198" Type="http://schemas.openxmlformats.org/officeDocument/2006/relationships/hyperlink" Target="https://huggingface.co/nev/dalle-mini-pytorch/discussions/1" TargetMode="External"/><Relationship Id="rId321" Type="http://schemas.openxmlformats.org/officeDocument/2006/relationships/hyperlink" Target="https://huggingface.co/TheBloke/Yi-6B-GGUF/discussions/1" TargetMode="External"/><Relationship Id="rId342" Type="http://schemas.openxmlformats.org/officeDocument/2006/relationships/hyperlink" Target="https://huggingface.co/togethercomputer/GPT-JT-6B-v1/discussions/26" TargetMode="External"/><Relationship Id="rId363" Type="http://schemas.openxmlformats.org/officeDocument/2006/relationships/hyperlink" Target="https://huggingface.co/WizardLM/WizardCoder-15B-V1.0/discussions/4" TargetMode="External"/><Relationship Id="rId202" Type="http://schemas.openxmlformats.org/officeDocument/2006/relationships/hyperlink" Target="https://huggingface.co/nitrosocke/mo-di-diffusion/discussions/10" TargetMode="External"/><Relationship Id="rId223" Type="http://schemas.openxmlformats.org/officeDocument/2006/relationships/hyperlink" Target="https://huggingface.co/openthaigpt/openthaigpt-0.1.0-beta/discussions/2" TargetMode="External"/><Relationship Id="rId244" Type="http://schemas.openxmlformats.org/officeDocument/2006/relationships/hyperlink" Target="https://huggingface.co/Salesforce/codegen25-7b-multi/discussions/5" TargetMode="External"/><Relationship Id="rId18" Type="http://schemas.openxmlformats.org/officeDocument/2006/relationships/hyperlink" Target="https://huggingface.co/BertChristiaens/controlnet-seg-room/discussions/5" TargetMode="External"/><Relationship Id="rId39" Type="http://schemas.openxmlformats.org/officeDocument/2006/relationships/hyperlink" Target="https://huggingface.co/CausalLM/72B-preview-llamafied-qwen-llamafy/discussions/1" TargetMode="External"/><Relationship Id="rId265" Type="http://schemas.openxmlformats.org/officeDocument/2006/relationships/hyperlink" Target="https://huggingface.co/stabilityai/stable-diffusion-xl-base-1.0/discussions/106" TargetMode="External"/><Relationship Id="rId286" Type="http://schemas.openxmlformats.org/officeDocument/2006/relationships/hyperlink" Target="https://huggingface.co/TheBloke/Falcon-180B-Chat-GGUF/discussions/8" TargetMode="External"/><Relationship Id="rId50" Type="http://schemas.openxmlformats.org/officeDocument/2006/relationships/hyperlink" Target="https://huggingface.co/CompVis/stable-diffusion-v1-4/discussions/19" TargetMode="External"/><Relationship Id="rId104" Type="http://schemas.openxmlformats.org/officeDocument/2006/relationships/hyperlink" Target="https://huggingface.co/FredZhang7/distilgpt2-stable-diffusion-v2/discussions/2" TargetMode="External"/><Relationship Id="rId125" Type="http://schemas.openxmlformats.org/officeDocument/2006/relationships/hyperlink" Target="https://huggingface.co/hkunlp/instructor-xl/discussions/23" TargetMode="External"/><Relationship Id="rId146" Type="http://schemas.openxmlformats.org/officeDocument/2006/relationships/hyperlink" Target="https://huggingface.co/keremberke/yolov8s-table-extraction/discussions/3" TargetMode="External"/><Relationship Id="rId167" Type="http://schemas.openxmlformats.org/officeDocument/2006/relationships/hyperlink" Target="https://huggingface.co/microsoft/git-base/discussions/1" TargetMode="External"/><Relationship Id="rId188" Type="http://schemas.openxmlformats.org/officeDocument/2006/relationships/hyperlink" Target="https://huggingface.co/Mitsua/mitsua-diffusion-one/discussions/3" TargetMode="External"/><Relationship Id="rId311" Type="http://schemas.openxmlformats.org/officeDocument/2006/relationships/hyperlink" Target="https://huggingface.co/TheBloke/vicuna-13B-v1.5-16K-GPTQ/discussions/1" TargetMode="External"/><Relationship Id="rId332" Type="http://schemas.openxmlformats.org/officeDocument/2006/relationships/hyperlink" Target="https://huggingface.co/tiiuae/falcon-180B/discussions/12" TargetMode="External"/><Relationship Id="rId353" Type="http://schemas.openxmlformats.org/officeDocument/2006/relationships/hyperlink" Target="https://huggingface.co/unitary/toxic-bert/discussions/3" TargetMode="External"/><Relationship Id="rId71" Type="http://schemas.openxmlformats.org/officeDocument/2006/relationships/hyperlink" Target="https://huggingface.co/Davlan/bert-base-multilingual-cased-ner-hrl/discussions/4" TargetMode="External"/><Relationship Id="rId92" Type="http://schemas.openxmlformats.org/officeDocument/2006/relationships/hyperlink" Target="https://huggingface.co/facebook/fastspeech2-en-ljspeech/discussions/18" TargetMode="External"/><Relationship Id="rId213" Type="http://schemas.openxmlformats.org/officeDocument/2006/relationships/hyperlink" Target="https://huggingface.co/OFA-Sys/expertllama-7b-delta/discussions/1" TargetMode="External"/><Relationship Id="rId234" Type="http://schemas.openxmlformats.org/officeDocument/2006/relationships/hyperlink" Target="https://huggingface.co/Qwen/Qwen-VL-Chat/discussions/9" TargetMode="External"/><Relationship Id="rId2" Type="http://schemas.openxmlformats.org/officeDocument/2006/relationships/hyperlink" Target="https://huggingface.co/Abirate/gpt_3_finetuned_multi_x_science/discussions/1" TargetMode="External"/><Relationship Id="rId29" Type="http://schemas.openxmlformats.org/officeDocument/2006/relationships/hyperlink" Target="https://huggingface.co/bigscience/bloom-560m/discussions/13" TargetMode="External"/><Relationship Id="rId255" Type="http://schemas.openxmlformats.org/officeDocument/2006/relationships/hyperlink" Target="https://huggingface.co/sensenova/piccolo-base-zh/discussions/1" TargetMode="External"/><Relationship Id="rId276" Type="http://schemas.openxmlformats.org/officeDocument/2006/relationships/hyperlink" Target="https://huggingface.co/suno/bark-small/discussions/7" TargetMode="External"/><Relationship Id="rId297" Type="http://schemas.openxmlformats.org/officeDocument/2006/relationships/hyperlink" Target="https://huggingface.co/TheBloke/llama2-22B-daydreamer-v2-GGML/discussions/2" TargetMode="External"/><Relationship Id="rId40" Type="http://schemas.openxmlformats.org/officeDocument/2006/relationships/hyperlink" Target="https://huggingface.co/cerspense/zeroscope_v2_576w/discussions/3" TargetMode="External"/><Relationship Id="rId115" Type="http://schemas.openxmlformats.org/officeDocument/2006/relationships/hyperlink" Target="https://huggingface.co/Gustavosta/MagicPrompt-Stable-Diffusion/discussions/2" TargetMode="External"/><Relationship Id="rId136" Type="http://schemas.openxmlformats.org/officeDocument/2006/relationships/hyperlink" Target="https://huggingface.co/jarradh/llama2_70b_chat_uncensored/discussions/8" TargetMode="External"/><Relationship Id="rId157" Type="http://schemas.openxmlformats.org/officeDocument/2006/relationships/hyperlink" Target="https://huggingface.co/lmsys/vicuna-7b-v1.1/discussions/6" TargetMode="External"/><Relationship Id="rId178" Type="http://schemas.openxmlformats.org/officeDocument/2006/relationships/hyperlink" Target="https://huggingface.co/microsoft/trocr-small-printed/discussions/3" TargetMode="External"/><Relationship Id="rId301" Type="http://schemas.openxmlformats.org/officeDocument/2006/relationships/hyperlink" Target="https://huggingface.co/TheBloke/Mixtral-8x7B-v0.1-GGUF/discussions/18" TargetMode="External"/><Relationship Id="rId322" Type="http://schemas.openxmlformats.org/officeDocument/2006/relationships/hyperlink" Target="https://huggingface.co/TheLastBen/William_Eggleston_Style_SDXL/discussions/2" TargetMode="External"/><Relationship Id="rId343" Type="http://schemas.openxmlformats.org/officeDocument/2006/relationships/hyperlink" Target="https://huggingface.co/togethercomputer/m2-bert-80M-8k-retrieval/discussions/6" TargetMode="External"/><Relationship Id="rId364" Type="http://schemas.openxmlformats.org/officeDocument/2006/relationships/hyperlink" Target="https://huggingface.co/WizardLM/WizardCoder-Python-34B-V1.0/discussions/25" TargetMode="External"/><Relationship Id="rId61" Type="http://schemas.openxmlformats.org/officeDocument/2006/relationships/hyperlink" Target="https://huggingface.co/ctheodoris/Geneformer/discussions/59" TargetMode="External"/><Relationship Id="rId82" Type="http://schemas.openxmlformats.org/officeDocument/2006/relationships/hyperlink" Target="https://huggingface.co/Edresson/wav2vec2-large-xlsr-coraa-portuguese/discussions/1" TargetMode="External"/><Relationship Id="rId199" Type="http://schemas.openxmlformats.org/officeDocument/2006/relationships/hyperlink" Target="https://huggingface.co/Nexusflow/NexusRaven-13B/discussions/3" TargetMode="External"/><Relationship Id="rId203" Type="http://schemas.openxmlformats.org/officeDocument/2006/relationships/hyperlink" Target="https://huggingface.co/nitrosocke/redshift-diffusion-768/discussions/3" TargetMode="External"/><Relationship Id="rId19" Type="http://schemas.openxmlformats.org/officeDocument/2006/relationships/hyperlink" Target="https://huggingface.co/bhenrym14/airoboros-33b-gpt4-1.4.1-PI-8192-GPTQ/discussions/2" TargetMode="External"/><Relationship Id="rId224" Type="http://schemas.openxmlformats.org/officeDocument/2006/relationships/hyperlink" Target="https://huggingface.co/p1atdev/pvc-v3/discussions/1" TargetMode="External"/><Relationship Id="rId245" Type="http://schemas.openxmlformats.org/officeDocument/2006/relationships/hyperlink" Target="https://huggingface.co/sanchit-gandhi/whisper-medium-fleurs-lang-id/discussions/4" TargetMode="External"/><Relationship Id="rId266" Type="http://schemas.openxmlformats.org/officeDocument/2006/relationships/hyperlink" Target="https://huggingface.co/stabilityai/stable-diffusion-xl-base-1.0/discussions/119" TargetMode="External"/><Relationship Id="rId287" Type="http://schemas.openxmlformats.org/officeDocument/2006/relationships/hyperlink" Target="https://huggingface.co/TheBloke/falcon-40b-instruct-GPTQ/discussions/1" TargetMode="External"/><Relationship Id="rId30" Type="http://schemas.openxmlformats.org/officeDocument/2006/relationships/hyperlink" Target="https://huggingface.co/bigscience/bloom/discussions/209" TargetMode="External"/><Relationship Id="rId105" Type="http://schemas.openxmlformats.org/officeDocument/2006/relationships/hyperlink" Target="https://huggingface.co/google/ddpm-ema-bedroom-256/discussions/3" TargetMode="External"/><Relationship Id="rId126" Type="http://schemas.openxmlformats.org/officeDocument/2006/relationships/hyperlink" Target="https://huggingface.co/hkunlp/instructor-xl/discussions/8" TargetMode="External"/><Relationship Id="rId147" Type="http://schemas.openxmlformats.org/officeDocument/2006/relationships/hyperlink" Target="https://huggingface.co/knkarthick/MEETING_SUMMARY/discussions/15" TargetMode="External"/><Relationship Id="rId168" Type="http://schemas.openxmlformats.org/officeDocument/2006/relationships/hyperlink" Target="https://huggingface.co/microsoft/layoutlmv2-large-uncased/discussions/2" TargetMode="External"/><Relationship Id="rId312" Type="http://schemas.openxmlformats.org/officeDocument/2006/relationships/hyperlink" Target="https://huggingface.co/TheBloke/vicuna-7B-v0-GPTQ/discussions/3" TargetMode="External"/><Relationship Id="rId333" Type="http://schemas.openxmlformats.org/officeDocument/2006/relationships/hyperlink" Target="https://huggingface.co/tiiuae/falcon-40b-instruct/discussions/87" TargetMode="External"/><Relationship Id="rId354" Type="http://schemas.openxmlformats.org/officeDocument/2006/relationships/hyperlink" Target="https://huggingface.co/upstage/llama-30b-instruct-2048/discussions/6" TargetMode="External"/><Relationship Id="rId51" Type="http://schemas.openxmlformats.org/officeDocument/2006/relationships/hyperlink" Target="https://huggingface.co/CompVis/stable-diffusion-v1-4/discussions/26" TargetMode="External"/><Relationship Id="rId72" Type="http://schemas.openxmlformats.org/officeDocument/2006/relationships/hyperlink" Target="https://huggingface.co/deepseek-ai/deepseek-coder-33b-instruct/discussions/4" TargetMode="External"/><Relationship Id="rId93" Type="http://schemas.openxmlformats.org/officeDocument/2006/relationships/hyperlink" Target="https://huggingface.co/facebook/galactica-30b/discussions/9" TargetMode="External"/><Relationship Id="rId189" Type="http://schemas.openxmlformats.org/officeDocument/2006/relationships/hyperlink" Target="https://huggingface.co/moonlightnexus/wonder-anime/discussions/1" TargetMode="External"/><Relationship Id="rId3" Type="http://schemas.openxmlformats.org/officeDocument/2006/relationships/hyperlink" Target="https://huggingface.co/adept/fuyu-8b/discussions/35" TargetMode="External"/><Relationship Id="rId214" Type="http://schemas.openxmlformats.org/officeDocument/2006/relationships/hyperlink" Target="https://huggingface.co/oliverguhr/fullstop-punctuation-multilang-large/discussions/3" TargetMode="External"/><Relationship Id="rId235" Type="http://schemas.openxmlformats.org/officeDocument/2006/relationships/hyperlink" Target="https://huggingface.co/Rajaram1996/Hubert_emotion/discussions/3" TargetMode="External"/><Relationship Id="rId256" Type="http://schemas.openxmlformats.org/officeDocument/2006/relationships/hyperlink" Target="https://huggingface.co/SG161222/Realistic_Vision_V5.1_noVAE/discussions/1" TargetMode="External"/><Relationship Id="rId277" Type="http://schemas.openxmlformats.org/officeDocument/2006/relationships/hyperlink" Target="https://huggingface.co/suno/bark/discussions/30" TargetMode="External"/><Relationship Id="rId298" Type="http://schemas.openxmlformats.org/officeDocument/2006/relationships/hyperlink" Target="https://huggingface.co/TheBloke/LLongMA-2-7B-GPTQ/discussions/2" TargetMode="External"/><Relationship Id="rId116" Type="http://schemas.openxmlformats.org/officeDocument/2006/relationships/hyperlink" Target="https://huggingface.co/h2oai/h2ogpt-gm-oasst1-en-2048-falcon-40b-v2/discussions/1" TargetMode="External"/><Relationship Id="rId137" Type="http://schemas.openxmlformats.org/officeDocument/2006/relationships/hyperlink" Target="https://huggingface.co/joaoalvarenga/bloom-8bit/discussions/3" TargetMode="External"/><Relationship Id="rId158" Type="http://schemas.openxmlformats.org/officeDocument/2006/relationships/hyperlink" Target="https://huggingface.co/LoneStriker/Yi-34B-200K-4.65bpw-h6-exl2/discussions/2" TargetMode="External"/><Relationship Id="rId302" Type="http://schemas.openxmlformats.org/officeDocument/2006/relationships/hyperlink" Target="https://huggingface.co/TheBloke/MPT-7B-Storywriter-GGML/discussions/5" TargetMode="External"/><Relationship Id="rId323" Type="http://schemas.openxmlformats.org/officeDocument/2006/relationships/hyperlink" Target="https://huggingface.co/thibaud/controlnet-openpose-sdxl-1.0/discussions/4" TargetMode="External"/><Relationship Id="rId344" Type="http://schemas.openxmlformats.org/officeDocument/2006/relationships/hyperlink" Target="https://huggingface.co/togethercomputer/RedPajama-INCITE-7B-Base/discussions/6" TargetMode="External"/><Relationship Id="rId20" Type="http://schemas.openxmlformats.org/officeDocument/2006/relationships/hyperlink" Target="https://huggingface.co/bigcode/santacoder/discussions/10" TargetMode="External"/><Relationship Id="rId41" Type="http://schemas.openxmlformats.org/officeDocument/2006/relationships/hyperlink" Target="https://huggingface.co/cerspense/zeroscope_v2_XL/discussions/11" TargetMode="External"/><Relationship Id="rId62" Type="http://schemas.openxmlformats.org/officeDocument/2006/relationships/hyperlink" Target="https://huggingface.co/ctheodoris/Geneformer/discussions/91" TargetMode="External"/><Relationship Id="rId83" Type="http://schemas.openxmlformats.org/officeDocument/2006/relationships/hyperlink" Target="https://huggingface.co/ehcalabres/wav2vec2-lg-xlsr-en-speech-emotion-recognition/discussions/4" TargetMode="External"/><Relationship Id="rId179" Type="http://schemas.openxmlformats.org/officeDocument/2006/relationships/hyperlink" Target="https://huggingface.co/MingZhong/DialogLED-base-16384/discussions/2" TargetMode="External"/><Relationship Id="rId365" Type="http://schemas.openxmlformats.org/officeDocument/2006/relationships/hyperlink" Target="https://huggingface.co/WizardLM/WizardLM-30B-V1.0/discussions/2" TargetMode="External"/><Relationship Id="rId190" Type="http://schemas.openxmlformats.org/officeDocument/2006/relationships/hyperlink" Target="https://huggingface.co/mosaicml/mpt-30b-chat/discussions/2" TargetMode="External"/><Relationship Id="rId204" Type="http://schemas.openxmlformats.org/officeDocument/2006/relationships/hyperlink" Target="https://huggingface.co/Nondzu/Mistral-7B-code-16k-qlora/discussions/2" TargetMode="External"/><Relationship Id="rId225" Type="http://schemas.openxmlformats.org/officeDocument/2006/relationships/hyperlink" Target="https://huggingface.co/pankajmathur/orca_mini_3b/discussions/1" TargetMode="External"/><Relationship Id="rId246" Type="http://schemas.openxmlformats.org/officeDocument/2006/relationships/hyperlink" Target="https://huggingface.co/SanjiWatsuki/Sonya-7B/discussions/1" TargetMode="External"/><Relationship Id="rId267" Type="http://schemas.openxmlformats.org/officeDocument/2006/relationships/hyperlink" Target="https://huggingface.co/stabilityai/stable-diffusion-xl-base-1.0/discussions/136" TargetMode="External"/><Relationship Id="rId288" Type="http://schemas.openxmlformats.org/officeDocument/2006/relationships/hyperlink" Target="https://huggingface.co/TheBloke/Falcon-7B-Instruct-GGML/discussions/4" TargetMode="External"/><Relationship Id="rId106" Type="http://schemas.openxmlformats.org/officeDocument/2006/relationships/hyperlink" Target="https://huggingface.co/google/deplot/discussions/12" TargetMode="External"/><Relationship Id="rId127" Type="http://schemas.openxmlformats.org/officeDocument/2006/relationships/hyperlink" Target="https://huggingface.co/HuggingFaceH4/starchat-alpha/discussions/8" TargetMode="External"/><Relationship Id="rId313" Type="http://schemas.openxmlformats.org/officeDocument/2006/relationships/hyperlink" Target="https://huggingface.co/TheBloke/Wizard-Vicuna-13B-Uncensored-GGUF/discussions/1" TargetMode="External"/><Relationship Id="rId10" Type="http://schemas.openxmlformats.org/officeDocument/2006/relationships/hyperlink" Target="https://huggingface.co/artificialguybr/OpenHermesV2-PTBR/discussions/2" TargetMode="External"/><Relationship Id="rId31" Type="http://schemas.openxmlformats.org/officeDocument/2006/relationships/hyperlink" Target="https://huggingface.co/bigscience/bloom/discussions/80" TargetMode="External"/><Relationship Id="rId52" Type="http://schemas.openxmlformats.org/officeDocument/2006/relationships/hyperlink" Target="https://huggingface.co/CompVis/stable-diffusion-v1-4/discussions/86" TargetMode="External"/><Relationship Id="rId73" Type="http://schemas.openxmlformats.org/officeDocument/2006/relationships/hyperlink" Target="https://huggingface.co/deepseek-ai/deepseek-llm-67b-chat/discussions/3" TargetMode="External"/><Relationship Id="rId94" Type="http://schemas.openxmlformats.org/officeDocument/2006/relationships/hyperlink" Target="https://huggingface.co/facebook/galactica-6.7b/discussions/6" TargetMode="External"/><Relationship Id="rId148" Type="http://schemas.openxmlformats.org/officeDocument/2006/relationships/hyperlink" Target="https://huggingface.co/KoboldAI/OPT-30B-Erebus/discussions/1" TargetMode="External"/><Relationship Id="rId169" Type="http://schemas.openxmlformats.org/officeDocument/2006/relationships/hyperlink" Target="https://huggingface.co/microsoft/phi-1_5/discussions/39" TargetMode="External"/><Relationship Id="rId334" Type="http://schemas.openxmlformats.org/officeDocument/2006/relationships/hyperlink" Target="https://huggingface.co/tiiuae/falcon-40b/discussions/103" TargetMode="External"/><Relationship Id="rId355" Type="http://schemas.openxmlformats.org/officeDocument/2006/relationships/hyperlink" Target="https://huggingface.co/uukuguy/speechless-llama2-hermes-orca-platypus-wizardlm-13b/discussions/1" TargetMode="External"/><Relationship Id="rId4" Type="http://schemas.openxmlformats.org/officeDocument/2006/relationships/hyperlink" Target="https://huggingface.co/adept/fuyu-8b/discussions/46" TargetMode="External"/><Relationship Id="rId180" Type="http://schemas.openxmlformats.org/officeDocument/2006/relationships/hyperlink" Target="https://huggingface.co/minhtoan/gpt3-small-finetune-cnndaily-news/discussions/3" TargetMode="External"/><Relationship Id="rId215" Type="http://schemas.openxmlformats.org/officeDocument/2006/relationships/hyperlink" Target="https://huggingface.co/Open-Orca/Mistral-7B-OpenOrca/discussions/14" TargetMode="External"/><Relationship Id="rId236" Type="http://schemas.openxmlformats.org/officeDocument/2006/relationships/hyperlink" Target="https://huggingface.co/replit/replit-code-v1-3b/discussions/6" TargetMode="External"/><Relationship Id="rId257" Type="http://schemas.openxmlformats.org/officeDocument/2006/relationships/hyperlink" Target="https://huggingface.co/SG161222/RealVisXL_V3.0/discussions/2" TargetMode="External"/><Relationship Id="rId278" Type="http://schemas.openxmlformats.org/officeDocument/2006/relationships/hyperlink" Target="https://huggingface.co/t5-base/discussions/14" TargetMode="External"/><Relationship Id="rId303" Type="http://schemas.openxmlformats.org/officeDocument/2006/relationships/hyperlink" Target="https://huggingface.co/TheBloke/Nous-Hermes-Llama2-GGML/discussions/4" TargetMode="External"/><Relationship Id="rId42" Type="http://schemas.openxmlformats.org/officeDocument/2006/relationships/hyperlink" Target="https://huggingface.co/cloudyu/Mixtral_7Bx4_MOE_24B/discussions/1" TargetMode="External"/><Relationship Id="rId84" Type="http://schemas.openxmlformats.org/officeDocument/2006/relationships/hyperlink" Target="https://huggingface.co/EleutherAI/gpt-neox-20b/discussions/11" TargetMode="External"/><Relationship Id="rId138" Type="http://schemas.openxmlformats.org/officeDocument/2006/relationships/hyperlink" Target="https://huggingface.co/jonatasgrosman/wav2vec2-xls-r-1b-english/discussions/2" TargetMode="External"/><Relationship Id="rId345" Type="http://schemas.openxmlformats.org/officeDocument/2006/relationships/hyperlink" Target="https://huggingface.co/Tonic/mistralmed/discussions/4" TargetMode="External"/><Relationship Id="rId191" Type="http://schemas.openxmlformats.org/officeDocument/2006/relationships/hyperlink" Target="https://huggingface.co/mosaicml/mpt-7b/discussions/21" TargetMode="External"/><Relationship Id="rId205" Type="http://schemas.openxmlformats.org/officeDocument/2006/relationships/hyperlink" Target="https://huggingface.co/NousResearch/Nous-Capybara-34B/discussions/2" TargetMode="External"/><Relationship Id="rId247" Type="http://schemas.openxmlformats.org/officeDocument/2006/relationships/hyperlink" Target="https://huggingface.co/Sao10K/Frostwind-10.7B-v1/discussions/1" TargetMode="External"/><Relationship Id="rId107" Type="http://schemas.openxmlformats.org/officeDocument/2006/relationships/hyperlink" Target="https://huggingface.co/google/flan-t5-large/discussions/16" TargetMode="External"/><Relationship Id="rId289" Type="http://schemas.openxmlformats.org/officeDocument/2006/relationships/hyperlink" Target="https://huggingface.co/TheBloke/guanaco-33B-GPTQ/discussions/6" TargetMode="External"/><Relationship Id="rId11" Type="http://schemas.openxmlformats.org/officeDocument/2006/relationships/hyperlink" Target="https://huggingface.co/athirdpath/Iambe-20b-DARE/discussions/1" TargetMode="External"/><Relationship Id="rId53" Type="http://schemas.openxmlformats.org/officeDocument/2006/relationships/hyperlink" Target="https://huggingface.co/coqui/XTTS-v2/discussions/27" TargetMode="External"/><Relationship Id="rId149" Type="http://schemas.openxmlformats.org/officeDocument/2006/relationships/hyperlink" Target="https://huggingface.co/ku-nlp/deberta-v2-base-japanese/discussions/1" TargetMode="External"/><Relationship Id="rId314" Type="http://schemas.openxmlformats.org/officeDocument/2006/relationships/hyperlink" Target="https://huggingface.co/TheBloke/Wizard-Vicuna-13B-Uncensored-GPTQ/discussions/10" TargetMode="External"/><Relationship Id="rId356" Type="http://schemas.openxmlformats.org/officeDocument/2006/relationships/hyperlink" Target="https://huggingface.co/VAGOsolutions/SauerkrautLM-SOLAR-Instruct/discussions/1" TargetMode="External"/><Relationship Id="rId95" Type="http://schemas.openxmlformats.org/officeDocument/2006/relationships/hyperlink" Target="https://huggingface.co/facebook/maskformer-swin-large-coco/discussions/1" TargetMode="External"/><Relationship Id="rId160" Type="http://schemas.openxmlformats.org/officeDocument/2006/relationships/hyperlink" Target="https://huggingface.co/madebyollin/sdxl-vae-fp16-fix/discussions/9" TargetMode="External"/><Relationship Id="rId216" Type="http://schemas.openxmlformats.org/officeDocument/2006/relationships/hyperlink" Target="https://huggingface.co/Open-Orca/OpenOrca-Preview1-13B/discussions/1" TargetMode="External"/><Relationship Id="rId258" Type="http://schemas.openxmlformats.org/officeDocument/2006/relationships/hyperlink" Target="https://huggingface.co/ShadoWxShinigamI/MidJourney-PaperCut/discussions/7" TargetMode="External"/><Relationship Id="rId22" Type="http://schemas.openxmlformats.org/officeDocument/2006/relationships/hyperlink" Target="https://huggingface.co/bigcode/starcoder/discussions/43" TargetMode="External"/><Relationship Id="rId64" Type="http://schemas.openxmlformats.org/officeDocument/2006/relationships/hyperlink" Target="https://huggingface.co/dandelin/vilt-b32-finetuned-nlvr2/discussions/1" TargetMode="External"/><Relationship Id="rId118" Type="http://schemas.openxmlformats.org/officeDocument/2006/relationships/hyperlink" Target="https://huggingface.co/hakurei/waifu-diffusion/discussions/115" TargetMode="External"/><Relationship Id="rId325" Type="http://schemas.openxmlformats.org/officeDocument/2006/relationships/hyperlink" Target="https://huggingface.co/thibaud/controlnet-sd21/discussions/36" TargetMode="External"/><Relationship Id="rId367" Type="http://schemas.openxmlformats.org/officeDocument/2006/relationships/hyperlink" Target="https://huggingface.co/wukevin/tcr-bert/discussions/2" TargetMode="External"/><Relationship Id="rId171" Type="http://schemas.openxmlformats.org/officeDocument/2006/relationships/hyperlink" Target="https://huggingface.co/microsoft/phi-2/discussions/43" TargetMode="External"/><Relationship Id="rId227" Type="http://schemas.openxmlformats.org/officeDocument/2006/relationships/hyperlink" Target="https://huggingface.co/Pclanglais/MonadGPT/discussions/1" TargetMode="External"/><Relationship Id="rId269" Type="http://schemas.openxmlformats.org/officeDocument/2006/relationships/hyperlink" Target="https://huggingface.co/stabilityai/stable-diffusion-xl-refiner-1.0/discussions/18" TargetMode="External"/><Relationship Id="rId33" Type="http://schemas.openxmlformats.org/officeDocument/2006/relationships/hyperlink" Target="https://huggingface.co/bigscience/bloom/discussions/91" TargetMode="External"/><Relationship Id="rId129" Type="http://schemas.openxmlformats.org/officeDocument/2006/relationships/hyperlink" Target="https://huggingface.co/HuggingFaceM4/idefics-9b-instruct/discussions/7" TargetMode="External"/><Relationship Id="rId280" Type="http://schemas.openxmlformats.org/officeDocument/2006/relationships/hyperlink" Target="https://huggingface.co/taozi555/MythoMax-Kimiko-Mix/discussions/1" TargetMode="External"/><Relationship Id="rId336" Type="http://schemas.openxmlformats.org/officeDocument/2006/relationships/hyperlink" Target="https://huggingface.co/tiiuae/falcon-7b/discussions/42" TargetMode="External"/><Relationship Id="rId75" Type="http://schemas.openxmlformats.org/officeDocument/2006/relationships/hyperlink" Target="https://huggingface.co/dennlinger/bert-wiki-paragraphs/discussions/1" TargetMode="External"/><Relationship Id="rId140" Type="http://schemas.openxmlformats.org/officeDocument/2006/relationships/hyperlink" Target="https://huggingface.co/jondurbin/airoboros-l2-70b-2.1/discussions/2" TargetMode="External"/><Relationship Id="rId182" Type="http://schemas.openxmlformats.org/officeDocument/2006/relationships/hyperlink" Target="https://huggingface.co/mistralai/Mistral-7B-Instruct-v0.1/discussions/64" TargetMode="External"/><Relationship Id="rId6" Type="http://schemas.openxmlformats.org/officeDocument/2006/relationships/hyperlink" Target="https://huggingface.co/ai4bharat/indic-bert/discussions/2" TargetMode="External"/><Relationship Id="rId238" Type="http://schemas.openxmlformats.org/officeDocument/2006/relationships/hyperlink" Target="https://huggingface.co/RJuro/SciNERTopic/discussions/2" TargetMode="External"/><Relationship Id="rId291" Type="http://schemas.openxmlformats.org/officeDocument/2006/relationships/hyperlink" Target="https://huggingface.co/TheBloke/leo-hessianai-13B-chat-bilingual-GPTQ/discussions/1" TargetMode="External"/><Relationship Id="rId305" Type="http://schemas.openxmlformats.org/officeDocument/2006/relationships/hyperlink" Target="https://huggingface.co/TheBloke/SOLAR-10.7B-Instruct-v1.0-GGUF/discussions/3" TargetMode="External"/><Relationship Id="rId347" Type="http://schemas.openxmlformats.org/officeDocument/2006/relationships/hyperlink" Target="https://huggingface.co/TriadParty/Deepsword-34B-Base/discussions/4" TargetMode="External"/><Relationship Id="rId44" Type="http://schemas.openxmlformats.org/officeDocument/2006/relationships/hyperlink" Target="https://huggingface.co/codellama/CodeLlama-34b-Instruct-hf/discussions/12" TargetMode="External"/><Relationship Id="rId86" Type="http://schemas.openxmlformats.org/officeDocument/2006/relationships/hyperlink" Target="https://huggingface.co/EleutherAI/polyglot-ko-1.3b/discussions/2" TargetMode="External"/><Relationship Id="rId151" Type="http://schemas.openxmlformats.org/officeDocument/2006/relationships/hyperlink" Target="https://huggingface.co/Langboat/mengzi-gpt-neo-base/discussions/2" TargetMode="External"/><Relationship Id="rId193" Type="http://schemas.openxmlformats.org/officeDocument/2006/relationships/hyperlink" Target="https://huggingface.co/mostafaamiri/persian_llama_7B_merged/discussions/1" TargetMode="External"/><Relationship Id="rId207" Type="http://schemas.openxmlformats.org/officeDocument/2006/relationships/hyperlink" Target="https://huggingface.co/NousResearch/Yarn-Mistral-7b-128k/discussions/13" TargetMode="External"/><Relationship Id="rId249" Type="http://schemas.openxmlformats.org/officeDocument/2006/relationships/hyperlink" Target="https://huggingface.co/sd-dreambooth-library/disco-diffusion-style/discussions/1" TargetMode="External"/><Relationship Id="rId13" Type="http://schemas.openxmlformats.org/officeDocument/2006/relationships/hyperlink" Target="https://huggingface.co/baichuan-inc/Baichuan2-13B-Chat/discussions/26" TargetMode="External"/><Relationship Id="rId109" Type="http://schemas.openxmlformats.org/officeDocument/2006/relationships/hyperlink" Target="https://huggingface.co/google/flan-t5-xxl/discussions/67" TargetMode="External"/><Relationship Id="rId260" Type="http://schemas.openxmlformats.org/officeDocument/2006/relationships/hyperlink" Target="https://huggingface.co/sshleifer/distilbart-cnn-12-6/discussions/11" TargetMode="External"/><Relationship Id="rId316" Type="http://schemas.openxmlformats.org/officeDocument/2006/relationships/hyperlink" Target="https://huggingface.co/TheBloke/WizardCoder-15B-1.0-GGML/discussions/8" TargetMode="External"/><Relationship Id="rId55" Type="http://schemas.openxmlformats.org/officeDocument/2006/relationships/hyperlink" Target="https://huggingface.co/coreml-projects/Llama-2-7b-chat-coreml/discussions/6" TargetMode="External"/><Relationship Id="rId97" Type="http://schemas.openxmlformats.org/officeDocument/2006/relationships/hyperlink" Target="https://huggingface.co/facebook/rag-token-nq/discussions/2" TargetMode="External"/><Relationship Id="rId120" Type="http://schemas.openxmlformats.org/officeDocument/2006/relationships/hyperlink" Target="https://huggingface.co/hearmeneigh/e621-rising-v3/discussions/1" TargetMode="External"/><Relationship Id="rId358" Type="http://schemas.openxmlformats.org/officeDocument/2006/relationships/hyperlink" Target="https://huggingface.co/vllab/controlnet-hands/discussions/3" TargetMode="External"/><Relationship Id="rId162" Type="http://schemas.openxmlformats.org/officeDocument/2006/relationships/hyperlink" Target="https://huggingface.co/MBZUAI/LaMini-GPT-1.5B/discussions/10" TargetMode="External"/><Relationship Id="rId218" Type="http://schemas.openxmlformats.org/officeDocument/2006/relationships/hyperlink" Target="https://huggingface.co/openai/whisper-large-v2/discussions/47" TargetMode="External"/><Relationship Id="rId271" Type="http://schemas.openxmlformats.org/officeDocument/2006/relationships/hyperlink" Target="https://huggingface.co/stabilityai/StableBeluga2/discussions/30" TargetMode="External"/><Relationship Id="rId24" Type="http://schemas.openxmlformats.org/officeDocument/2006/relationships/hyperlink" Target="https://huggingface.co/bigcode/starcoder/discussions/74" TargetMode="External"/><Relationship Id="rId66" Type="http://schemas.openxmlformats.org/officeDocument/2006/relationships/hyperlink" Target="https://huggingface.co/darkstorm2150/Protogen_x3.4_Official_Release/discussions/13" TargetMode="External"/><Relationship Id="rId131" Type="http://schemas.openxmlformats.org/officeDocument/2006/relationships/hyperlink" Target="https://huggingface.co/internlm/internlm-chat-20b-4bit/discussions/1" TargetMode="External"/><Relationship Id="rId327" Type="http://schemas.openxmlformats.org/officeDocument/2006/relationships/hyperlink" Target="https://huggingface.co/THUDM/cogagent-vqa-hf/discussions/1" TargetMode="External"/><Relationship Id="rId369" Type="http://schemas.openxmlformats.org/officeDocument/2006/relationships/hyperlink" Target="https://huggingface.co/Yukang/Llama-2-70b-chat-longlora-32k-sft/discussions/2" TargetMode="External"/><Relationship Id="rId173" Type="http://schemas.openxmlformats.org/officeDocument/2006/relationships/hyperlink" Target="https://huggingface.co/microsoft/phi-2/discussions/81" TargetMode="External"/><Relationship Id="rId229" Type="http://schemas.openxmlformats.org/officeDocument/2006/relationships/hyperlink" Target="https://huggingface.co/princeton-nlp/Sheared-LLaMA-1.3B/discussions/5" TargetMode="External"/><Relationship Id="rId240" Type="http://schemas.openxmlformats.org/officeDocument/2006/relationships/hyperlink" Target="https://huggingface.co/runwayml/stable-diffusion-v1-5/discussions/128" TargetMode="External"/><Relationship Id="rId35" Type="http://schemas.openxmlformats.org/officeDocument/2006/relationships/hyperlink" Target="https://huggingface.co/bigscience/bloomz/discussions/42" TargetMode="External"/><Relationship Id="rId77" Type="http://schemas.openxmlformats.org/officeDocument/2006/relationships/hyperlink" Target="https://huggingface.co/diffusers/controlnet-canny-sdxl-1.0/discussions/30" TargetMode="External"/><Relationship Id="rId100" Type="http://schemas.openxmlformats.org/officeDocument/2006/relationships/hyperlink" Target="https://huggingface.co/FlagAlpha/Llama2-Chinese-13b-Chat/discussions/5" TargetMode="External"/><Relationship Id="rId282" Type="http://schemas.openxmlformats.org/officeDocument/2006/relationships/hyperlink" Target="https://huggingface.co/TheBloke/airoboros-l2-70B-gpt4-1.4.1-GPTQ/discussions/3" TargetMode="External"/><Relationship Id="rId338" Type="http://schemas.openxmlformats.org/officeDocument/2006/relationships/hyperlink" Target="https://huggingface.co/timm/eva02_large_patch14_clip_224.merged2b_s4b_b131k/discussions/2" TargetMode="External"/><Relationship Id="rId8" Type="http://schemas.openxmlformats.org/officeDocument/2006/relationships/hyperlink" Target="https://huggingface.co/anon8231489123/gpt4-x-alpaca-13b-native-4bit-128g/discussions/36" TargetMode="External"/><Relationship Id="rId142" Type="http://schemas.openxmlformats.org/officeDocument/2006/relationships/hyperlink" Target="https://huggingface.co/jondurbin/airoboros-m-7b-3.1.2/discussions/1" TargetMode="External"/><Relationship Id="rId184" Type="http://schemas.openxmlformats.org/officeDocument/2006/relationships/hyperlink" Target="https://huggingface.co/mistralai/Mistral-7B-v0.1/discussions/4" TargetMode="External"/><Relationship Id="rId251" Type="http://schemas.openxmlformats.org/officeDocument/2006/relationships/hyperlink" Target="https://huggingface.co/SeaLLMs/SeaLLM-7B-Hybrid/discussions/1" TargetMode="External"/><Relationship Id="rId46" Type="http://schemas.openxmlformats.org/officeDocument/2006/relationships/hyperlink" Target="https://huggingface.co/CodeNLP/pdn2_v08_kpwr_ner_n82/discussions/1" TargetMode="External"/><Relationship Id="rId293" Type="http://schemas.openxmlformats.org/officeDocument/2006/relationships/hyperlink" Target="https://huggingface.co/TheBloke/Llama-2-13B-chat-GPTQ/discussions/23" TargetMode="External"/><Relationship Id="rId307" Type="http://schemas.openxmlformats.org/officeDocument/2006/relationships/hyperlink" Target="https://huggingface.co/TheBloke/StableBeluga2-70B-GPTQ/discussions/12" TargetMode="External"/><Relationship Id="rId349" Type="http://schemas.openxmlformats.org/officeDocument/2006/relationships/hyperlink" Target="https://huggingface.co/TurkuNLP/gpt3-finnish-13B/discussions/1" TargetMode="External"/><Relationship Id="rId88" Type="http://schemas.openxmlformats.org/officeDocument/2006/relationships/hyperlink" Target="https://huggingface.co/emre/llama-2-13b-code-122k/discussions/1" TargetMode="External"/><Relationship Id="rId111" Type="http://schemas.openxmlformats.org/officeDocument/2006/relationships/hyperlink" Target="https://huggingface.co/google/tapas-base-finetuned-wtq/discussions/4" TargetMode="External"/><Relationship Id="rId153" Type="http://schemas.openxmlformats.org/officeDocument/2006/relationships/hyperlink" Target="https://huggingface.co/lgaalves/tinyllama-1.1b-chat-v0.3_platypus/discussions/2" TargetMode="External"/><Relationship Id="rId195" Type="http://schemas.openxmlformats.org/officeDocument/2006/relationships/hyperlink" Target="https://huggingface.co/Nacholmo/controlnet-qr-pattern-sdxl/discussions/1" TargetMode="External"/><Relationship Id="rId209" Type="http://schemas.openxmlformats.org/officeDocument/2006/relationships/hyperlink" Target="https://huggingface.co/nuigurumi/basil_mix/discussions/23" TargetMode="External"/><Relationship Id="rId360" Type="http://schemas.openxmlformats.org/officeDocument/2006/relationships/hyperlink" Target="https://huggingface.co/WarriorMama777/OrangeMixs/discussions/68" TargetMode="External"/><Relationship Id="rId220" Type="http://schemas.openxmlformats.org/officeDocument/2006/relationships/hyperlink" Target="https://huggingface.co/OpenBuddy/openbuddy-falcon-7b-v6-bf16/discussions/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4"/>
  <sheetViews>
    <sheetView workbookViewId="0">
      <pane ySplit="1" topLeftCell="A2" activePane="bottomLeft" state="frozen"/>
      <selection pane="bottomLeft" activeCell="A27" sqref="A27"/>
    </sheetView>
  </sheetViews>
  <sheetFormatPr defaultColWidth="12.6640625" defaultRowHeight="15" customHeight="1" x14ac:dyDescent="0.25"/>
  <cols>
    <col min="1" max="1" width="75.21875" style="9" customWidth="1"/>
    <col min="2" max="2" width="40.44140625" style="9" customWidth="1"/>
    <col min="3" max="3" width="12.6640625" style="9" customWidth="1"/>
    <col min="4" max="4" width="36" style="9" customWidth="1"/>
    <col min="5" max="5" width="16.33203125" style="9" customWidth="1"/>
    <col min="6" max="6" width="25.88671875" style="9" customWidth="1"/>
    <col min="7" max="7" width="39" style="9" customWidth="1"/>
    <col min="8" max="29" width="8.6640625" style="9" customWidth="1"/>
    <col min="30" max="16384" width="12.6640625" style="9"/>
  </cols>
  <sheetData>
    <row r="1" spans="1:29" ht="14.25" customHeight="1" x14ac:dyDescent="0.25">
      <c r="A1" s="8" t="s">
        <v>1150</v>
      </c>
      <c r="B1" s="8" t="s">
        <v>1</v>
      </c>
      <c r="C1" s="8" t="s">
        <v>2</v>
      </c>
      <c r="D1" s="8" t="s">
        <v>3</v>
      </c>
      <c r="E1" s="8" t="s">
        <v>4</v>
      </c>
      <c r="F1" s="8" t="s">
        <v>5</v>
      </c>
      <c r="G1" s="8" t="s">
        <v>6</v>
      </c>
      <c r="H1" s="8" t="s">
        <v>7</v>
      </c>
      <c r="I1" s="8"/>
      <c r="J1" s="8"/>
      <c r="K1" s="8"/>
      <c r="L1" s="8"/>
      <c r="M1" s="8"/>
      <c r="N1" s="8"/>
      <c r="O1" s="8"/>
      <c r="P1" s="8"/>
      <c r="Q1" s="8"/>
      <c r="R1" s="8"/>
      <c r="S1" s="8"/>
      <c r="T1" s="8"/>
      <c r="U1" s="8"/>
      <c r="V1" s="8"/>
      <c r="W1" s="8"/>
      <c r="X1" s="8"/>
      <c r="Y1" s="8"/>
      <c r="Z1" s="8"/>
      <c r="AA1" s="8"/>
      <c r="AB1" s="8"/>
      <c r="AC1" s="8"/>
    </row>
    <row r="2" spans="1:29" ht="14.25" customHeight="1" x14ac:dyDescent="0.25">
      <c r="A2" s="9" t="s">
        <v>8</v>
      </c>
      <c r="B2" s="9" t="s">
        <v>9</v>
      </c>
      <c r="C2" s="9" t="s">
        <v>10</v>
      </c>
      <c r="D2" s="9" t="s">
        <v>10</v>
      </c>
      <c r="F2" s="9" t="s">
        <v>11</v>
      </c>
      <c r="G2" s="9" t="s">
        <v>12</v>
      </c>
    </row>
    <row r="3" spans="1:29" ht="14.25" customHeight="1" x14ac:dyDescent="0.25">
      <c r="A3" s="9" t="s">
        <v>8</v>
      </c>
      <c r="B3" s="9" t="s">
        <v>13</v>
      </c>
      <c r="C3" s="9" t="s">
        <v>14</v>
      </c>
      <c r="D3" s="9" t="s">
        <v>14</v>
      </c>
      <c r="E3" s="9" t="s">
        <v>15</v>
      </c>
      <c r="F3" s="9" t="s">
        <v>11</v>
      </c>
      <c r="G3" s="9" t="s">
        <v>16</v>
      </c>
    </row>
    <row r="4" spans="1:29" ht="14.25" customHeight="1" x14ac:dyDescent="0.25">
      <c r="A4" s="9" t="s">
        <v>17</v>
      </c>
      <c r="B4" s="9" t="s">
        <v>18</v>
      </c>
      <c r="C4" s="9" t="s">
        <v>19</v>
      </c>
      <c r="D4" s="9" t="s">
        <v>19</v>
      </c>
      <c r="E4" s="10" t="s">
        <v>20</v>
      </c>
      <c r="G4" s="9" t="s">
        <v>21</v>
      </c>
    </row>
    <row r="5" spans="1:29" ht="14.25" customHeight="1" x14ac:dyDescent="0.25">
      <c r="A5" s="9" t="s">
        <v>22</v>
      </c>
      <c r="B5" s="9" t="s">
        <v>23</v>
      </c>
      <c r="C5" s="9" t="s">
        <v>24</v>
      </c>
      <c r="D5" s="9" t="s">
        <v>24</v>
      </c>
      <c r="E5" s="9" t="s">
        <v>25</v>
      </c>
      <c r="F5" s="9" t="s">
        <v>11</v>
      </c>
      <c r="G5" s="9" t="s">
        <v>26</v>
      </c>
    </row>
    <row r="6" spans="1:29" ht="14.25" customHeight="1" x14ac:dyDescent="0.25">
      <c r="A6" s="9" t="s">
        <v>27</v>
      </c>
      <c r="B6" s="9" t="s">
        <v>28</v>
      </c>
      <c r="C6" s="9" t="s">
        <v>24</v>
      </c>
      <c r="D6" s="9" t="s">
        <v>24</v>
      </c>
      <c r="E6" s="9" t="s">
        <v>29</v>
      </c>
      <c r="F6" s="9" t="s">
        <v>11</v>
      </c>
      <c r="G6" s="9" t="s">
        <v>30</v>
      </c>
    </row>
    <row r="7" spans="1:29" ht="14.25" customHeight="1" x14ac:dyDescent="0.25">
      <c r="A7" s="9" t="s">
        <v>31</v>
      </c>
      <c r="B7" s="9" t="s">
        <v>32</v>
      </c>
      <c r="C7" s="9" t="s">
        <v>24</v>
      </c>
      <c r="D7" s="9" t="s">
        <v>24</v>
      </c>
      <c r="E7" s="9" t="s">
        <v>25</v>
      </c>
      <c r="F7" s="9" t="s">
        <v>11</v>
      </c>
      <c r="G7" s="9" t="s">
        <v>33</v>
      </c>
      <c r="H7" s="9" t="s">
        <v>34</v>
      </c>
    </row>
    <row r="8" spans="1:29" ht="14.25" customHeight="1" x14ac:dyDescent="0.25">
      <c r="A8" s="9" t="s">
        <v>31</v>
      </c>
      <c r="B8" s="9" t="s">
        <v>35</v>
      </c>
      <c r="C8" s="9" t="s">
        <v>19</v>
      </c>
      <c r="D8" s="9" t="s">
        <v>19</v>
      </c>
      <c r="E8" s="9" t="s">
        <v>29</v>
      </c>
      <c r="G8" s="9" t="s">
        <v>36</v>
      </c>
      <c r="H8" s="9" t="s">
        <v>34</v>
      </c>
    </row>
    <row r="9" spans="1:29" ht="14.25" customHeight="1" x14ac:dyDescent="0.25">
      <c r="A9" s="9" t="s">
        <v>37</v>
      </c>
      <c r="B9" s="9" t="s">
        <v>38</v>
      </c>
      <c r="C9" s="9" t="s">
        <v>39</v>
      </c>
      <c r="D9" s="9" t="s">
        <v>39</v>
      </c>
      <c r="E9" s="9" t="s">
        <v>40</v>
      </c>
      <c r="F9" s="9" t="s">
        <v>11</v>
      </c>
      <c r="G9" s="9" t="s">
        <v>41</v>
      </c>
    </row>
    <row r="10" spans="1:29" ht="14.25" customHeight="1" x14ac:dyDescent="0.25">
      <c r="A10" s="9" t="s">
        <v>42</v>
      </c>
      <c r="B10" s="9" t="s">
        <v>43</v>
      </c>
      <c r="C10" s="9" t="s">
        <v>44</v>
      </c>
      <c r="D10" s="9" t="s">
        <v>44</v>
      </c>
      <c r="E10" s="9" t="s">
        <v>29</v>
      </c>
      <c r="F10" s="9" t="s">
        <v>11</v>
      </c>
      <c r="G10" s="9" t="s">
        <v>45</v>
      </c>
    </row>
    <row r="11" spans="1:29" ht="14.25" customHeight="1" x14ac:dyDescent="0.25">
      <c r="A11" s="11" t="s">
        <v>46</v>
      </c>
      <c r="B11" s="11" t="s">
        <v>47</v>
      </c>
      <c r="C11" s="11" t="s">
        <v>44</v>
      </c>
      <c r="D11" s="11" t="s">
        <v>44</v>
      </c>
      <c r="E11" s="11"/>
      <c r="F11" s="11" t="s">
        <v>11</v>
      </c>
      <c r="G11" s="11" t="s">
        <v>48</v>
      </c>
      <c r="H11" s="11"/>
      <c r="I11" s="11"/>
      <c r="J11" s="11"/>
      <c r="K11" s="11"/>
      <c r="L11" s="11"/>
      <c r="M11" s="11"/>
      <c r="N11" s="11"/>
      <c r="O11" s="11"/>
      <c r="P11" s="11"/>
      <c r="Q11" s="11"/>
      <c r="R11" s="11"/>
      <c r="S11" s="11"/>
      <c r="T11" s="11"/>
      <c r="U11" s="11"/>
      <c r="V11" s="11"/>
      <c r="W11" s="11"/>
      <c r="X11" s="11"/>
      <c r="Y11" s="11"/>
      <c r="Z11" s="11"/>
      <c r="AA11" s="11"/>
      <c r="AB11" s="11"/>
      <c r="AC11" s="11"/>
    </row>
    <row r="12" spans="1:29" ht="14.25" customHeight="1" x14ac:dyDescent="0.25">
      <c r="A12" s="9" t="s">
        <v>49</v>
      </c>
      <c r="B12" s="9" t="s">
        <v>50</v>
      </c>
      <c r="C12" s="9" t="s">
        <v>51</v>
      </c>
      <c r="D12" s="9" t="s">
        <v>24</v>
      </c>
      <c r="F12" s="9" t="s">
        <v>11</v>
      </c>
      <c r="G12" s="9" t="s">
        <v>52</v>
      </c>
    </row>
    <row r="13" spans="1:29" ht="14.25" customHeight="1" x14ac:dyDescent="0.25">
      <c r="A13" s="9" t="s">
        <v>53</v>
      </c>
      <c r="B13" s="9" t="s">
        <v>54</v>
      </c>
      <c r="C13" s="9" t="s">
        <v>19</v>
      </c>
      <c r="D13" s="9" t="s">
        <v>19</v>
      </c>
      <c r="E13" s="9" t="s">
        <v>55</v>
      </c>
      <c r="G13" s="9" t="s">
        <v>56</v>
      </c>
    </row>
    <row r="14" spans="1:29" ht="14.25" customHeight="1" x14ac:dyDescent="0.25">
      <c r="A14" s="9" t="s">
        <v>57</v>
      </c>
      <c r="B14" s="9" t="s">
        <v>58</v>
      </c>
      <c r="C14" s="9" t="s">
        <v>59</v>
      </c>
      <c r="D14" s="9" t="s">
        <v>59</v>
      </c>
      <c r="E14" s="9" t="s">
        <v>60</v>
      </c>
      <c r="F14" s="9" t="s">
        <v>11</v>
      </c>
      <c r="G14" s="9" t="s">
        <v>61</v>
      </c>
    </row>
    <row r="15" spans="1:29" ht="14.25" customHeight="1" x14ac:dyDescent="0.25">
      <c r="A15" s="9" t="s">
        <v>62</v>
      </c>
      <c r="B15" s="9" t="s">
        <v>63</v>
      </c>
      <c r="C15" s="9" t="s">
        <v>64</v>
      </c>
      <c r="D15" s="9" t="s">
        <v>64</v>
      </c>
      <c r="F15" s="9" t="s">
        <v>11</v>
      </c>
    </row>
    <row r="16" spans="1:29" ht="14.25" customHeight="1" x14ac:dyDescent="0.25">
      <c r="A16" s="9" t="s">
        <v>65</v>
      </c>
      <c r="B16" s="9" t="s">
        <v>66</v>
      </c>
      <c r="C16" s="9" t="s">
        <v>39</v>
      </c>
      <c r="D16" s="9" t="s">
        <v>39</v>
      </c>
      <c r="E16" s="9" t="s">
        <v>40</v>
      </c>
      <c r="F16" s="9" t="s">
        <v>11</v>
      </c>
      <c r="G16" s="9" t="s">
        <v>67</v>
      </c>
    </row>
    <row r="17" spans="1:8" ht="14.25" customHeight="1" x14ac:dyDescent="0.25">
      <c r="A17" s="9" t="s">
        <v>65</v>
      </c>
      <c r="B17" s="9" t="s">
        <v>68</v>
      </c>
      <c r="C17" s="9" t="s">
        <v>14</v>
      </c>
      <c r="D17" s="9" t="s">
        <v>69</v>
      </c>
      <c r="F17" s="9" t="s">
        <v>11</v>
      </c>
      <c r="G17" s="9" t="s">
        <v>70</v>
      </c>
    </row>
    <row r="18" spans="1:8" ht="14.25" customHeight="1" x14ac:dyDescent="0.25">
      <c r="A18" s="9" t="s">
        <v>71</v>
      </c>
      <c r="B18" s="9" t="s">
        <v>72</v>
      </c>
      <c r="C18" s="9" t="s">
        <v>19</v>
      </c>
      <c r="D18" s="9" t="s">
        <v>19</v>
      </c>
      <c r="E18" s="10" t="s">
        <v>20</v>
      </c>
      <c r="G18" s="9" t="s">
        <v>73</v>
      </c>
    </row>
    <row r="19" spans="1:8" ht="14.25" customHeight="1" x14ac:dyDescent="0.25">
      <c r="A19" s="9" t="s">
        <v>74</v>
      </c>
      <c r="B19" s="9" t="s">
        <v>75</v>
      </c>
      <c r="C19" s="9" t="s">
        <v>24</v>
      </c>
      <c r="D19" s="9" t="s">
        <v>24</v>
      </c>
      <c r="E19" s="9" t="s">
        <v>76</v>
      </c>
      <c r="F19" s="9" t="s">
        <v>11</v>
      </c>
      <c r="G19" s="9" t="s">
        <v>77</v>
      </c>
    </row>
    <row r="20" spans="1:8" ht="14.25" customHeight="1" x14ac:dyDescent="0.25">
      <c r="A20" s="9" t="s">
        <v>74</v>
      </c>
      <c r="B20" s="9" t="s">
        <v>78</v>
      </c>
      <c r="C20" s="9" t="s">
        <v>59</v>
      </c>
      <c r="D20" s="9" t="s">
        <v>59</v>
      </c>
      <c r="E20" s="9" t="s">
        <v>60</v>
      </c>
      <c r="F20" s="9" t="s">
        <v>11</v>
      </c>
      <c r="G20" s="9" t="s">
        <v>61</v>
      </c>
    </row>
    <row r="21" spans="1:8" ht="14.25" customHeight="1" x14ac:dyDescent="0.25">
      <c r="A21" s="9" t="s">
        <v>79</v>
      </c>
      <c r="B21" s="9" t="s">
        <v>80</v>
      </c>
      <c r="C21" s="9" t="s">
        <v>24</v>
      </c>
      <c r="D21" s="9" t="s">
        <v>24</v>
      </c>
      <c r="E21" s="9" t="s">
        <v>81</v>
      </c>
      <c r="F21" s="9" t="s">
        <v>11</v>
      </c>
      <c r="G21" s="9" t="s">
        <v>82</v>
      </c>
      <c r="H21" s="9" t="s">
        <v>83</v>
      </c>
    </row>
    <row r="22" spans="1:8" ht="14.25" customHeight="1" x14ac:dyDescent="0.25">
      <c r="A22" s="9" t="s">
        <v>84</v>
      </c>
      <c r="B22" s="9" t="s">
        <v>85</v>
      </c>
      <c r="C22" s="9" t="s">
        <v>19</v>
      </c>
      <c r="D22" s="9" t="s">
        <v>19</v>
      </c>
      <c r="E22" s="10" t="s">
        <v>86</v>
      </c>
      <c r="G22" s="9" t="s">
        <v>87</v>
      </c>
    </row>
    <row r="23" spans="1:8" ht="14.25" customHeight="1" x14ac:dyDescent="0.25">
      <c r="A23" s="9" t="s">
        <v>88</v>
      </c>
      <c r="B23" s="9" t="s">
        <v>89</v>
      </c>
      <c r="C23" s="9" t="s">
        <v>44</v>
      </c>
      <c r="D23" s="9" t="s">
        <v>44</v>
      </c>
      <c r="F23" s="9" t="s">
        <v>11</v>
      </c>
      <c r="G23" s="9" t="s">
        <v>90</v>
      </c>
    </row>
    <row r="24" spans="1:8" ht="14.25" customHeight="1" x14ac:dyDescent="0.25">
      <c r="A24" s="9" t="s">
        <v>91</v>
      </c>
      <c r="B24" s="9" t="s">
        <v>92</v>
      </c>
      <c r="C24" s="9" t="s">
        <v>19</v>
      </c>
      <c r="D24" s="9" t="s">
        <v>19</v>
      </c>
      <c r="E24" s="9" t="s">
        <v>29</v>
      </c>
      <c r="G24" s="9" t="s">
        <v>93</v>
      </c>
    </row>
    <row r="25" spans="1:8" ht="14.25" customHeight="1" x14ac:dyDescent="0.25">
      <c r="A25" s="9" t="s">
        <v>94</v>
      </c>
      <c r="B25" s="9" t="s">
        <v>95</v>
      </c>
      <c r="C25" s="9" t="s">
        <v>19</v>
      </c>
      <c r="D25" s="9" t="s">
        <v>19</v>
      </c>
      <c r="E25" s="10" t="s">
        <v>20</v>
      </c>
      <c r="G25" s="9" t="s">
        <v>96</v>
      </c>
    </row>
    <row r="26" spans="1:8" ht="14.25" customHeight="1" x14ac:dyDescent="0.25">
      <c r="A26" s="9" t="s">
        <v>97</v>
      </c>
      <c r="B26" s="9" t="s">
        <v>98</v>
      </c>
      <c r="C26" s="9" t="s">
        <v>19</v>
      </c>
      <c r="D26" s="9" t="s">
        <v>19</v>
      </c>
      <c r="E26" s="9" t="s">
        <v>29</v>
      </c>
      <c r="G26" s="9" t="s">
        <v>30</v>
      </c>
    </row>
    <row r="27" spans="1:8" ht="14.25" customHeight="1" x14ac:dyDescent="0.25">
      <c r="A27" s="9" t="s">
        <v>99</v>
      </c>
      <c r="B27" s="9" t="s">
        <v>100</v>
      </c>
      <c r="C27" s="9" t="s">
        <v>19</v>
      </c>
      <c r="D27" s="9" t="s">
        <v>19</v>
      </c>
      <c r="E27" s="9" t="s">
        <v>29</v>
      </c>
      <c r="G27" s="9" t="s">
        <v>101</v>
      </c>
    </row>
    <row r="28" spans="1:8" ht="14.25" customHeight="1" x14ac:dyDescent="0.25">
      <c r="A28" s="9" t="s">
        <v>102</v>
      </c>
      <c r="B28" s="9" t="s">
        <v>103</v>
      </c>
      <c r="C28" s="9" t="s">
        <v>19</v>
      </c>
      <c r="D28" s="9" t="s">
        <v>19</v>
      </c>
      <c r="E28" s="9" t="s">
        <v>104</v>
      </c>
      <c r="G28" s="9" t="s">
        <v>105</v>
      </c>
    </row>
    <row r="29" spans="1:8" ht="14.25" customHeight="1" x14ac:dyDescent="0.25">
      <c r="A29" s="9" t="s">
        <v>102</v>
      </c>
      <c r="B29" s="9" t="s">
        <v>106</v>
      </c>
      <c r="C29" s="9" t="s">
        <v>19</v>
      </c>
      <c r="D29" s="9" t="s">
        <v>19</v>
      </c>
      <c r="E29" s="9" t="s">
        <v>29</v>
      </c>
      <c r="G29" s="9" t="s">
        <v>107</v>
      </c>
    </row>
    <row r="30" spans="1:8" ht="14.25" customHeight="1" x14ac:dyDescent="0.25">
      <c r="A30" s="9" t="s">
        <v>108</v>
      </c>
      <c r="B30" s="9" t="s">
        <v>109</v>
      </c>
      <c r="C30" s="9" t="s">
        <v>19</v>
      </c>
      <c r="D30" s="9" t="s">
        <v>19</v>
      </c>
      <c r="E30" s="9" t="s">
        <v>29</v>
      </c>
      <c r="G30" s="9" t="s">
        <v>110</v>
      </c>
    </row>
    <row r="31" spans="1:8" ht="14.25" customHeight="1" x14ac:dyDescent="0.25">
      <c r="A31" s="9" t="s">
        <v>111</v>
      </c>
      <c r="B31" s="9" t="s">
        <v>112</v>
      </c>
      <c r="C31" s="9" t="s">
        <v>19</v>
      </c>
      <c r="D31" s="9" t="s">
        <v>19</v>
      </c>
      <c r="E31" s="9" t="s">
        <v>113</v>
      </c>
      <c r="G31" s="9" t="s">
        <v>114</v>
      </c>
    </row>
    <row r="32" spans="1:8" ht="14.25" customHeight="1" x14ac:dyDescent="0.25">
      <c r="A32" s="9" t="s">
        <v>115</v>
      </c>
      <c r="B32" s="9" t="s">
        <v>116</v>
      </c>
      <c r="C32" s="9" t="s">
        <v>19</v>
      </c>
      <c r="D32" s="9" t="s">
        <v>19</v>
      </c>
      <c r="E32" s="9" t="s">
        <v>55</v>
      </c>
      <c r="G32" s="9" t="s">
        <v>117</v>
      </c>
    </row>
    <row r="33" spans="1:8" ht="14.25" customHeight="1" x14ac:dyDescent="0.25">
      <c r="A33" s="9" t="s">
        <v>118</v>
      </c>
      <c r="B33" s="9" t="s">
        <v>119</v>
      </c>
      <c r="C33" s="9" t="s">
        <v>19</v>
      </c>
      <c r="D33" s="9" t="s">
        <v>19</v>
      </c>
      <c r="E33" s="9" t="s">
        <v>29</v>
      </c>
      <c r="G33" s="9" t="s">
        <v>30</v>
      </c>
    </row>
    <row r="34" spans="1:8" ht="14.25" customHeight="1" x14ac:dyDescent="0.25">
      <c r="A34" s="9" t="s">
        <v>120</v>
      </c>
      <c r="B34" s="9" t="s">
        <v>121</v>
      </c>
      <c r="C34" s="9" t="s">
        <v>19</v>
      </c>
      <c r="D34" s="9" t="s">
        <v>19</v>
      </c>
      <c r="E34" s="9" t="s">
        <v>29</v>
      </c>
      <c r="G34" s="9" t="s">
        <v>122</v>
      </c>
    </row>
    <row r="35" spans="1:8" ht="14.25" customHeight="1" x14ac:dyDescent="0.25">
      <c r="A35" s="9" t="s">
        <v>123</v>
      </c>
      <c r="B35" s="9" t="s">
        <v>124</v>
      </c>
      <c r="C35" s="9" t="s">
        <v>19</v>
      </c>
      <c r="D35" s="9" t="s">
        <v>19</v>
      </c>
      <c r="E35" s="10" t="s">
        <v>86</v>
      </c>
      <c r="G35" s="9" t="s">
        <v>125</v>
      </c>
    </row>
    <row r="36" spans="1:8" ht="14.25" customHeight="1" x14ac:dyDescent="0.25">
      <c r="A36" s="9" t="s">
        <v>126</v>
      </c>
      <c r="B36" s="9" t="s">
        <v>127</v>
      </c>
      <c r="C36" s="9" t="s">
        <v>128</v>
      </c>
      <c r="D36" s="9" t="s">
        <v>128</v>
      </c>
      <c r="F36" s="9" t="s">
        <v>11</v>
      </c>
      <c r="G36" s="9" t="s">
        <v>129</v>
      </c>
    </row>
    <row r="37" spans="1:8" ht="14.25" customHeight="1" x14ac:dyDescent="0.25">
      <c r="A37" s="9" t="s">
        <v>130</v>
      </c>
      <c r="B37" s="9" t="s">
        <v>131</v>
      </c>
      <c r="C37" s="9" t="s">
        <v>19</v>
      </c>
      <c r="D37" s="9" t="s">
        <v>19</v>
      </c>
      <c r="E37" s="9" t="s">
        <v>104</v>
      </c>
      <c r="G37" s="9" t="s">
        <v>104</v>
      </c>
    </row>
    <row r="38" spans="1:8" ht="14.25" customHeight="1" x14ac:dyDescent="0.25">
      <c r="A38" s="9" t="s">
        <v>132</v>
      </c>
      <c r="B38" s="9" t="s">
        <v>133</v>
      </c>
      <c r="C38" s="9" t="s">
        <v>19</v>
      </c>
      <c r="D38" s="9" t="s">
        <v>19</v>
      </c>
      <c r="G38" s="9" t="s">
        <v>134</v>
      </c>
    </row>
    <row r="39" spans="1:8" ht="14.25" customHeight="1" x14ac:dyDescent="0.25">
      <c r="A39" s="9" t="s">
        <v>135</v>
      </c>
      <c r="B39" s="9" t="s">
        <v>136</v>
      </c>
      <c r="C39" s="9" t="s">
        <v>19</v>
      </c>
      <c r="D39" s="9" t="s">
        <v>19</v>
      </c>
      <c r="E39" s="9" t="s">
        <v>104</v>
      </c>
      <c r="G39" s="9" t="s">
        <v>137</v>
      </c>
    </row>
    <row r="40" spans="1:8" ht="14.25" customHeight="1" x14ac:dyDescent="0.25">
      <c r="A40" s="9" t="s">
        <v>138</v>
      </c>
      <c r="B40" s="9" t="s">
        <v>139</v>
      </c>
      <c r="C40" s="9" t="s">
        <v>19</v>
      </c>
      <c r="D40" s="9" t="s">
        <v>51</v>
      </c>
      <c r="F40" s="9" t="s">
        <v>11</v>
      </c>
      <c r="G40" s="9" t="s">
        <v>110</v>
      </c>
    </row>
    <row r="41" spans="1:8" ht="14.25" customHeight="1" x14ac:dyDescent="0.25">
      <c r="A41" s="9" t="s">
        <v>140</v>
      </c>
      <c r="B41" s="9" t="s">
        <v>141</v>
      </c>
      <c r="C41" s="9" t="s">
        <v>19</v>
      </c>
      <c r="D41" s="9" t="s">
        <v>19</v>
      </c>
      <c r="E41" s="10" t="s">
        <v>86</v>
      </c>
      <c r="G41" s="9" t="s">
        <v>87</v>
      </c>
    </row>
    <row r="42" spans="1:8" ht="14.25" customHeight="1" x14ac:dyDescent="0.25">
      <c r="A42" s="9" t="s">
        <v>142</v>
      </c>
      <c r="B42" s="9" t="s">
        <v>143</v>
      </c>
      <c r="C42" s="9" t="s">
        <v>51</v>
      </c>
      <c r="D42" s="12" t="s">
        <v>144</v>
      </c>
      <c r="F42" s="9" t="s">
        <v>11</v>
      </c>
      <c r="G42" s="9" t="s">
        <v>145</v>
      </c>
    </row>
    <row r="43" spans="1:8" ht="14.25" customHeight="1" x14ac:dyDescent="0.25">
      <c r="A43" s="9" t="s">
        <v>146</v>
      </c>
      <c r="B43" s="9" t="s">
        <v>147</v>
      </c>
      <c r="C43" s="9" t="s">
        <v>10</v>
      </c>
      <c r="D43" s="9" t="s">
        <v>10</v>
      </c>
      <c r="F43" s="9" t="s">
        <v>11</v>
      </c>
      <c r="G43" s="9" t="s">
        <v>148</v>
      </c>
    </row>
    <row r="44" spans="1:8" ht="14.25" customHeight="1" x14ac:dyDescent="0.25">
      <c r="A44" s="9" t="s">
        <v>149</v>
      </c>
      <c r="B44" s="9" t="s">
        <v>150</v>
      </c>
      <c r="C44" s="9" t="s">
        <v>19</v>
      </c>
      <c r="D44" s="9" t="s">
        <v>19</v>
      </c>
      <c r="E44" s="9" t="s">
        <v>104</v>
      </c>
      <c r="G44" s="9" t="s">
        <v>151</v>
      </c>
      <c r="H44" s="9" t="s">
        <v>152</v>
      </c>
    </row>
    <row r="45" spans="1:8" ht="14.25" customHeight="1" x14ac:dyDescent="0.25">
      <c r="A45" s="9" t="s">
        <v>153</v>
      </c>
      <c r="B45" s="9" t="s">
        <v>154</v>
      </c>
      <c r="C45" s="9" t="s">
        <v>19</v>
      </c>
      <c r="D45" s="9" t="s">
        <v>19</v>
      </c>
      <c r="G45" s="9" t="s">
        <v>155</v>
      </c>
    </row>
    <row r="46" spans="1:8" ht="14.25" customHeight="1" x14ac:dyDescent="0.25">
      <c r="A46" s="9" t="s">
        <v>156</v>
      </c>
      <c r="B46" s="9" t="s">
        <v>157</v>
      </c>
      <c r="C46" s="9" t="s">
        <v>10</v>
      </c>
      <c r="D46" s="9" t="s">
        <v>19</v>
      </c>
      <c r="G46" s="9" t="s">
        <v>148</v>
      </c>
    </row>
    <row r="47" spans="1:8" ht="14.25" customHeight="1" x14ac:dyDescent="0.25">
      <c r="A47" s="9" t="s">
        <v>156</v>
      </c>
      <c r="B47" s="9" t="s">
        <v>158</v>
      </c>
      <c r="C47" s="9" t="s">
        <v>59</v>
      </c>
      <c r="D47" s="9" t="s">
        <v>59</v>
      </c>
      <c r="E47" s="9" t="s">
        <v>159</v>
      </c>
      <c r="F47" s="9" t="s">
        <v>11</v>
      </c>
      <c r="G47" s="9" t="s">
        <v>160</v>
      </c>
    </row>
    <row r="48" spans="1:8" ht="14.25" customHeight="1" x14ac:dyDescent="0.25">
      <c r="A48" s="9" t="s">
        <v>156</v>
      </c>
      <c r="B48" s="9" t="s">
        <v>161</v>
      </c>
      <c r="C48" s="9" t="s">
        <v>19</v>
      </c>
      <c r="D48" s="9" t="s">
        <v>44</v>
      </c>
      <c r="E48" s="9" t="s">
        <v>55</v>
      </c>
      <c r="F48" s="9" t="s">
        <v>11</v>
      </c>
      <c r="G48" s="9" t="s">
        <v>55</v>
      </c>
    </row>
    <row r="49" spans="1:29" ht="14.25" customHeight="1" x14ac:dyDescent="0.25">
      <c r="A49" s="9" t="s">
        <v>162</v>
      </c>
      <c r="B49" s="9" t="s">
        <v>163</v>
      </c>
      <c r="C49" s="9" t="s">
        <v>19</v>
      </c>
      <c r="D49" s="9" t="s">
        <v>19</v>
      </c>
      <c r="G49" s="9" t="s">
        <v>164</v>
      </c>
    </row>
    <row r="50" spans="1:29" ht="14.25" customHeight="1" x14ac:dyDescent="0.25">
      <c r="A50" s="9" t="s">
        <v>165</v>
      </c>
      <c r="B50" s="9" t="s">
        <v>166</v>
      </c>
      <c r="C50" s="9" t="s">
        <v>19</v>
      </c>
      <c r="D50" s="9" t="s">
        <v>19</v>
      </c>
      <c r="E50" s="9" t="s">
        <v>29</v>
      </c>
      <c r="G50" s="9" t="s">
        <v>93</v>
      </c>
    </row>
    <row r="51" spans="1:29" ht="14.25" customHeight="1" x14ac:dyDescent="0.25">
      <c r="A51" s="9" t="s">
        <v>167</v>
      </c>
      <c r="B51" s="9" t="s">
        <v>168</v>
      </c>
      <c r="C51" s="9" t="s">
        <v>128</v>
      </c>
      <c r="D51" s="9" t="s">
        <v>128</v>
      </c>
      <c r="F51" s="9" t="s">
        <v>11</v>
      </c>
      <c r="G51" s="9" t="s">
        <v>129</v>
      </c>
    </row>
    <row r="52" spans="1:29" ht="14.25" customHeight="1" x14ac:dyDescent="0.25">
      <c r="A52" s="9" t="s">
        <v>169</v>
      </c>
      <c r="B52" s="9" t="s">
        <v>170</v>
      </c>
      <c r="C52" s="9" t="s">
        <v>19</v>
      </c>
      <c r="D52" s="9" t="s">
        <v>44</v>
      </c>
      <c r="E52" s="9" t="s">
        <v>29</v>
      </c>
      <c r="F52" s="9" t="s">
        <v>11</v>
      </c>
      <c r="G52" s="9" t="s">
        <v>101</v>
      </c>
    </row>
    <row r="53" spans="1:29" ht="14.25" customHeight="1" x14ac:dyDescent="0.25">
      <c r="A53" s="9" t="s">
        <v>171</v>
      </c>
      <c r="B53" s="9" t="s">
        <v>172</v>
      </c>
      <c r="C53" s="9" t="s">
        <v>19</v>
      </c>
      <c r="D53" s="9" t="s">
        <v>19</v>
      </c>
      <c r="E53" s="9" t="s">
        <v>29</v>
      </c>
      <c r="G53" s="9" t="s">
        <v>45</v>
      </c>
    </row>
    <row r="54" spans="1:29" ht="14.25" customHeight="1" x14ac:dyDescent="0.25">
      <c r="A54" s="9" t="s">
        <v>173</v>
      </c>
      <c r="B54" s="9" t="s">
        <v>174</v>
      </c>
      <c r="C54" s="9" t="s">
        <v>19</v>
      </c>
      <c r="D54" s="9" t="s">
        <v>19</v>
      </c>
      <c r="E54" s="9" t="s">
        <v>29</v>
      </c>
      <c r="G54" s="9" t="s">
        <v>175</v>
      </c>
    </row>
    <row r="55" spans="1:29" ht="14.25" customHeight="1" x14ac:dyDescent="0.25">
      <c r="A55" s="9" t="s">
        <v>176</v>
      </c>
      <c r="B55" s="9" t="s">
        <v>177</v>
      </c>
      <c r="C55" s="9" t="s">
        <v>19</v>
      </c>
      <c r="D55" s="9" t="s">
        <v>19</v>
      </c>
      <c r="E55" s="9" t="s">
        <v>29</v>
      </c>
      <c r="G55" s="9" t="s">
        <v>122</v>
      </c>
    </row>
    <row r="56" spans="1:29" ht="14.25" customHeight="1" x14ac:dyDescent="0.25">
      <c r="A56" s="9" t="s">
        <v>178</v>
      </c>
      <c r="B56" s="9" t="s">
        <v>179</v>
      </c>
      <c r="C56" s="9" t="s">
        <v>19</v>
      </c>
      <c r="D56" s="9" t="s">
        <v>19</v>
      </c>
      <c r="E56" s="10" t="s">
        <v>20</v>
      </c>
      <c r="G56" s="9" t="s">
        <v>180</v>
      </c>
    </row>
    <row r="57" spans="1:29" ht="14.25" customHeight="1" x14ac:dyDescent="0.25">
      <c r="A57" s="9" t="s">
        <v>181</v>
      </c>
      <c r="B57" s="9" t="s">
        <v>182</v>
      </c>
      <c r="C57" s="9" t="s">
        <v>19</v>
      </c>
      <c r="D57" s="9" t="s">
        <v>19</v>
      </c>
      <c r="E57" s="10" t="s">
        <v>20</v>
      </c>
      <c r="G57" s="9" t="s">
        <v>183</v>
      </c>
    </row>
    <row r="58" spans="1:29" ht="14.25" customHeight="1" x14ac:dyDescent="0.25">
      <c r="A58" s="9" t="s">
        <v>184</v>
      </c>
      <c r="B58" s="9" t="s">
        <v>185</v>
      </c>
      <c r="C58" s="9" t="s">
        <v>19</v>
      </c>
      <c r="D58" s="9" t="s">
        <v>19</v>
      </c>
      <c r="E58" s="9" t="s">
        <v>186</v>
      </c>
      <c r="G58" s="9" t="s">
        <v>187</v>
      </c>
    </row>
    <row r="59" spans="1:29" ht="14.25" customHeight="1" x14ac:dyDescent="0.25">
      <c r="A59" s="9" t="s">
        <v>188</v>
      </c>
      <c r="B59" s="9" t="s">
        <v>189</v>
      </c>
      <c r="C59" s="9" t="s">
        <v>19</v>
      </c>
      <c r="D59" s="9" t="s">
        <v>19</v>
      </c>
      <c r="E59" s="9" t="s">
        <v>186</v>
      </c>
      <c r="G59" s="9" t="s">
        <v>186</v>
      </c>
    </row>
    <row r="60" spans="1:29" ht="14.25" customHeight="1" x14ac:dyDescent="0.25">
      <c r="A60" s="9" t="s">
        <v>190</v>
      </c>
      <c r="B60" s="9" t="s">
        <v>191</v>
      </c>
      <c r="C60" s="9" t="s">
        <v>19</v>
      </c>
      <c r="D60" s="9" t="s">
        <v>19</v>
      </c>
      <c r="E60" s="9" t="s">
        <v>29</v>
      </c>
      <c r="G60" s="9" t="s">
        <v>192</v>
      </c>
    </row>
    <row r="61" spans="1:29" ht="14.25" customHeight="1" x14ac:dyDescent="0.25">
      <c r="A61" s="11" t="s">
        <v>193</v>
      </c>
      <c r="B61" s="11" t="s">
        <v>194</v>
      </c>
      <c r="C61" s="11" t="s">
        <v>19</v>
      </c>
      <c r="D61" s="11" t="s">
        <v>19</v>
      </c>
      <c r="E61" s="11"/>
      <c r="F61" s="11"/>
      <c r="G61" s="11" t="s">
        <v>195</v>
      </c>
      <c r="H61" s="11"/>
      <c r="I61" s="11"/>
      <c r="J61" s="11"/>
      <c r="K61" s="11"/>
      <c r="L61" s="11"/>
      <c r="M61" s="11"/>
      <c r="N61" s="11"/>
      <c r="O61" s="11"/>
      <c r="P61" s="11"/>
      <c r="Q61" s="11"/>
      <c r="R61" s="11"/>
      <c r="S61" s="11"/>
      <c r="T61" s="11"/>
      <c r="U61" s="11"/>
      <c r="V61" s="11"/>
      <c r="W61" s="11"/>
      <c r="X61" s="11"/>
      <c r="Y61" s="11"/>
      <c r="Z61" s="11"/>
      <c r="AA61" s="11"/>
      <c r="AB61" s="11"/>
      <c r="AC61" s="11"/>
    </row>
    <row r="62" spans="1:29" ht="14.25" customHeight="1" x14ac:dyDescent="0.25">
      <c r="A62" s="9" t="s">
        <v>196</v>
      </c>
      <c r="H62" s="9" t="s">
        <v>197</v>
      </c>
    </row>
    <row r="63" spans="1:29" ht="14.25" customHeight="1" x14ac:dyDescent="0.25">
      <c r="A63" s="9" t="s">
        <v>198</v>
      </c>
      <c r="B63" s="9" t="s">
        <v>199</v>
      </c>
      <c r="C63" s="9" t="s">
        <v>19</v>
      </c>
      <c r="D63" s="9" t="s">
        <v>19</v>
      </c>
      <c r="E63" s="9" t="s">
        <v>200</v>
      </c>
      <c r="G63" s="9" t="s">
        <v>201</v>
      </c>
    </row>
    <row r="64" spans="1:29" ht="14.25" customHeight="1" x14ac:dyDescent="0.25">
      <c r="A64" s="9" t="s">
        <v>202</v>
      </c>
      <c r="B64" s="9" t="s">
        <v>203</v>
      </c>
      <c r="C64" s="9" t="s">
        <v>204</v>
      </c>
      <c r="D64" s="9" t="s">
        <v>204</v>
      </c>
      <c r="E64" s="9" t="s">
        <v>113</v>
      </c>
      <c r="F64" s="9" t="s">
        <v>11</v>
      </c>
      <c r="G64" s="9" t="s">
        <v>114</v>
      </c>
    </row>
    <row r="65" spans="1:7" ht="14.25" customHeight="1" x14ac:dyDescent="0.25">
      <c r="A65" s="9" t="s">
        <v>205</v>
      </c>
      <c r="B65" s="9" t="s">
        <v>206</v>
      </c>
      <c r="C65" s="9" t="s">
        <v>44</v>
      </c>
      <c r="D65" s="9" t="s">
        <v>51</v>
      </c>
      <c r="F65" s="9" t="s">
        <v>11</v>
      </c>
      <c r="G65" s="9" t="s">
        <v>207</v>
      </c>
    </row>
    <row r="66" spans="1:7" ht="14.25" customHeight="1" x14ac:dyDescent="0.25">
      <c r="A66" s="9" t="s">
        <v>205</v>
      </c>
      <c r="B66" s="9" t="s">
        <v>208</v>
      </c>
      <c r="C66" s="9" t="s">
        <v>44</v>
      </c>
      <c r="D66" s="9" t="s">
        <v>59</v>
      </c>
      <c r="F66" s="9" t="s">
        <v>11</v>
      </c>
      <c r="G66" s="9" t="s">
        <v>207</v>
      </c>
    </row>
    <row r="67" spans="1:7" ht="14.25" customHeight="1" x14ac:dyDescent="0.25">
      <c r="A67" s="9" t="s">
        <v>205</v>
      </c>
      <c r="B67" s="9" t="s">
        <v>209</v>
      </c>
      <c r="C67" s="9" t="s">
        <v>204</v>
      </c>
      <c r="D67" s="9" t="s">
        <v>204</v>
      </c>
      <c r="F67" s="9" t="s">
        <v>11</v>
      </c>
      <c r="G67" s="9" t="s">
        <v>114</v>
      </c>
    </row>
    <row r="68" spans="1:7" ht="14.25" customHeight="1" x14ac:dyDescent="0.25">
      <c r="A68" s="9" t="s">
        <v>205</v>
      </c>
      <c r="B68" s="9" t="s">
        <v>210</v>
      </c>
      <c r="C68" s="9" t="s">
        <v>19</v>
      </c>
      <c r="D68" s="9" t="s">
        <v>19</v>
      </c>
      <c r="E68" s="9" t="s">
        <v>29</v>
      </c>
      <c r="G68" s="9" t="s">
        <v>122</v>
      </c>
    </row>
    <row r="69" spans="1:7" ht="14.25" customHeight="1" x14ac:dyDescent="0.25">
      <c r="A69" s="9" t="s">
        <v>211</v>
      </c>
      <c r="B69" s="9" t="s">
        <v>212</v>
      </c>
      <c r="C69" s="9" t="s">
        <v>19</v>
      </c>
      <c r="D69" s="9" t="s">
        <v>19</v>
      </c>
      <c r="E69" s="9" t="s">
        <v>104</v>
      </c>
      <c r="G69" s="9" t="s">
        <v>213</v>
      </c>
    </row>
    <row r="70" spans="1:7" ht="14.25" customHeight="1" x14ac:dyDescent="0.25">
      <c r="A70" s="9" t="s">
        <v>214</v>
      </c>
      <c r="B70" s="9" t="s">
        <v>215</v>
      </c>
      <c r="C70" s="9" t="s">
        <v>19</v>
      </c>
      <c r="D70" s="9" t="s">
        <v>19</v>
      </c>
      <c r="E70" s="9" t="s">
        <v>186</v>
      </c>
      <c r="G70" s="9" t="s">
        <v>187</v>
      </c>
    </row>
    <row r="71" spans="1:7" ht="14.25" customHeight="1" x14ac:dyDescent="0.25">
      <c r="A71" s="9" t="s">
        <v>216</v>
      </c>
      <c r="B71" s="9" t="s">
        <v>217</v>
      </c>
      <c r="C71" s="9" t="s">
        <v>24</v>
      </c>
      <c r="D71" s="9" t="s">
        <v>24</v>
      </c>
      <c r="E71" s="9" t="s">
        <v>25</v>
      </c>
      <c r="F71" s="9" t="s">
        <v>218</v>
      </c>
      <c r="G71" s="9" t="s">
        <v>219</v>
      </c>
    </row>
    <row r="72" spans="1:7" ht="14.25" customHeight="1" x14ac:dyDescent="0.25">
      <c r="A72" s="9" t="s">
        <v>216</v>
      </c>
      <c r="B72" s="9" t="s">
        <v>220</v>
      </c>
      <c r="C72" s="9" t="s">
        <v>51</v>
      </c>
      <c r="D72" s="9" t="s">
        <v>51</v>
      </c>
      <c r="F72" s="9" t="s">
        <v>218</v>
      </c>
      <c r="G72" s="9" t="s">
        <v>221</v>
      </c>
    </row>
    <row r="73" spans="1:7" ht="14.25" customHeight="1" x14ac:dyDescent="0.25">
      <c r="A73" s="9" t="s">
        <v>222</v>
      </c>
      <c r="B73" s="9" t="s">
        <v>223</v>
      </c>
      <c r="C73" s="9" t="s">
        <v>44</v>
      </c>
      <c r="D73" s="9" t="s">
        <v>69</v>
      </c>
      <c r="F73" s="9" t="s">
        <v>224</v>
      </c>
      <c r="G73" s="9" t="s">
        <v>207</v>
      </c>
    </row>
    <row r="74" spans="1:7" ht="14.25" customHeight="1" x14ac:dyDescent="0.25">
      <c r="A74" s="9" t="s">
        <v>225</v>
      </c>
      <c r="B74" s="9" t="s">
        <v>226</v>
      </c>
      <c r="C74" s="9" t="s">
        <v>227</v>
      </c>
      <c r="D74" s="9" t="s">
        <v>227</v>
      </c>
      <c r="E74" s="9" t="s">
        <v>29</v>
      </c>
      <c r="F74" s="9" t="s">
        <v>218</v>
      </c>
      <c r="G74" s="9" t="s">
        <v>122</v>
      </c>
    </row>
    <row r="75" spans="1:7" ht="14.25" customHeight="1" x14ac:dyDescent="0.25">
      <c r="A75" s="9" t="s">
        <v>228</v>
      </c>
      <c r="B75" s="9" t="s">
        <v>229</v>
      </c>
      <c r="C75" s="9" t="s">
        <v>19</v>
      </c>
      <c r="D75" s="9" t="s">
        <v>19</v>
      </c>
      <c r="E75" s="9" t="s">
        <v>55</v>
      </c>
      <c r="G75" s="9" t="s">
        <v>230</v>
      </c>
    </row>
    <row r="76" spans="1:7" ht="14.25" customHeight="1" x14ac:dyDescent="0.25">
      <c r="A76" s="9" t="s">
        <v>228</v>
      </c>
      <c r="B76" s="9" t="s">
        <v>231</v>
      </c>
      <c r="C76" s="9" t="s">
        <v>39</v>
      </c>
      <c r="D76" s="9" t="s">
        <v>39</v>
      </c>
      <c r="E76" s="9" t="s">
        <v>186</v>
      </c>
      <c r="F76" s="9" t="s">
        <v>11</v>
      </c>
      <c r="G76" s="9" t="s">
        <v>232</v>
      </c>
    </row>
    <row r="77" spans="1:7" ht="14.25" customHeight="1" x14ac:dyDescent="0.25">
      <c r="A77" s="9" t="s">
        <v>228</v>
      </c>
      <c r="B77" s="9" t="s">
        <v>233</v>
      </c>
      <c r="C77" s="9" t="s">
        <v>19</v>
      </c>
      <c r="D77" s="9" t="s">
        <v>19</v>
      </c>
      <c r="E77" s="9" t="s">
        <v>186</v>
      </c>
      <c r="G77" s="9" t="s">
        <v>232</v>
      </c>
    </row>
    <row r="78" spans="1:7" ht="14.25" customHeight="1" x14ac:dyDescent="0.25">
      <c r="A78" s="9" t="s">
        <v>234</v>
      </c>
      <c r="B78" s="9" t="s">
        <v>235</v>
      </c>
      <c r="C78" s="9" t="s">
        <v>10</v>
      </c>
      <c r="D78" s="9" t="s">
        <v>10</v>
      </c>
      <c r="F78" s="9" t="s">
        <v>218</v>
      </c>
      <c r="G78" s="9" t="s">
        <v>148</v>
      </c>
    </row>
    <row r="79" spans="1:7" ht="14.25" customHeight="1" x14ac:dyDescent="0.25">
      <c r="A79" s="9" t="s">
        <v>236</v>
      </c>
      <c r="B79" s="9" t="s">
        <v>237</v>
      </c>
      <c r="C79" s="9" t="s">
        <v>19</v>
      </c>
      <c r="D79" s="9" t="s">
        <v>19</v>
      </c>
      <c r="E79" s="9" t="s">
        <v>29</v>
      </c>
      <c r="G79" s="9" t="s">
        <v>238</v>
      </c>
    </row>
    <row r="80" spans="1:7" ht="14.25" customHeight="1" x14ac:dyDescent="0.25">
      <c r="A80" s="9" t="s">
        <v>239</v>
      </c>
      <c r="B80" s="9" t="s">
        <v>240</v>
      </c>
      <c r="C80" s="9" t="s">
        <v>10</v>
      </c>
      <c r="D80" s="9" t="s">
        <v>10</v>
      </c>
      <c r="F80" s="9" t="s">
        <v>11</v>
      </c>
      <c r="G80" s="9" t="s">
        <v>148</v>
      </c>
    </row>
    <row r="81" spans="1:7" ht="14.25" customHeight="1" x14ac:dyDescent="0.25">
      <c r="A81" s="9" t="s">
        <v>241</v>
      </c>
      <c r="B81" s="9" t="s">
        <v>242</v>
      </c>
      <c r="C81" s="9" t="s">
        <v>19</v>
      </c>
      <c r="D81" s="9" t="s">
        <v>19</v>
      </c>
      <c r="E81" s="9" t="s">
        <v>29</v>
      </c>
      <c r="G81" s="9" t="s">
        <v>110</v>
      </c>
    </row>
    <row r="82" spans="1:7" ht="14.25" customHeight="1" x14ac:dyDescent="0.25">
      <c r="A82" s="9" t="s">
        <v>243</v>
      </c>
      <c r="B82" s="9" t="s">
        <v>244</v>
      </c>
      <c r="C82" s="9" t="s">
        <v>204</v>
      </c>
      <c r="D82" s="9" t="s">
        <v>204</v>
      </c>
      <c r="E82" s="9" t="s">
        <v>113</v>
      </c>
      <c r="F82" s="9" t="s">
        <v>11</v>
      </c>
      <c r="G82" s="9" t="s">
        <v>114</v>
      </c>
    </row>
    <row r="83" spans="1:7" ht="14.25" customHeight="1" x14ac:dyDescent="0.25">
      <c r="A83" s="9" t="s">
        <v>243</v>
      </c>
      <c r="B83" s="9" t="s">
        <v>245</v>
      </c>
      <c r="C83" s="9" t="s">
        <v>19</v>
      </c>
      <c r="D83" s="9" t="s">
        <v>19</v>
      </c>
      <c r="E83" s="10" t="s">
        <v>86</v>
      </c>
      <c r="G83" s="9" t="s">
        <v>125</v>
      </c>
    </row>
    <row r="84" spans="1:7" ht="14.25" customHeight="1" x14ac:dyDescent="0.25">
      <c r="A84" s="9" t="s">
        <v>246</v>
      </c>
      <c r="B84" s="9" t="s">
        <v>247</v>
      </c>
      <c r="C84" s="9" t="s">
        <v>19</v>
      </c>
      <c r="D84" s="9" t="s">
        <v>19</v>
      </c>
      <c r="E84" s="9" t="s">
        <v>104</v>
      </c>
      <c r="G84" s="9" t="s">
        <v>105</v>
      </c>
    </row>
    <row r="85" spans="1:7" ht="14.25" customHeight="1" x14ac:dyDescent="0.25">
      <c r="A85" s="9" t="s">
        <v>248</v>
      </c>
      <c r="B85" s="9" t="s">
        <v>249</v>
      </c>
      <c r="C85" s="9" t="s">
        <v>19</v>
      </c>
      <c r="D85" s="9" t="s">
        <v>19</v>
      </c>
      <c r="E85" s="9" t="s">
        <v>29</v>
      </c>
      <c r="G85" s="9" t="s">
        <v>110</v>
      </c>
    </row>
    <row r="86" spans="1:7" ht="14.25" customHeight="1" x14ac:dyDescent="0.25">
      <c r="A86" s="9" t="s">
        <v>250</v>
      </c>
      <c r="B86" s="9" t="s">
        <v>251</v>
      </c>
      <c r="C86" s="9" t="s">
        <v>19</v>
      </c>
      <c r="D86" s="9" t="s">
        <v>24</v>
      </c>
      <c r="E86" s="9" t="s">
        <v>29</v>
      </c>
      <c r="F86" s="9" t="s">
        <v>11</v>
      </c>
      <c r="G86" s="9" t="s">
        <v>134</v>
      </c>
    </row>
    <row r="87" spans="1:7" ht="14.25" customHeight="1" x14ac:dyDescent="0.25">
      <c r="A87" s="9" t="s">
        <v>252</v>
      </c>
      <c r="B87" s="9" t="s">
        <v>253</v>
      </c>
      <c r="C87" s="9" t="s">
        <v>10</v>
      </c>
      <c r="D87" s="9" t="s">
        <v>10</v>
      </c>
      <c r="F87" s="9" t="s">
        <v>11</v>
      </c>
      <c r="G87" s="9" t="s">
        <v>254</v>
      </c>
    </row>
    <row r="88" spans="1:7" ht="14.25" customHeight="1" x14ac:dyDescent="0.25">
      <c r="A88" s="9" t="s">
        <v>255</v>
      </c>
      <c r="B88" s="9" t="s">
        <v>256</v>
      </c>
      <c r="C88" s="9" t="s">
        <v>19</v>
      </c>
      <c r="D88" s="9" t="s">
        <v>19</v>
      </c>
      <c r="G88" s="9" t="s">
        <v>195</v>
      </c>
    </row>
    <row r="89" spans="1:7" ht="14.25" customHeight="1" x14ac:dyDescent="0.25">
      <c r="A89" s="9" t="s">
        <v>257</v>
      </c>
      <c r="B89" s="9" t="s">
        <v>258</v>
      </c>
      <c r="C89" s="9" t="s">
        <v>204</v>
      </c>
      <c r="D89" s="9" t="s">
        <v>204</v>
      </c>
      <c r="F89" s="9" t="s">
        <v>11</v>
      </c>
      <c r="G89" s="9" t="s">
        <v>114</v>
      </c>
    </row>
    <row r="90" spans="1:7" ht="14.25" customHeight="1" x14ac:dyDescent="0.25">
      <c r="A90" s="9" t="s">
        <v>257</v>
      </c>
      <c r="B90" s="9" t="s">
        <v>259</v>
      </c>
      <c r="C90" s="9" t="s">
        <v>59</v>
      </c>
      <c r="D90" s="9" t="s">
        <v>59</v>
      </c>
      <c r="E90" s="9" t="s">
        <v>159</v>
      </c>
      <c r="F90" s="9" t="s">
        <v>11</v>
      </c>
      <c r="G90" s="9" t="s">
        <v>160</v>
      </c>
    </row>
    <row r="91" spans="1:7" ht="14.25" customHeight="1" x14ac:dyDescent="0.25">
      <c r="A91" s="9" t="s">
        <v>260</v>
      </c>
      <c r="B91" s="9" t="s">
        <v>261</v>
      </c>
      <c r="C91" s="9" t="s">
        <v>19</v>
      </c>
      <c r="D91" s="9" t="s">
        <v>19</v>
      </c>
      <c r="E91" s="9" t="s">
        <v>104</v>
      </c>
      <c r="G91" s="9" t="s">
        <v>137</v>
      </c>
    </row>
    <row r="92" spans="1:7" ht="14.25" customHeight="1" x14ac:dyDescent="0.25">
      <c r="A92" s="9" t="s">
        <v>262</v>
      </c>
      <c r="B92" s="9" t="s">
        <v>263</v>
      </c>
      <c r="C92" s="9" t="s">
        <v>24</v>
      </c>
      <c r="D92" s="9" t="s">
        <v>24</v>
      </c>
      <c r="E92" s="9" t="s">
        <v>76</v>
      </c>
      <c r="F92" s="9" t="s">
        <v>11</v>
      </c>
      <c r="G92" s="9" t="s">
        <v>77</v>
      </c>
    </row>
    <row r="93" spans="1:7" ht="14.25" customHeight="1" x14ac:dyDescent="0.25">
      <c r="A93" s="9" t="s">
        <v>262</v>
      </c>
      <c r="B93" s="9" t="s">
        <v>264</v>
      </c>
      <c r="C93" s="9" t="s">
        <v>59</v>
      </c>
      <c r="D93" s="9" t="s">
        <v>59</v>
      </c>
      <c r="E93" s="9" t="s">
        <v>60</v>
      </c>
      <c r="F93" s="9" t="s">
        <v>11</v>
      </c>
      <c r="G93" s="9" t="s">
        <v>61</v>
      </c>
    </row>
    <row r="94" spans="1:7" ht="14.25" customHeight="1" x14ac:dyDescent="0.25">
      <c r="A94" s="9" t="s">
        <v>265</v>
      </c>
      <c r="B94" s="9" t="s">
        <v>266</v>
      </c>
      <c r="C94" s="9" t="s">
        <v>19</v>
      </c>
      <c r="D94" s="9" t="s">
        <v>19</v>
      </c>
      <c r="E94" s="9" t="s">
        <v>29</v>
      </c>
      <c r="G94" s="9" t="s">
        <v>267</v>
      </c>
    </row>
    <row r="95" spans="1:7" ht="14.25" customHeight="1" x14ac:dyDescent="0.25">
      <c r="A95" s="9" t="s">
        <v>268</v>
      </c>
      <c r="B95" s="9" t="s">
        <v>269</v>
      </c>
      <c r="C95" s="9" t="s">
        <v>19</v>
      </c>
      <c r="D95" s="9" t="s">
        <v>19</v>
      </c>
      <c r="E95" s="9" t="s">
        <v>270</v>
      </c>
      <c r="G95" s="9" t="s">
        <v>270</v>
      </c>
    </row>
    <row r="96" spans="1:7" ht="14.25" customHeight="1" x14ac:dyDescent="0.25">
      <c r="A96" s="9" t="s">
        <v>271</v>
      </c>
      <c r="B96" s="13" t="s">
        <v>1151</v>
      </c>
      <c r="C96" s="9" t="s">
        <v>19</v>
      </c>
      <c r="D96" s="9" t="s">
        <v>19</v>
      </c>
      <c r="E96" s="9" t="s">
        <v>272</v>
      </c>
      <c r="G96" s="9" t="s">
        <v>272</v>
      </c>
    </row>
    <row r="97" spans="1:8" ht="14.25" customHeight="1" x14ac:dyDescent="0.25">
      <c r="A97" s="9" t="s">
        <v>273</v>
      </c>
      <c r="B97" s="9" t="s">
        <v>274</v>
      </c>
      <c r="C97" s="9" t="s">
        <v>128</v>
      </c>
      <c r="D97" s="9" t="s">
        <v>19</v>
      </c>
      <c r="E97" s="9" t="s">
        <v>275</v>
      </c>
      <c r="G97" s="9" t="s">
        <v>129</v>
      </c>
    </row>
    <row r="98" spans="1:8" ht="14.25" customHeight="1" x14ac:dyDescent="0.25">
      <c r="A98" s="9" t="s">
        <v>276</v>
      </c>
      <c r="B98" s="9" t="s">
        <v>277</v>
      </c>
      <c r="C98" s="9" t="s">
        <v>19</v>
      </c>
      <c r="D98" s="9" t="s">
        <v>19</v>
      </c>
      <c r="E98" s="9" t="s">
        <v>186</v>
      </c>
      <c r="G98" s="9" t="s">
        <v>187</v>
      </c>
    </row>
    <row r="99" spans="1:8" ht="14.25" customHeight="1" x14ac:dyDescent="0.25">
      <c r="A99" s="9" t="s">
        <v>278</v>
      </c>
      <c r="B99" s="9" t="s">
        <v>279</v>
      </c>
      <c r="C99" s="9" t="s">
        <v>14</v>
      </c>
      <c r="D99" s="9" t="s">
        <v>14</v>
      </c>
      <c r="F99" s="9" t="s">
        <v>11</v>
      </c>
      <c r="G99" s="9" t="s">
        <v>280</v>
      </c>
    </row>
    <row r="100" spans="1:8" ht="14.25" customHeight="1" x14ac:dyDescent="0.25">
      <c r="A100" s="9" t="s">
        <v>281</v>
      </c>
      <c r="B100" s="9" t="s">
        <v>282</v>
      </c>
      <c r="C100" s="9" t="s">
        <v>59</v>
      </c>
      <c r="D100" s="9" t="s">
        <v>24</v>
      </c>
      <c r="F100" s="9" t="s">
        <v>218</v>
      </c>
      <c r="G100" s="9" t="s">
        <v>61</v>
      </c>
    </row>
    <row r="101" spans="1:8" ht="14.25" customHeight="1" x14ac:dyDescent="0.25">
      <c r="A101" s="9" t="s">
        <v>283</v>
      </c>
      <c r="B101" s="9" t="s">
        <v>284</v>
      </c>
      <c r="C101" s="9" t="s">
        <v>19</v>
      </c>
      <c r="D101" s="9" t="s">
        <v>19</v>
      </c>
      <c r="E101" s="9" t="s">
        <v>29</v>
      </c>
      <c r="G101" s="9" t="s">
        <v>110</v>
      </c>
    </row>
    <row r="102" spans="1:8" ht="14.25" customHeight="1" x14ac:dyDescent="0.25">
      <c r="A102" s="9" t="s">
        <v>285</v>
      </c>
      <c r="B102" s="9" t="s">
        <v>286</v>
      </c>
      <c r="C102" s="9" t="s">
        <v>19</v>
      </c>
      <c r="D102" s="9" t="s">
        <v>19</v>
      </c>
      <c r="E102" s="10" t="s">
        <v>86</v>
      </c>
      <c r="G102" s="9" t="s">
        <v>87</v>
      </c>
    </row>
    <row r="103" spans="1:8" ht="14.25" customHeight="1" x14ac:dyDescent="0.25">
      <c r="A103" s="9" t="s">
        <v>287</v>
      </c>
      <c r="H103" s="9" t="s">
        <v>288</v>
      </c>
    </row>
    <row r="104" spans="1:8" ht="14.25" customHeight="1" x14ac:dyDescent="0.25">
      <c r="A104" s="9" t="s">
        <v>289</v>
      </c>
      <c r="B104" s="9" t="s">
        <v>290</v>
      </c>
      <c r="C104" s="9" t="s">
        <v>291</v>
      </c>
      <c r="D104" s="12" t="s">
        <v>19</v>
      </c>
      <c r="E104" s="9" t="s">
        <v>292</v>
      </c>
      <c r="G104" s="9" t="s">
        <v>114</v>
      </c>
    </row>
    <row r="105" spans="1:8" ht="14.25" customHeight="1" x14ac:dyDescent="0.25">
      <c r="A105" s="9" t="s">
        <v>293</v>
      </c>
      <c r="B105" s="9" t="s">
        <v>294</v>
      </c>
      <c r="C105" s="9" t="s">
        <v>19</v>
      </c>
      <c r="D105" s="9" t="s">
        <v>19</v>
      </c>
      <c r="E105" s="10" t="s">
        <v>20</v>
      </c>
      <c r="G105" s="9" t="s">
        <v>96</v>
      </c>
    </row>
    <row r="106" spans="1:8" ht="14.25" customHeight="1" x14ac:dyDescent="0.25">
      <c r="A106" s="9" t="s">
        <v>295</v>
      </c>
      <c r="B106" s="9" t="s">
        <v>296</v>
      </c>
      <c r="C106" s="9" t="s">
        <v>59</v>
      </c>
      <c r="D106" s="9" t="s">
        <v>59</v>
      </c>
      <c r="E106" s="9" t="s">
        <v>60</v>
      </c>
      <c r="F106" s="9" t="s">
        <v>11</v>
      </c>
      <c r="G106" s="9" t="s">
        <v>61</v>
      </c>
    </row>
    <row r="107" spans="1:8" ht="14.25" customHeight="1" x14ac:dyDescent="0.25">
      <c r="A107" s="9" t="s">
        <v>297</v>
      </c>
      <c r="B107" s="9" t="s">
        <v>298</v>
      </c>
      <c r="C107" s="9" t="s">
        <v>204</v>
      </c>
      <c r="D107" s="9" t="s">
        <v>128</v>
      </c>
      <c r="F107" s="9" t="s">
        <v>11</v>
      </c>
      <c r="G107" s="9" t="s">
        <v>114</v>
      </c>
    </row>
    <row r="108" spans="1:8" ht="14.25" customHeight="1" x14ac:dyDescent="0.25">
      <c r="A108" s="9" t="s">
        <v>299</v>
      </c>
      <c r="B108" s="9" t="s">
        <v>300</v>
      </c>
      <c r="C108" s="9" t="s">
        <v>19</v>
      </c>
      <c r="D108" s="9" t="s">
        <v>19</v>
      </c>
      <c r="E108" s="9" t="s">
        <v>29</v>
      </c>
      <c r="G108" s="9" t="s">
        <v>110</v>
      </c>
    </row>
    <row r="109" spans="1:8" ht="14.25" customHeight="1" x14ac:dyDescent="0.25">
      <c r="A109" s="9" t="s">
        <v>301</v>
      </c>
      <c r="B109" s="9" t="s">
        <v>302</v>
      </c>
      <c r="C109" s="9" t="s">
        <v>10</v>
      </c>
      <c r="D109" s="9" t="s">
        <v>10</v>
      </c>
      <c r="F109" s="9" t="s">
        <v>11</v>
      </c>
      <c r="G109" s="9" t="s">
        <v>148</v>
      </c>
    </row>
    <row r="110" spans="1:8" ht="14.25" customHeight="1" x14ac:dyDescent="0.25">
      <c r="A110" s="9" t="s">
        <v>303</v>
      </c>
      <c r="B110" s="9" t="s">
        <v>304</v>
      </c>
      <c r="C110" s="9" t="s">
        <v>19</v>
      </c>
      <c r="D110" s="9" t="s">
        <v>19</v>
      </c>
      <c r="E110" s="9" t="s">
        <v>55</v>
      </c>
      <c r="G110" s="9" t="s">
        <v>230</v>
      </c>
    </row>
    <row r="111" spans="1:8" ht="14.25" customHeight="1" x14ac:dyDescent="0.25">
      <c r="A111" s="9" t="s">
        <v>305</v>
      </c>
      <c r="B111" s="9" t="s">
        <v>306</v>
      </c>
      <c r="C111" s="9" t="s">
        <v>10</v>
      </c>
      <c r="D111" s="9" t="s">
        <v>10</v>
      </c>
      <c r="F111" s="9" t="s">
        <v>218</v>
      </c>
      <c r="G111" s="9" t="s">
        <v>254</v>
      </c>
    </row>
    <row r="112" spans="1:8" ht="14.25" customHeight="1" x14ac:dyDescent="0.25">
      <c r="A112" s="9" t="s">
        <v>307</v>
      </c>
      <c r="B112" s="9" t="s">
        <v>308</v>
      </c>
      <c r="C112" s="9" t="s">
        <v>39</v>
      </c>
      <c r="D112" s="9" t="s">
        <v>39</v>
      </c>
      <c r="F112" s="9" t="s">
        <v>11</v>
      </c>
      <c r="G112" s="9" t="s">
        <v>41</v>
      </c>
    </row>
    <row r="113" spans="1:29" ht="14.25" customHeight="1" x14ac:dyDescent="0.25">
      <c r="A113" s="11" t="s">
        <v>309</v>
      </c>
      <c r="B113" s="11" t="s">
        <v>310</v>
      </c>
      <c r="C113" s="11" t="s">
        <v>19</v>
      </c>
      <c r="D113" s="11" t="s">
        <v>19</v>
      </c>
      <c r="E113" s="11" t="s">
        <v>104</v>
      </c>
      <c r="F113" s="11"/>
      <c r="G113" s="11" t="s">
        <v>137</v>
      </c>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14.25" customHeight="1" x14ac:dyDescent="0.25">
      <c r="A114" s="9" t="s">
        <v>311</v>
      </c>
      <c r="B114" s="9" t="s">
        <v>312</v>
      </c>
      <c r="C114" s="9" t="s">
        <v>227</v>
      </c>
      <c r="D114" s="9" t="s">
        <v>227</v>
      </c>
      <c r="F114" s="9" t="s">
        <v>11</v>
      </c>
      <c r="G114" s="9" t="s">
        <v>52</v>
      </c>
    </row>
    <row r="115" spans="1:29" ht="14.25" customHeight="1" x14ac:dyDescent="0.25">
      <c r="A115" s="9" t="s">
        <v>313</v>
      </c>
      <c r="B115" s="9" t="s">
        <v>314</v>
      </c>
      <c r="C115" s="9" t="s">
        <v>19</v>
      </c>
      <c r="D115" s="9" t="s">
        <v>144</v>
      </c>
      <c r="E115" s="9" t="s">
        <v>55</v>
      </c>
      <c r="F115" s="9" t="s">
        <v>11</v>
      </c>
      <c r="G115" s="9" t="s">
        <v>315</v>
      </c>
    </row>
    <row r="116" spans="1:29" ht="14.25" customHeight="1" x14ac:dyDescent="0.25">
      <c r="A116" s="9" t="s">
        <v>316</v>
      </c>
      <c r="B116" s="9" t="s">
        <v>317</v>
      </c>
      <c r="C116" s="9" t="s">
        <v>10</v>
      </c>
      <c r="D116" s="9" t="s">
        <v>10</v>
      </c>
      <c r="F116" s="9" t="s">
        <v>11</v>
      </c>
      <c r="G116" s="9" t="s">
        <v>148</v>
      </c>
    </row>
    <row r="117" spans="1:29" ht="14.25" customHeight="1" x14ac:dyDescent="0.25">
      <c r="A117" s="9" t="s">
        <v>318</v>
      </c>
      <c r="B117" s="9" t="s">
        <v>319</v>
      </c>
      <c r="C117" s="9" t="s">
        <v>19</v>
      </c>
      <c r="D117" s="9" t="s">
        <v>19</v>
      </c>
      <c r="E117" s="9" t="s">
        <v>104</v>
      </c>
      <c r="G117" s="9" t="s">
        <v>105</v>
      </c>
    </row>
    <row r="118" spans="1:29" ht="14.25" customHeight="1" x14ac:dyDescent="0.25">
      <c r="A118" s="9" t="s">
        <v>320</v>
      </c>
      <c r="B118" s="9" t="s">
        <v>321</v>
      </c>
      <c r="C118" s="9" t="s">
        <v>19</v>
      </c>
      <c r="D118" s="9" t="s">
        <v>19</v>
      </c>
      <c r="E118" s="9" t="s">
        <v>29</v>
      </c>
      <c r="G118" s="9" t="s">
        <v>122</v>
      </c>
    </row>
    <row r="119" spans="1:29" ht="14.25" customHeight="1" x14ac:dyDescent="0.25">
      <c r="A119" s="9" t="s">
        <v>322</v>
      </c>
      <c r="B119" s="9" t="s">
        <v>323</v>
      </c>
      <c r="C119" s="9" t="s">
        <v>19</v>
      </c>
      <c r="D119" s="9" t="s">
        <v>204</v>
      </c>
      <c r="E119" s="9" t="s">
        <v>29</v>
      </c>
      <c r="F119" s="9" t="s">
        <v>11</v>
      </c>
      <c r="G119" s="9" t="s">
        <v>324</v>
      </c>
    </row>
    <row r="120" spans="1:29" ht="14.25" customHeight="1" x14ac:dyDescent="0.25">
      <c r="A120" s="9" t="s">
        <v>325</v>
      </c>
      <c r="B120" s="9" t="s">
        <v>326</v>
      </c>
      <c r="C120" s="9" t="s">
        <v>10</v>
      </c>
      <c r="D120" s="9" t="s">
        <v>10</v>
      </c>
      <c r="F120" s="9" t="s">
        <v>11</v>
      </c>
      <c r="G120" s="9" t="s">
        <v>254</v>
      </c>
    </row>
    <row r="121" spans="1:29" ht="14.25" customHeight="1" x14ac:dyDescent="0.25">
      <c r="A121" s="9" t="s">
        <v>327</v>
      </c>
      <c r="B121" s="9" t="s">
        <v>328</v>
      </c>
      <c r="C121" s="9" t="s">
        <v>19</v>
      </c>
      <c r="D121" s="9" t="s">
        <v>19</v>
      </c>
      <c r="E121" s="9" t="s">
        <v>55</v>
      </c>
      <c r="G121" s="9" t="s">
        <v>117</v>
      </c>
    </row>
    <row r="122" spans="1:29" ht="14.25" customHeight="1" x14ac:dyDescent="0.25">
      <c r="A122" s="9" t="s">
        <v>329</v>
      </c>
      <c r="B122" s="9" t="s">
        <v>330</v>
      </c>
      <c r="C122" s="9" t="s">
        <v>59</v>
      </c>
      <c r="D122" s="9" t="s">
        <v>59</v>
      </c>
      <c r="E122" s="9" t="s">
        <v>60</v>
      </c>
      <c r="F122" s="9" t="s">
        <v>11</v>
      </c>
      <c r="G122" s="9" t="s">
        <v>61</v>
      </c>
    </row>
    <row r="123" spans="1:29" ht="14.25" customHeight="1" x14ac:dyDescent="0.25">
      <c r="A123" s="9" t="s">
        <v>331</v>
      </c>
      <c r="B123" s="9" t="s">
        <v>332</v>
      </c>
      <c r="C123" s="9" t="s">
        <v>59</v>
      </c>
      <c r="D123" s="9" t="s">
        <v>59</v>
      </c>
      <c r="E123" s="9" t="s">
        <v>60</v>
      </c>
      <c r="F123" s="9" t="s">
        <v>224</v>
      </c>
      <c r="G123" s="9" t="s">
        <v>61</v>
      </c>
    </row>
    <row r="124" spans="1:29" ht="14.25" customHeight="1" x14ac:dyDescent="0.25">
      <c r="A124" s="9" t="s">
        <v>333</v>
      </c>
      <c r="B124" s="9" t="s">
        <v>334</v>
      </c>
      <c r="C124" s="9" t="s">
        <v>19</v>
      </c>
      <c r="D124" s="9" t="s">
        <v>19</v>
      </c>
      <c r="E124" s="9" t="s">
        <v>29</v>
      </c>
      <c r="G124" s="9" t="s">
        <v>110</v>
      </c>
    </row>
    <row r="125" spans="1:29" ht="14.25" customHeight="1" x14ac:dyDescent="0.25">
      <c r="A125" s="9" t="s">
        <v>333</v>
      </c>
      <c r="B125" s="9" t="s">
        <v>335</v>
      </c>
      <c r="C125" s="9" t="s">
        <v>19</v>
      </c>
      <c r="D125" s="9" t="s">
        <v>19</v>
      </c>
      <c r="E125" s="9" t="s">
        <v>186</v>
      </c>
      <c r="G125" s="9" t="s">
        <v>187</v>
      </c>
    </row>
    <row r="126" spans="1:29" ht="14.25" customHeight="1" x14ac:dyDescent="0.25">
      <c r="A126" s="9" t="s">
        <v>336</v>
      </c>
      <c r="B126" s="9" t="s">
        <v>337</v>
      </c>
      <c r="C126" s="9" t="s">
        <v>19</v>
      </c>
      <c r="D126" s="9" t="s">
        <v>19</v>
      </c>
      <c r="E126" s="10" t="s">
        <v>86</v>
      </c>
      <c r="G126" s="9" t="s">
        <v>125</v>
      </c>
    </row>
    <row r="127" spans="1:29" ht="14.25" customHeight="1" x14ac:dyDescent="0.25">
      <c r="A127" s="9" t="s">
        <v>338</v>
      </c>
      <c r="B127" s="9" t="s">
        <v>339</v>
      </c>
      <c r="C127" s="9" t="s">
        <v>227</v>
      </c>
      <c r="D127" s="9" t="s">
        <v>227</v>
      </c>
      <c r="F127" s="9" t="s">
        <v>11</v>
      </c>
      <c r="G127" s="9" t="s">
        <v>114</v>
      </c>
    </row>
    <row r="128" spans="1:29" ht="14.25" customHeight="1" x14ac:dyDescent="0.25">
      <c r="A128" s="9" t="s">
        <v>338</v>
      </c>
      <c r="B128" s="9" t="s">
        <v>340</v>
      </c>
      <c r="C128" s="9" t="s">
        <v>19</v>
      </c>
      <c r="D128" s="9" t="s">
        <v>19</v>
      </c>
      <c r="E128" s="9" t="s">
        <v>55</v>
      </c>
      <c r="G128" s="9" t="s">
        <v>55</v>
      </c>
    </row>
    <row r="129" spans="1:7" ht="14.25" customHeight="1" x14ac:dyDescent="0.25">
      <c r="A129" s="9" t="s">
        <v>338</v>
      </c>
      <c r="B129" s="9" t="s">
        <v>341</v>
      </c>
      <c r="C129" s="9" t="s">
        <v>19</v>
      </c>
      <c r="D129" s="9" t="s">
        <v>19</v>
      </c>
      <c r="E129" s="9" t="s">
        <v>55</v>
      </c>
      <c r="G129" s="9" t="s">
        <v>230</v>
      </c>
    </row>
    <row r="130" spans="1:7" ht="14.25" customHeight="1" x14ac:dyDescent="0.25">
      <c r="A130" s="9" t="s">
        <v>338</v>
      </c>
      <c r="B130" s="9" t="s">
        <v>342</v>
      </c>
      <c r="C130" s="9" t="s">
        <v>19</v>
      </c>
      <c r="D130" s="9" t="s">
        <v>19</v>
      </c>
      <c r="E130" s="9" t="s">
        <v>55</v>
      </c>
      <c r="G130" s="9" t="s">
        <v>315</v>
      </c>
    </row>
    <row r="131" spans="1:7" ht="14.25" customHeight="1" x14ac:dyDescent="0.25">
      <c r="A131" s="9" t="s">
        <v>338</v>
      </c>
      <c r="B131" s="9" t="s">
        <v>343</v>
      </c>
      <c r="C131" s="9" t="s">
        <v>19</v>
      </c>
      <c r="D131" s="9" t="s">
        <v>19</v>
      </c>
      <c r="E131" s="9" t="s">
        <v>344</v>
      </c>
      <c r="G131" s="9" t="s">
        <v>345</v>
      </c>
    </row>
    <row r="132" spans="1:7" ht="14.25" customHeight="1" x14ac:dyDescent="0.25">
      <c r="A132" s="9" t="s">
        <v>338</v>
      </c>
      <c r="B132" s="9" t="s">
        <v>346</v>
      </c>
      <c r="C132" s="9" t="s">
        <v>227</v>
      </c>
      <c r="D132" s="9" t="s">
        <v>227</v>
      </c>
      <c r="E132" s="9" t="s">
        <v>29</v>
      </c>
      <c r="F132" s="9" t="s">
        <v>11</v>
      </c>
      <c r="G132" s="9" t="s">
        <v>122</v>
      </c>
    </row>
    <row r="133" spans="1:7" ht="14.25" customHeight="1" x14ac:dyDescent="0.25">
      <c r="A133" s="9" t="s">
        <v>338</v>
      </c>
      <c r="B133" s="9" t="s">
        <v>347</v>
      </c>
      <c r="C133" s="9" t="s">
        <v>19</v>
      </c>
      <c r="D133" s="9" t="s">
        <v>19</v>
      </c>
      <c r="E133" s="9" t="s">
        <v>29</v>
      </c>
      <c r="G133" s="9" t="s">
        <v>348</v>
      </c>
    </row>
    <row r="134" spans="1:7" ht="14.25" customHeight="1" x14ac:dyDescent="0.25">
      <c r="A134" s="9" t="s">
        <v>349</v>
      </c>
      <c r="B134" s="9" t="s">
        <v>350</v>
      </c>
      <c r="C134" s="9" t="s">
        <v>19</v>
      </c>
      <c r="D134" s="9" t="s">
        <v>19</v>
      </c>
      <c r="E134" s="9" t="s">
        <v>104</v>
      </c>
      <c r="G134" s="9" t="s">
        <v>137</v>
      </c>
    </row>
    <row r="135" spans="1:7" ht="14.25" customHeight="1" x14ac:dyDescent="0.25">
      <c r="A135" s="9" t="s">
        <v>351</v>
      </c>
      <c r="B135" s="9" t="s">
        <v>352</v>
      </c>
      <c r="C135" s="9" t="s">
        <v>19</v>
      </c>
      <c r="D135" s="9" t="s">
        <v>19</v>
      </c>
      <c r="E135" s="9" t="s">
        <v>344</v>
      </c>
      <c r="G135" s="9" t="s">
        <v>345</v>
      </c>
    </row>
    <row r="136" spans="1:7" ht="14.25" customHeight="1" x14ac:dyDescent="0.25">
      <c r="A136" s="9" t="s">
        <v>351</v>
      </c>
      <c r="B136" s="9" t="s">
        <v>353</v>
      </c>
      <c r="C136" s="9" t="s">
        <v>19</v>
      </c>
      <c r="D136" s="9" t="s">
        <v>19</v>
      </c>
      <c r="E136" s="9" t="s">
        <v>344</v>
      </c>
      <c r="G136" s="9" t="s">
        <v>345</v>
      </c>
    </row>
    <row r="137" spans="1:7" ht="14.25" customHeight="1" x14ac:dyDescent="0.25">
      <c r="A137" s="9" t="s">
        <v>354</v>
      </c>
      <c r="B137" s="9" t="s">
        <v>355</v>
      </c>
      <c r="C137" s="9" t="s">
        <v>19</v>
      </c>
      <c r="D137" s="9" t="s">
        <v>19</v>
      </c>
      <c r="E137" s="9" t="s">
        <v>104</v>
      </c>
      <c r="G137" s="9" t="s">
        <v>356</v>
      </c>
    </row>
    <row r="138" spans="1:7" ht="14.25" customHeight="1" x14ac:dyDescent="0.25">
      <c r="A138" s="9" t="s">
        <v>357</v>
      </c>
      <c r="B138" s="9" t="s">
        <v>358</v>
      </c>
      <c r="C138" s="9" t="s">
        <v>19</v>
      </c>
      <c r="D138" s="9" t="s">
        <v>19</v>
      </c>
      <c r="E138" s="10" t="s">
        <v>20</v>
      </c>
      <c r="G138" s="9" t="s">
        <v>359</v>
      </c>
    </row>
    <row r="139" spans="1:7" ht="14.25" customHeight="1" x14ac:dyDescent="0.25">
      <c r="A139" s="9" t="s">
        <v>360</v>
      </c>
      <c r="B139" s="9" t="s">
        <v>361</v>
      </c>
      <c r="C139" s="9" t="s">
        <v>14</v>
      </c>
      <c r="D139" s="9" t="s">
        <v>14</v>
      </c>
      <c r="E139" s="9" t="s">
        <v>15</v>
      </c>
      <c r="F139" s="9" t="s">
        <v>11</v>
      </c>
      <c r="G139" s="9" t="s">
        <v>16</v>
      </c>
    </row>
    <row r="140" spans="1:7" ht="14.25" customHeight="1" x14ac:dyDescent="0.25">
      <c r="A140" s="9" t="s">
        <v>362</v>
      </c>
      <c r="B140" s="9" t="s">
        <v>363</v>
      </c>
      <c r="C140" s="9" t="s">
        <v>19</v>
      </c>
      <c r="D140" s="9" t="s">
        <v>19</v>
      </c>
      <c r="E140" s="10" t="s">
        <v>20</v>
      </c>
      <c r="G140" s="9" t="s">
        <v>359</v>
      </c>
    </row>
    <row r="141" spans="1:7" ht="14.25" customHeight="1" x14ac:dyDescent="0.25">
      <c r="A141" s="9" t="s">
        <v>364</v>
      </c>
      <c r="B141" s="9" t="s">
        <v>365</v>
      </c>
      <c r="C141" s="9" t="s">
        <v>14</v>
      </c>
      <c r="D141" s="9" t="s">
        <v>14</v>
      </c>
      <c r="F141" s="9" t="s">
        <v>11</v>
      </c>
      <c r="G141" s="9" t="s">
        <v>366</v>
      </c>
    </row>
    <row r="142" spans="1:7" ht="14.25" customHeight="1" x14ac:dyDescent="0.25">
      <c r="A142" s="9" t="s">
        <v>367</v>
      </c>
      <c r="B142" s="9" t="s">
        <v>368</v>
      </c>
      <c r="C142" s="9" t="s">
        <v>291</v>
      </c>
      <c r="D142" s="9" t="s">
        <v>291</v>
      </c>
      <c r="F142" s="9" t="s">
        <v>11</v>
      </c>
      <c r="G142" s="9" t="s">
        <v>114</v>
      </c>
    </row>
    <row r="143" spans="1:7" ht="14.25" customHeight="1" x14ac:dyDescent="0.25">
      <c r="A143" s="9" t="s">
        <v>369</v>
      </c>
      <c r="B143" s="9" t="s">
        <v>370</v>
      </c>
      <c r="C143" s="9" t="s">
        <v>291</v>
      </c>
      <c r="D143" s="9" t="s">
        <v>19</v>
      </c>
      <c r="E143" s="9" t="s">
        <v>104</v>
      </c>
      <c r="G143" s="9" t="s">
        <v>371</v>
      </c>
    </row>
    <row r="144" spans="1:7" ht="14.25" customHeight="1" x14ac:dyDescent="0.25">
      <c r="A144" s="9" t="s">
        <v>372</v>
      </c>
      <c r="B144" s="9" t="s">
        <v>373</v>
      </c>
      <c r="C144" s="9" t="s">
        <v>19</v>
      </c>
      <c r="D144" s="9" t="s">
        <v>19</v>
      </c>
      <c r="E144" s="9" t="s">
        <v>29</v>
      </c>
      <c r="G144" s="9" t="s">
        <v>374</v>
      </c>
    </row>
    <row r="145" spans="1:8" ht="14.25" customHeight="1" x14ac:dyDescent="0.25">
      <c r="A145" s="9" t="s">
        <v>375</v>
      </c>
      <c r="H145" s="9" t="s">
        <v>197</v>
      </c>
    </row>
    <row r="146" spans="1:8" ht="14.25" customHeight="1" x14ac:dyDescent="0.25">
      <c r="A146" s="9" t="s">
        <v>376</v>
      </c>
      <c r="B146" s="9" t="s">
        <v>377</v>
      </c>
      <c r="C146" s="9" t="s">
        <v>19</v>
      </c>
      <c r="D146" s="9" t="s">
        <v>19</v>
      </c>
      <c r="E146" s="9" t="s">
        <v>104</v>
      </c>
      <c r="G146" s="9" t="s">
        <v>105</v>
      </c>
    </row>
    <row r="147" spans="1:8" ht="14.25" customHeight="1" x14ac:dyDescent="0.25">
      <c r="A147" s="9" t="s">
        <v>378</v>
      </c>
      <c r="B147" s="9" t="s">
        <v>379</v>
      </c>
      <c r="C147" s="9" t="s">
        <v>19</v>
      </c>
      <c r="D147" s="9" t="s">
        <v>19</v>
      </c>
      <c r="E147" s="9" t="s">
        <v>29</v>
      </c>
      <c r="G147" s="9" t="s">
        <v>110</v>
      </c>
    </row>
    <row r="148" spans="1:8" ht="14.25" customHeight="1" x14ac:dyDescent="0.25">
      <c r="A148" s="9" t="s">
        <v>380</v>
      </c>
      <c r="B148" s="9" t="s">
        <v>381</v>
      </c>
      <c r="C148" s="9" t="s">
        <v>19</v>
      </c>
      <c r="D148" s="9" t="s">
        <v>19</v>
      </c>
      <c r="E148" s="9" t="s">
        <v>29</v>
      </c>
      <c r="G148" s="9" t="s">
        <v>122</v>
      </c>
    </row>
    <row r="149" spans="1:8" ht="14.25" customHeight="1" x14ac:dyDescent="0.25">
      <c r="A149" s="9" t="s">
        <v>382</v>
      </c>
      <c r="B149" s="9" t="s">
        <v>383</v>
      </c>
      <c r="C149" s="9" t="s">
        <v>19</v>
      </c>
      <c r="D149" s="9" t="s">
        <v>19</v>
      </c>
      <c r="E149" s="10" t="s">
        <v>20</v>
      </c>
      <c r="G149" s="9" t="s">
        <v>180</v>
      </c>
    </row>
    <row r="150" spans="1:8" ht="14.25" customHeight="1" x14ac:dyDescent="0.25">
      <c r="A150" s="9" t="s">
        <v>384</v>
      </c>
      <c r="B150" s="9" t="s">
        <v>385</v>
      </c>
      <c r="C150" s="9" t="s">
        <v>19</v>
      </c>
      <c r="D150" s="9" t="s">
        <v>19</v>
      </c>
      <c r="E150" s="9" t="s">
        <v>104</v>
      </c>
      <c r="G150" s="9" t="s">
        <v>105</v>
      </c>
    </row>
    <row r="151" spans="1:8" ht="14.25" customHeight="1" x14ac:dyDescent="0.25">
      <c r="A151" s="9" t="s">
        <v>386</v>
      </c>
      <c r="B151" s="9" t="s">
        <v>387</v>
      </c>
      <c r="C151" s="9" t="s">
        <v>19</v>
      </c>
      <c r="D151" s="9" t="s">
        <v>19</v>
      </c>
      <c r="G151" s="9" t="s">
        <v>70</v>
      </c>
    </row>
    <row r="152" spans="1:8" ht="14.25" customHeight="1" x14ac:dyDescent="0.25">
      <c r="A152" s="9" t="s">
        <v>388</v>
      </c>
      <c r="B152" s="9" t="s">
        <v>389</v>
      </c>
      <c r="C152" s="9" t="s">
        <v>19</v>
      </c>
      <c r="D152" s="9" t="s">
        <v>19</v>
      </c>
      <c r="E152" s="9" t="s">
        <v>29</v>
      </c>
      <c r="G152" s="9" t="s">
        <v>390</v>
      </c>
    </row>
    <row r="153" spans="1:8" ht="14.25" customHeight="1" x14ac:dyDescent="0.25">
      <c r="A153" s="9" t="s">
        <v>391</v>
      </c>
      <c r="B153" s="9" t="s">
        <v>392</v>
      </c>
      <c r="C153" s="9" t="s">
        <v>19</v>
      </c>
      <c r="D153" s="9" t="s">
        <v>19</v>
      </c>
      <c r="E153" s="9" t="s">
        <v>344</v>
      </c>
      <c r="G153" s="9" t="s">
        <v>393</v>
      </c>
    </row>
    <row r="154" spans="1:8" ht="14.25" customHeight="1" x14ac:dyDescent="0.25">
      <c r="A154" s="9" t="s">
        <v>394</v>
      </c>
      <c r="B154" s="9" t="s">
        <v>395</v>
      </c>
      <c r="C154" s="9" t="s">
        <v>19</v>
      </c>
      <c r="D154" s="9" t="s">
        <v>19</v>
      </c>
      <c r="E154" s="10" t="s">
        <v>20</v>
      </c>
      <c r="G154" s="9" t="s">
        <v>396</v>
      </c>
    </row>
    <row r="155" spans="1:8" ht="14.25" customHeight="1" x14ac:dyDescent="0.25">
      <c r="A155" s="9" t="s">
        <v>397</v>
      </c>
      <c r="H155" s="9" t="s">
        <v>288</v>
      </c>
    </row>
    <row r="156" spans="1:8" ht="14.25" customHeight="1" x14ac:dyDescent="0.25">
      <c r="A156" s="9" t="s">
        <v>398</v>
      </c>
      <c r="B156" s="9" t="s">
        <v>399</v>
      </c>
      <c r="C156" s="9" t="s">
        <v>24</v>
      </c>
      <c r="D156" s="9" t="s">
        <v>24</v>
      </c>
      <c r="E156" s="9" t="s">
        <v>76</v>
      </c>
      <c r="F156" s="9" t="s">
        <v>11</v>
      </c>
      <c r="G156" s="9" t="s">
        <v>400</v>
      </c>
    </row>
    <row r="157" spans="1:8" ht="14.25" customHeight="1" x14ac:dyDescent="0.25">
      <c r="A157" s="9" t="s">
        <v>398</v>
      </c>
      <c r="B157" s="9" t="s">
        <v>401</v>
      </c>
      <c r="C157" s="9" t="s">
        <v>44</v>
      </c>
      <c r="D157" s="9" t="s">
        <v>44</v>
      </c>
      <c r="F157" s="9" t="s">
        <v>11</v>
      </c>
      <c r="G157" s="9" t="s">
        <v>402</v>
      </c>
    </row>
    <row r="158" spans="1:8" ht="14.25" customHeight="1" x14ac:dyDescent="0.25">
      <c r="A158" s="9" t="s">
        <v>398</v>
      </c>
      <c r="B158" s="9" t="s">
        <v>403</v>
      </c>
      <c r="C158" s="9" t="s">
        <v>59</v>
      </c>
      <c r="D158" s="9" t="s">
        <v>59</v>
      </c>
      <c r="E158" s="9" t="s">
        <v>60</v>
      </c>
      <c r="F158" s="9" t="s">
        <v>11</v>
      </c>
      <c r="G158" s="9" t="s">
        <v>61</v>
      </c>
    </row>
    <row r="159" spans="1:8" ht="14.25" customHeight="1" x14ac:dyDescent="0.25">
      <c r="A159" s="9" t="s">
        <v>404</v>
      </c>
      <c r="B159" s="9" t="s">
        <v>405</v>
      </c>
      <c r="C159" s="9" t="s">
        <v>19</v>
      </c>
      <c r="D159" s="9" t="s">
        <v>19</v>
      </c>
      <c r="E159" s="9" t="s">
        <v>104</v>
      </c>
      <c r="G159" s="9" t="s">
        <v>406</v>
      </c>
    </row>
    <row r="160" spans="1:8" ht="14.25" customHeight="1" x14ac:dyDescent="0.25">
      <c r="A160" s="9" t="s">
        <v>407</v>
      </c>
      <c r="B160" s="9" t="s">
        <v>408</v>
      </c>
      <c r="C160" s="9" t="s">
        <v>19</v>
      </c>
      <c r="D160" s="9" t="s">
        <v>19</v>
      </c>
      <c r="E160" s="9" t="s">
        <v>29</v>
      </c>
      <c r="G160" s="9" t="s">
        <v>110</v>
      </c>
    </row>
    <row r="161" spans="1:29" ht="14.25" customHeight="1" x14ac:dyDescent="0.25">
      <c r="A161" s="9" t="s">
        <v>409</v>
      </c>
      <c r="B161" s="9" t="s">
        <v>410</v>
      </c>
      <c r="C161" s="9" t="s">
        <v>19</v>
      </c>
      <c r="D161" s="9" t="s">
        <v>19</v>
      </c>
      <c r="E161" s="9" t="s">
        <v>344</v>
      </c>
      <c r="G161" s="9" t="s">
        <v>411</v>
      </c>
    </row>
    <row r="162" spans="1:29" ht="14.25" customHeight="1" x14ac:dyDescent="0.25">
      <c r="A162" s="9" t="s">
        <v>412</v>
      </c>
      <c r="B162" s="9" t="s">
        <v>413</v>
      </c>
      <c r="C162" s="9" t="s">
        <v>39</v>
      </c>
      <c r="D162" s="9" t="s">
        <v>39</v>
      </c>
      <c r="E162" s="9" t="s">
        <v>40</v>
      </c>
      <c r="F162" s="9" t="s">
        <v>11</v>
      </c>
      <c r="G162" s="9" t="s">
        <v>67</v>
      </c>
    </row>
    <row r="163" spans="1:29" ht="14.25" customHeight="1" x14ac:dyDescent="0.25">
      <c r="A163" s="9" t="s">
        <v>412</v>
      </c>
      <c r="B163" s="9" t="s">
        <v>414</v>
      </c>
      <c r="C163" s="9" t="s">
        <v>19</v>
      </c>
      <c r="D163" s="9" t="s">
        <v>19</v>
      </c>
      <c r="E163" s="9" t="s">
        <v>55</v>
      </c>
      <c r="G163" s="9" t="s">
        <v>56</v>
      </c>
    </row>
    <row r="164" spans="1:29" ht="14.25" customHeight="1" x14ac:dyDescent="0.25">
      <c r="A164" s="9" t="s">
        <v>415</v>
      </c>
      <c r="B164" s="9" t="s">
        <v>416</v>
      </c>
      <c r="C164" s="9" t="s">
        <v>10</v>
      </c>
      <c r="D164" s="9" t="s">
        <v>10</v>
      </c>
      <c r="F164" s="9" t="s">
        <v>11</v>
      </c>
      <c r="G164" s="9" t="s">
        <v>254</v>
      </c>
    </row>
    <row r="165" spans="1:29" ht="14.25" customHeight="1" x14ac:dyDescent="0.25">
      <c r="A165" s="9" t="s">
        <v>417</v>
      </c>
      <c r="H165" s="9" t="s">
        <v>288</v>
      </c>
    </row>
    <row r="166" spans="1:29" ht="14.25" customHeight="1" x14ac:dyDescent="0.25">
      <c r="A166" s="11" t="s">
        <v>418</v>
      </c>
      <c r="B166" s="11" t="s">
        <v>419</v>
      </c>
      <c r="C166" s="11" t="s">
        <v>24</v>
      </c>
      <c r="D166" s="11" t="s">
        <v>24</v>
      </c>
      <c r="E166" s="11" t="s">
        <v>76</v>
      </c>
      <c r="F166" s="11" t="s">
        <v>11</v>
      </c>
      <c r="G166" s="11" t="s">
        <v>420</v>
      </c>
      <c r="H166" s="11" t="s">
        <v>421</v>
      </c>
      <c r="I166" s="11"/>
      <c r="J166" s="11"/>
      <c r="K166" s="11"/>
      <c r="L166" s="11"/>
      <c r="M166" s="11"/>
      <c r="N166" s="11"/>
      <c r="O166" s="11"/>
      <c r="P166" s="11"/>
      <c r="Q166" s="11"/>
      <c r="R166" s="11"/>
      <c r="S166" s="11"/>
      <c r="T166" s="11"/>
      <c r="U166" s="11"/>
      <c r="V166" s="11"/>
      <c r="W166" s="11"/>
      <c r="X166" s="11"/>
      <c r="Y166" s="11"/>
      <c r="Z166" s="11"/>
      <c r="AA166" s="11"/>
      <c r="AB166" s="11"/>
      <c r="AC166" s="11"/>
    </row>
    <row r="167" spans="1:29" ht="14.25" customHeight="1" x14ac:dyDescent="0.25">
      <c r="A167" s="9" t="s">
        <v>422</v>
      </c>
      <c r="H167" s="9" t="s">
        <v>197</v>
      </c>
    </row>
    <row r="168" spans="1:29" ht="14.25" customHeight="1" x14ac:dyDescent="0.25">
      <c r="A168" s="9" t="s">
        <v>423</v>
      </c>
      <c r="B168" s="9" t="s">
        <v>424</v>
      </c>
      <c r="C168" s="9" t="s">
        <v>24</v>
      </c>
      <c r="D168" s="9" t="s">
        <v>24</v>
      </c>
      <c r="E168" s="9" t="s">
        <v>76</v>
      </c>
      <c r="F168" s="9" t="s">
        <v>11</v>
      </c>
      <c r="G168" s="9" t="s">
        <v>425</v>
      </c>
      <c r="H168" s="9" t="s">
        <v>421</v>
      </c>
    </row>
    <row r="169" spans="1:29" ht="14.25" customHeight="1" x14ac:dyDescent="0.25">
      <c r="A169" s="9" t="s">
        <v>426</v>
      </c>
      <c r="B169" s="9" t="s">
        <v>427</v>
      </c>
      <c r="C169" s="9" t="s">
        <v>19</v>
      </c>
      <c r="D169" s="9" t="s">
        <v>19</v>
      </c>
      <c r="E169" s="9" t="s">
        <v>428</v>
      </c>
      <c r="G169" s="9" t="s">
        <v>428</v>
      </c>
      <c r="H169" s="9" t="s">
        <v>429</v>
      </c>
    </row>
    <row r="170" spans="1:29" ht="14.25" customHeight="1" x14ac:dyDescent="0.25">
      <c r="A170" s="9" t="s">
        <v>430</v>
      </c>
      <c r="B170" s="9" t="s">
        <v>431</v>
      </c>
      <c r="C170" s="9" t="s">
        <v>14</v>
      </c>
      <c r="D170" s="9" t="s">
        <v>14</v>
      </c>
      <c r="F170" s="9" t="s">
        <v>218</v>
      </c>
      <c r="G170" s="9" t="s">
        <v>432</v>
      </c>
    </row>
    <row r="171" spans="1:29" ht="14.25" customHeight="1" x14ac:dyDescent="0.25">
      <c r="A171" s="9" t="s">
        <v>430</v>
      </c>
      <c r="B171" s="9" t="s">
        <v>433</v>
      </c>
      <c r="C171" s="9" t="s">
        <v>39</v>
      </c>
      <c r="D171" s="9" t="s">
        <v>39</v>
      </c>
      <c r="F171" s="9" t="s">
        <v>218</v>
      </c>
    </row>
    <row r="172" spans="1:29" ht="14.25" customHeight="1" x14ac:dyDescent="0.25">
      <c r="A172" s="9" t="s">
        <v>430</v>
      </c>
      <c r="B172" s="9" t="s">
        <v>434</v>
      </c>
      <c r="C172" s="9" t="s">
        <v>19</v>
      </c>
      <c r="D172" s="9" t="s">
        <v>19</v>
      </c>
      <c r="E172" s="9" t="s">
        <v>29</v>
      </c>
      <c r="G172" s="9" t="s">
        <v>390</v>
      </c>
    </row>
    <row r="173" spans="1:29" ht="14.25" customHeight="1" x14ac:dyDescent="0.25">
      <c r="A173" s="9" t="s">
        <v>435</v>
      </c>
      <c r="B173" s="9" t="s">
        <v>436</v>
      </c>
      <c r="C173" s="9" t="s">
        <v>19</v>
      </c>
      <c r="D173" s="10" t="s">
        <v>19</v>
      </c>
      <c r="E173" s="10" t="s">
        <v>20</v>
      </c>
      <c r="G173" s="9" t="s">
        <v>96</v>
      </c>
    </row>
    <row r="174" spans="1:29" ht="14.25" customHeight="1" x14ac:dyDescent="0.25">
      <c r="A174" s="9" t="s">
        <v>437</v>
      </c>
      <c r="B174" s="9" t="s">
        <v>438</v>
      </c>
      <c r="C174" s="9" t="s">
        <v>14</v>
      </c>
      <c r="D174" s="9" t="s">
        <v>14</v>
      </c>
      <c r="F174" s="9" t="s">
        <v>11</v>
      </c>
      <c r="G174" s="9" t="s">
        <v>432</v>
      </c>
    </row>
    <row r="175" spans="1:29" ht="14.25" customHeight="1" x14ac:dyDescent="0.25">
      <c r="A175" s="9" t="s">
        <v>439</v>
      </c>
      <c r="B175" s="9" t="s">
        <v>440</v>
      </c>
      <c r="C175" s="9" t="s">
        <v>19</v>
      </c>
      <c r="D175" s="9" t="s">
        <v>19</v>
      </c>
      <c r="E175" s="9" t="s">
        <v>29</v>
      </c>
      <c r="G175" s="9" t="s">
        <v>93</v>
      </c>
    </row>
    <row r="176" spans="1:29" ht="14.25" customHeight="1" x14ac:dyDescent="0.25">
      <c r="A176" s="9" t="s">
        <v>441</v>
      </c>
      <c r="B176" s="9" t="s">
        <v>442</v>
      </c>
      <c r="C176" s="9" t="s">
        <v>19</v>
      </c>
      <c r="D176" s="9" t="s">
        <v>19</v>
      </c>
      <c r="E176" s="9" t="s">
        <v>272</v>
      </c>
      <c r="G176" s="9" t="s">
        <v>272</v>
      </c>
      <c r="H176" s="9" t="s">
        <v>443</v>
      </c>
    </row>
    <row r="177" spans="1:8" ht="14.25" customHeight="1" x14ac:dyDescent="0.25">
      <c r="A177" s="9" t="s">
        <v>444</v>
      </c>
      <c r="B177" s="9" t="s">
        <v>445</v>
      </c>
      <c r="C177" s="9" t="s">
        <v>39</v>
      </c>
      <c r="D177" s="9" t="s">
        <v>39</v>
      </c>
      <c r="E177" s="9" t="s">
        <v>40</v>
      </c>
      <c r="F177" s="9" t="s">
        <v>11</v>
      </c>
      <c r="G177" s="9" t="s">
        <v>67</v>
      </c>
      <c r="H177" s="9" t="s">
        <v>446</v>
      </c>
    </row>
    <row r="178" spans="1:8" ht="14.25" customHeight="1" x14ac:dyDescent="0.25">
      <c r="A178" s="9" t="s">
        <v>447</v>
      </c>
      <c r="B178" s="9" t="s">
        <v>448</v>
      </c>
      <c r="C178" s="9" t="s">
        <v>14</v>
      </c>
      <c r="D178" s="9" t="s">
        <v>14</v>
      </c>
      <c r="E178" s="9" t="s">
        <v>29</v>
      </c>
      <c r="F178" s="9" t="s">
        <v>11</v>
      </c>
      <c r="G178" s="9" t="s">
        <v>110</v>
      </c>
    </row>
    <row r="179" spans="1:8" ht="14.25" customHeight="1" x14ac:dyDescent="0.25">
      <c r="A179" s="9" t="s">
        <v>449</v>
      </c>
      <c r="B179" s="9" t="s">
        <v>450</v>
      </c>
      <c r="C179" s="9" t="s">
        <v>19</v>
      </c>
      <c r="D179" s="10" t="s">
        <v>19</v>
      </c>
      <c r="E179" s="10" t="s">
        <v>86</v>
      </c>
      <c r="G179" s="9" t="s">
        <v>87</v>
      </c>
      <c r="H179" s="9" t="s">
        <v>451</v>
      </c>
    </row>
    <row r="180" spans="1:8" ht="14.25" customHeight="1" x14ac:dyDescent="0.25">
      <c r="A180" s="9" t="s">
        <v>452</v>
      </c>
      <c r="B180" s="9" t="s">
        <v>453</v>
      </c>
      <c r="C180" s="9" t="s">
        <v>44</v>
      </c>
      <c r="D180" s="9" t="s">
        <v>44</v>
      </c>
      <c r="F180" s="9" t="s">
        <v>11</v>
      </c>
      <c r="G180" s="9" t="s">
        <v>48</v>
      </c>
    </row>
    <row r="181" spans="1:8" ht="14.25" customHeight="1" x14ac:dyDescent="0.25">
      <c r="A181" s="9" t="s">
        <v>454</v>
      </c>
      <c r="B181" s="9" t="s">
        <v>455</v>
      </c>
      <c r="C181" s="9" t="s">
        <v>19</v>
      </c>
      <c r="D181" s="9" t="s">
        <v>227</v>
      </c>
      <c r="E181" s="9" t="s">
        <v>29</v>
      </c>
      <c r="F181" s="9" t="s">
        <v>11</v>
      </c>
      <c r="G181" s="9" t="s">
        <v>30</v>
      </c>
    </row>
    <row r="182" spans="1:8" ht="14.25" customHeight="1" x14ac:dyDescent="0.25">
      <c r="A182" s="9" t="s">
        <v>456</v>
      </c>
      <c r="B182" s="9" t="s">
        <v>457</v>
      </c>
      <c r="C182" s="9" t="s">
        <v>44</v>
      </c>
      <c r="D182" s="9" t="s">
        <v>44</v>
      </c>
      <c r="E182" s="9" t="s">
        <v>344</v>
      </c>
      <c r="F182" s="9" t="s">
        <v>11</v>
      </c>
      <c r="G182" s="9" t="s">
        <v>458</v>
      </c>
    </row>
    <row r="183" spans="1:8" ht="14.25" customHeight="1" x14ac:dyDescent="0.25">
      <c r="A183" s="9" t="s">
        <v>459</v>
      </c>
      <c r="B183" s="9" t="s">
        <v>460</v>
      </c>
      <c r="C183" s="9" t="s">
        <v>44</v>
      </c>
      <c r="D183" s="9" t="s">
        <v>44</v>
      </c>
      <c r="E183" s="9" t="s">
        <v>461</v>
      </c>
      <c r="F183" s="9" t="s">
        <v>11</v>
      </c>
      <c r="G183" s="9" t="s">
        <v>186</v>
      </c>
    </row>
    <row r="184" spans="1:8" ht="14.25" customHeight="1" x14ac:dyDescent="0.25">
      <c r="A184" s="9" t="s">
        <v>462</v>
      </c>
      <c r="B184" s="9" t="s">
        <v>463</v>
      </c>
      <c r="C184" s="9" t="s">
        <v>19</v>
      </c>
      <c r="D184" s="9" t="s">
        <v>19</v>
      </c>
      <c r="E184" s="9" t="s">
        <v>29</v>
      </c>
      <c r="G184" s="9" t="s">
        <v>101</v>
      </c>
    </row>
    <row r="185" spans="1:8" ht="14.25" customHeight="1" x14ac:dyDescent="0.25">
      <c r="A185" s="9" t="s">
        <v>464</v>
      </c>
      <c r="B185" s="9" t="s">
        <v>465</v>
      </c>
      <c r="C185" s="9" t="s">
        <v>128</v>
      </c>
      <c r="D185" s="9" t="s">
        <v>128</v>
      </c>
      <c r="F185" s="9" t="s">
        <v>11</v>
      </c>
      <c r="G185" s="9" t="s">
        <v>129</v>
      </c>
    </row>
    <row r="186" spans="1:8" ht="14.25" customHeight="1" x14ac:dyDescent="0.25">
      <c r="A186" s="9" t="s">
        <v>466</v>
      </c>
      <c r="B186" s="9" t="s">
        <v>467</v>
      </c>
      <c r="C186" s="9" t="s">
        <v>59</v>
      </c>
      <c r="D186" s="9" t="s">
        <v>59</v>
      </c>
      <c r="E186" s="9" t="s">
        <v>60</v>
      </c>
      <c r="F186" s="9" t="s">
        <v>11</v>
      </c>
      <c r="G186" s="9" t="s">
        <v>468</v>
      </c>
    </row>
    <row r="187" spans="1:8" ht="14.25" customHeight="1" x14ac:dyDescent="0.25">
      <c r="A187" s="9" t="s">
        <v>469</v>
      </c>
      <c r="B187" s="9" t="s">
        <v>470</v>
      </c>
      <c r="C187" s="9" t="s">
        <v>19</v>
      </c>
      <c r="D187" s="10" t="s">
        <v>19</v>
      </c>
      <c r="E187" s="10" t="s">
        <v>86</v>
      </c>
      <c r="G187" s="9" t="s">
        <v>471</v>
      </c>
    </row>
    <row r="188" spans="1:8" ht="14.25" customHeight="1" x14ac:dyDescent="0.25">
      <c r="A188" s="9" t="s">
        <v>472</v>
      </c>
      <c r="B188" s="9" t="s">
        <v>473</v>
      </c>
      <c r="C188" s="9" t="s">
        <v>14</v>
      </c>
      <c r="D188" s="9" t="s">
        <v>14</v>
      </c>
      <c r="F188" s="9" t="s">
        <v>11</v>
      </c>
      <c r="G188" s="9" t="s">
        <v>432</v>
      </c>
    </row>
    <row r="189" spans="1:8" ht="14.25" customHeight="1" x14ac:dyDescent="0.25">
      <c r="A189" s="9" t="s">
        <v>474</v>
      </c>
      <c r="B189" s="9" t="s">
        <v>475</v>
      </c>
      <c r="C189" s="9" t="s">
        <v>19</v>
      </c>
      <c r="D189" s="9" t="s">
        <v>19</v>
      </c>
      <c r="E189" s="9" t="s">
        <v>200</v>
      </c>
      <c r="G189" s="9" t="s">
        <v>107</v>
      </c>
    </row>
    <row r="190" spans="1:8" ht="14.25" customHeight="1" x14ac:dyDescent="0.25">
      <c r="A190" s="9" t="s">
        <v>476</v>
      </c>
      <c r="B190" s="9" t="s">
        <v>477</v>
      </c>
      <c r="C190" s="9" t="s">
        <v>19</v>
      </c>
      <c r="D190" s="9" t="s">
        <v>19</v>
      </c>
      <c r="E190" s="9" t="s">
        <v>186</v>
      </c>
      <c r="G190" s="9" t="s">
        <v>186</v>
      </c>
      <c r="H190" s="9">
        <v>404</v>
      </c>
    </row>
    <row r="191" spans="1:8" ht="14.25" customHeight="1" x14ac:dyDescent="0.25">
      <c r="A191" s="9" t="s">
        <v>478</v>
      </c>
      <c r="B191" s="9" t="s">
        <v>479</v>
      </c>
      <c r="C191" s="9" t="s">
        <v>19</v>
      </c>
      <c r="D191" s="9" t="s">
        <v>19</v>
      </c>
      <c r="E191" s="9" t="s">
        <v>104</v>
      </c>
      <c r="G191" s="9" t="s">
        <v>137</v>
      </c>
    </row>
    <row r="192" spans="1:8" ht="14.25" customHeight="1" x14ac:dyDescent="0.25">
      <c r="A192" s="9" t="s">
        <v>480</v>
      </c>
      <c r="B192" s="9" t="s">
        <v>481</v>
      </c>
      <c r="C192" s="9" t="s">
        <v>19</v>
      </c>
      <c r="D192" s="9" t="s">
        <v>19</v>
      </c>
      <c r="E192" s="9" t="s">
        <v>29</v>
      </c>
      <c r="G192" s="9" t="s">
        <v>107</v>
      </c>
    </row>
    <row r="193" spans="1:8" ht="14.25" customHeight="1" x14ac:dyDescent="0.25">
      <c r="A193" s="9" t="s">
        <v>482</v>
      </c>
      <c r="B193" s="9" t="s">
        <v>483</v>
      </c>
      <c r="C193" s="9" t="s">
        <v>19</v>
      </c>
      <c r="D193" s="10" t="s">
        <v>19</v>
      </c>
      <c r="E193" s="10" t="s">
        <v>20</v>
      </c>
      <c r="G193" s="9" t="s">
        <v>73</v>
      </c>
    </row>
    <row r="194" spans="1:8" ht="14.25" customHeight="1" x14ac:dyDescent="0.25">
      <c r="A194" s="9" t="s">
        <v>484</v>
      </c>
      <c r="B194" s="13" t="s">
        <v>1152</v>
      </c>
      <c r="C194" s="9" t="s">
        <v>44</v>
      </c>
      <c r="D194" s="9" t="s">
        <v>44</v>
      </c>
      <c r="F194" s="9" t="s">
        <v>11</v>
      </c>
      <c r="G194" s="9" t="s">
        <v>48</v>
      </c>
    </row>
    <row r="195" spans="1:8" ht="14.25" customHeight="1" x14ac:dyDescent="0.25">
      <c r="A195" s="9" t="s">
        <v>485</v>
      </c>
      <c r="B195" s="9" t="s">
        <v>486</v>
      </c>
      <c r="C195" s="9" t="s">
        <v>19</v>
      </c>
      <c r="D195" s="9" t="s">
        <v>19</v>
      </c>
      <c r="E195" s="9" t="s">
        <v>487</v>
      </c>
      <c r="G195" s="9" t="s">
        <v>488</v>
      </c>
    </row>
    <row r="196" spans="1:8" ht="14.25" customHeight="1" x14ac:dyDescent="0.25">
      <c r="A196" s="9" t="s">
        <v>489</v>
      </c>
      <c r="B196" s="9" t="s">
        <v>490</v>
      </c>
      <c r="C196" s="9" t="s">
        <v>19</v>
      </c>
      <c r="D196" s="9" t="s">
        <v>227</v>
      </c>
      <c r="E196" s="9" t="s">
        <v>344</v>
      </c>
      <c r="F196" s="9" t="s">
        <v>11</v>
      </c>
      <c r="G196" s="9" t="s">
        <v>411</v>
      </c>
    </row>
    <row r="197" spans="1:8" ht="14.25" customHeight="1" x14ac:dyDescent="0.25">
      <c r="A197" s="9" t="s">
        <v>491</v>
      </c>
      <c r="B197" s="9" t="s">
        <v>492</v>
      </c>
      <c r="C197" s="9" t="s">
        <v>19</v>
      </c>
      <c r="D197" s="9" t="s">
        <v>19</v>
      </c>
      <c r="E197" s="9" t="s">
        <v>186</v>
      </c>
      <c r="G197" s="9" t="s">
        <v>187</v>
      </c>
    </row>
    <row r="198" spans="1:8" ht="14.25" customHeight="1" x14ac:dyDescent="0.25">
      <c r="A198" s="9" t="s">
        <v>493</v>
      </c>
      <c r="B198" s="9" t="s">
        <v>494</v>
      </c>
      <c r="C198" s="9" t="s">
        <v>19</v>
      </c>
      <c r="D198" s="9" t="s">
        <v>19</v>
      </c>
      <c r="E198" s="9" t="s">
        <v>104</v>
      </c>
      <c r="G198" s="9" t="s">
        <v>105</v>
      </c>
    </row>
    <row r="199" spans="1:8" ht="14.25" customHeight="1" x14ac:dyDescent="0.25">
      <c r="A199" s="9" t="s">
        <v>495</v>
      </c>
      <c r="B199" s="9" t="s">
        <v>496</v>
      </c>
      <c r="C199" s="9" t="s">
        <v>10</v>
      </c>
      <c r="D199" s="9" t="s">
        <v>10</v>
      </c>
      <c r="F199" s="9" t="s">
        <v>218</v>
      </c>
      <c r="G199" s="9" t="s">
        <v>148</v>
      </c>
    </row>
    <row r="200" spans="1:8" ht="14.25" customHeight="1" x14ac:dyDescent="0.25">
      <c r="A200" s="9" t="s">
        <v>495</v>
      </c>
      <c r="B200" s="9" t="s">
        <v>497</v>
      </c>
      <c r="C200" s="9" t="s">
        <v>19</v>
      </c>
      <c r="D200" s="9" t="s">
        <v>19</v>
      </c>
      <c r="E200" s="9" t="s">
        <v>461</v>
      </c>
      <c r="G200" s="9" t="s">
        <v>230</v>
      </c>
    </row>
    <row r="201" spans="1:8" ht="14.25" customHeight="1" x14ac:dyDescent="0.25">
      <c r="A201" s="9" t="s">
        <v>498</v>
      </c>
      <c r="B201" s="9" t="s">
        <v>499</v>
      </c>
      <c r="C201" s="9" t="s">
        <v>19</v>
      </c>
      <c r="D201" s="10" t="s">
        <v>19</v>
      </c>
      <c r="E201" s="10" t="s">
        <v>500</v>
      </c>
      <c r="G201" s="9" t="s">
        <v>501</v>
      </c>
    </row>
    <row r="202" spans="1:8" ht="14.25" customHeight="1" x14ac:dyDescent="0.25">
      <c r="A202" s="9" t="s">
        <v>502</v>
      </c>
      <c r="B202" s="9" t="s">
        <v>503</v>
      </c>
      <c r="C202" s="9" t="s">
        <v>39</v>
      </c>
      <c r="D202" s="9" t="s">
        <v>39</v>
      </c>
      <c r="E202" s="9" t="s">
        <v>40</v>
      </c>
      <c r="F202" s="9" t="s">
        <v>11</v>
      </c>
      <c r="G202" s="9" t="s">
        <v>67</v>
      </c>
    </row>
    <row r="203" spans="1:8" ht="14.25" customHeight="1" x14ac:dyDescent="0.25">
      <c r="A203" s="9" t="s">
        <v>502</v>
      </c>
      <c r="B203" s="9" t="s">
        <v>504</v>
      </c>
      <c r="C203" s="9" t="s">
        <v>59</v>
      </c>
      <c r="D203" s="9" t="s">
        <v>39</v>
      </c>
      <c r="E203" s="9" t="s">
        <v>159</v>
      </c>
      <c r="F203" s="9" t="s">
        <v>218</v>
      </c>
      <c r="G203" s="9" t="s">
        <v>160</v>
      </c>
    </row>
    <row r="204" spans="1:8" ht="14.25" customHeight="1" x14ac:dyDescent="0.25">
      <c r="A204" s="9" t="s">
        <v>502</v>
      </c>
      <c r="B204" s="9" t="s">
        <v>505</v>
      </c>
      <c r="C204" s="9" t="s">
        <v>19</v>
      </c>
      <c r="D204" s="9" t="s">
        <v>19</v>
      </c>
    </row>
    <row r="205" spans="1:8" ht="14.25" customHeight="1" x14ac:dyDescent="0.25">
      <c r="A205" s="9" t="s">
        <v>502</v>
      </c>
      <c r="B205" s="9" t="s">
        <v>506</v>
      </c>
      <c r="C205" s="9" t="s">
        <v>59</v>
      </c>
      <c r="D205" s="9" t="s">
        <v>59</v>
      </c>
      <c r="E205" s="9" t="s">
        <v>60</v>
      </c>
      <c r="F205" s="9" t="s">
        <v>11</v>
      </c>
    </row>
    <row r="206" spans="1:8" ht="14.25" customHeight="1" x14ac:dyDescent="0.25">
      <c r="A206" s="9" t="s">
        <v>507</v>
      </c>
      <c r="B206" s="9" t="s">
        <v>508</v>
      </c>
      <c r="C206" s="9" t="s">
        <v>14</v>
      </c>
      <c r="D206" s="9" t="s">
        <v>14</v>
      </c>
      <c r="E206" s="9" t="s">
        <v>15</v>
      </c>
      <c r="F206" s="9" t="s">
        <v>11</v>
      </c>
      <c r="G206" s="9" t="s">
        <v>16</v>
      </c>
    </row>
    <row r="207" spans="1:8" ht="14.25" customHeight="1" x14ac:dyDescent="0.25">
      <c r="A207" s="9" t="s">
        <v>509</v>
      </c>
      <c r="B207" s="9" t="s">
        <v>510</v>
      </c>
      <c r="C207" s="9" t="s">
        <v>39</v>
      </c>
      <c r="D207" s="9" t="s">
        <v>39</v>
      </c>
      <c r="E207" s="9" t="s">
        <v>511</v>
      </c>
      <c r="F207" s="9" t="s">
        <v>218</v>
      </c>
      <c r="G207" s="9" t="s">
        <v>114</v>
      </c>
      <c r="H207" s="9" t="s">
        <v>512</v>
      </c>
    </row>
    <row r="208" spans="1:8" ht="14.25" customHeight="1" x14ac:dyDescent="0.25">
      <c r="A208" s="9" t="s">
        <v>513</v>
      </c>
      <c r="B208" s="9" t="s">
        <v>514</v>
      </c>
      <c r="C208" s="9" t="s">
        <v>19</v>
      </c>
      <c r="D208" s="9" t="s">
        <v>19</v>
      </c>
      <c r="E208" s="9" t="s">
        <v>29</v>
      </c>
      <c r="G208" s="9" t="s">
        <v>110</v>
      </c>
    </row>
    <row r="209" spans="1:8" ht="14.25" customHeight="1" x14ac:dyDescent="0.25">
      <c r="A209" s="9" t="s">
        <v>513</v>
      </c>
      <c r="B209" s="9" t="s">
        <v>515</v>
      </c>
      <c r="C209" s="9" t="s">
        <v>19</v>
      </c>
      <c r="D209" s="9" t="s">
        <v>19</v>
      </c>
      <c r="G209" s="9" t="s">
        <v>110</v>
      </c>
    </row>
    <row r="210" spans="1:8" ht="14.25" customHeight="1" x14ac:dyDescent="0.25">
      <c r="A210" s="9" t="s">
        <v>516</v>
      </c>
      <c r="B210" s="9" t="s">
        <v>517</v>
      </c>
      <c r="C210" s="9" t="s">
        <v>19</v>
      </c>
      <c r="D210" s="9" t="s">
        <v>19</v>
      </c>
      <c r="E210" s="9" t="s">
        <v>55</v>
      </c>
      <c r="G210" s="9" t="s">
        <v>56</v>
      </c>
    </row>
    <row r="211" spans="1:8" ht="14.25" customHeight="1" x14ac:dyDescent="0.25">
      <c r="A211" s="9" t="s">
        <v>518</v>
      </c>
      <c r="B211" s="9" t="s">
        <v>519</v>
      </c>
      <c r="C211" s="9" t="s">
        <v>19</v>
      </c>
      <c r="D211" s="9" t="s">
        <v>19</v>
      </c>
      <c r="E211" s="9" t="s">
        <v>270</v>
      </c>
      <c r="G211" s="9" t="s">
        <v>520</v>
      </c>
    </row>
    <row r="212" spans="1:8" ht="14.25" customHeight="1" x14ac:dyDescent="0.25">
      <c r="A212" s="9" t="s">
        <v>521</v>
      </c>
      <c r="B212" s="9" t="s">
        <v>522</v>
      </c>
      <c r="C212" s="9" t="s">
        <v>19</v>
      </c>
      <c r="D212" s="9" t="s">
        <v>19</v>
      </c>
      <c r="E212" s="9" t="s">
        <v>29</v>
      </c>
      <c r="G212" s="9" t="s">
        <v>107</v>
      </c>
    </row>
    <row r="213" spans="1:8" ht="14.25" customHeight="1" x14ac:dyDescent="0.25">
      <c r="A213" s="9" t="s">
        <v>523</v>
      </c>
      <c r="B213" s="9" t="s">
        <v>524</v>
      </c>
      <c r="C213" s="9" t="s">
        <v>19</v>
      </c>
      <c r="D213" s="9" t="s">
        <v>19</v>
      </c>
      <c r="E213" s="9" t="s">
        <v>29</v>
      </c>
      <c r="G213" s="9" t="s">
        <v>122</v>
      </c>
    </row>
    <row r="214" spans="1:8" ht="14.25" customHeight="1" x14ac:dyDescent="0.25">
      <c r="A214" s="9" t="s">
        <v>525</v>
      </c>
      <c r="B214" s="9" t="s">
        <v>526</v>
      </c>
      <c r="C214" s="9" t="s">
        <v>19</v>
      </c>
      <c r="D214" s="9" t="s">
        <v>19</v>
      </c>
      <c r="G214" s="9" t="s">
        <v>195</v>
      </c>
    </row>
    <row r="215" spans="1:8" ht="14.25" customHeight="1" x14ac:dyDescent="0.25">
      <c r="A215" s="9" t="s">
        <v>527</v>
      </c>
      <c r="B215" s="9" t="s">
        <v>528</v>
      </c>
      <c r="C215" s="9" t="s">
        <v>39</v>
      </c>
      <c r="D215" s="9" t="s">
        <v>39</v>
      </c>
      <c r="F215" s="9" t="s">
        <v>11</v>
      </c>
      <c r="G215" s="9" t="s">
        <v>432</v>
      </c>
    </row>
    <row r="216" spans="1:8" ht="14.25" customHeight="1" x14ac:dyDescent="0.25">
      <c r="A216" s="9" t="s">
        <v>529</v>
      </c>
      <c r="B216" s="9" t="s">
        <v>530</v>
      </c>
      <c r="C216" s="9" t="s">
        <v>44</v>
      </c>
      <c r="D216" s="9" t="s">
        <v>44</v>
      </c>
      <c r="F216" s="9" t="s">
        <v>11</v>
      </c>
      <c r="G216" s="9" t="s">
        <v>531</v>
      </c>
    </row>
    <row r="217" spans="1:8" ht="14.25" customHeight="1" x14ac:dyDescent="0.25">
      <c r="A217" s="9" t="s">
        <v>529</v>
      </c>
      <c r="B217" s="9" t="s">
        <v>532</v>
      </c>
      <c r="C217" s="9" t="s">
        <v>59</v>
      </c>
      <c r="D217" s="9" t="s">
        <v>59</v>
      </c>
      <c r="E217" s="9" t="s">
        <v>60</v>
      </c>
      <c r="F217" s="9" t="s">
        <v>11</v>
      </c>
      <c r="G217" s="9" t="s">
        <v>468</v>
      </c>
    </row>
    <row r="218" spans="1:8" ht="14.25" customHeight="1" x14ac:dyDescent="0.25">
      <c r="A218" s="9" t="s">
        <v>533</v>
      </c>
      <c r="B218" s="9" t="s">
        <v>534</v>
      </c>
      <c r="C218" s="9" t="s">
        <v>19</v>
      </c>
      <c r="D218" s="9" t="s">
        <v>19</v>
      </c>
      <c r="E218" s="9" t="s">
        <v>55</v>
      </c>
      <c r="G218" s="9" t="s">
        <v>230</v>
      </c>
    </row>
    <row r="219" spans="1:8" ht="14.25" customHeight="1" x14ac:dyDescent="0.25">
      <c r="A219" s="9" t="s">
        <v>535</v>
      </c>
      <c r="B219" s="9" t="s">
        <v>536</v>
      </c>
      <c r="C219" s="9" t="s">
        <v>19</v>
      </c>
      <c r="D219" s="9" t="s">
        <v>19</v>
      </c>
      <c r="E219" s="9" t="s">
        <v>29</v>
      </c>
      <c r="G219" s="9" t="s">
        <v>110</v>
      </c>
    </row>
    <row r="220" spans="1:8" ht="14.25" customHeight="1" x14ac:dyDescent="0.25">
      <c r="A220" s="9" t="s">
        <v>537</v>
      </c>
      <c r="B220" s="9" t="s">
        <v>538</v>
      </c>
      <c r="C220" s="9" t="s">
        <v>19</v>
      </c>
      <c r="D220" s="10" t="s">
        <v>19</v>
      </c>
      <c r="E220" s="10" t="s">
        <v>20</v>
      </c>
      <c r="G220" s="9" t="s">
        <v>539</v>
      </c>
    </row>
    <row r="221" spans="1:8" ht="14.25" customHeight="1" x14ac:dyDescent="0.25">
      <c r="A221" s="9" t="s">
        <v>540</v>
      </c>
      <c r="B221" s="9" t="s">
        <v>541</v>
      </c>
      <c r="C221" s="9" t="s">
        <v>14</v>
      </c>
      <c r="D221" s="9" t="s">
        <v>14</v>
      </c>
      <c r="E221" s="9" t="s">
        <v>15</v>
      </c>
      <c r="F221" s="9" t="s">
        <v>11</v>
      </c>
      <c r="G221" s="9" t="s">
        <v>16</v>
      </c>
    </row>
    <row r="222" spans="1:8" ht="14.25" customHeight="1" x14ac:dyDescent="0.25">
      <c r="A222" s="9" t="s">
        <v>542</v>
      </c>
      <c r="B222" s="9" t="s">
        <v>543</v>
      </c>
      <c r="C222" s="9" t="s">
        <v>544</v>
      </c>
      <c r="D222" s="9" t="s">
        <v>544</v>
      </c>
      <c r="F222" s="9" t="s">
        <v>11</v>
      </c>
      <c r="G222" s="9" t="s">
        <v>545</v>
      </c>
      <c r="H222" s="9" t="s">
        <v>546</v>
      </c>
    </row>
    <row r="223" spans="1:8" ht="14.25" customHeight="1" x14ac:dyDescent="0.25">
      <c r="A223" s="9" t="s">
        <v>547</v>
      </c>
      <c r="B223" s="9" t="s">
        <v>548</v>
      </c>
      <c r="C223" s="9" t="s">
        <v>19</v>
      </c>
      <c r="D223" s="9" t="s">
        <v>19</v>
      </c>
      <c r="E223" s="9" t="s">
        <v>29</v>
      </c>
      <c r="G223" s="9" t="s">
        <v>549</v>
      </c>
    </row>
    <row r="224" spans="1:8" ht="14.25" customHeight="1" x14ac:dyDescent="0.25">
      <c r="A224" s="9" t="s">
        <v>550</v>
      </c>
      <c r="B224" s="9" t="s">
        <v>551</v>
      </c>
      <c r="C224" s="9" t="s">
        <v>39</v>
      </c>
      <c r="D224" s="9" t="s">
        <v>39</v>
      </c>
      <c r="F224" s="9" t="s">
        <v>11</v>
      </c>
      <c r="G224" s="9" t="s">
        <v>552</v>
      </c>
    </row>
    <row r="225" spans="1:8" ht="14.25" customHeight="1" x14ac:dyDescent="0.25">
      <c r="A225" s="9" t="s">
        <v>553</v>
      </c>
      <c r="B225" s="9" t="s">
        <v>554</v>
      </c>
      <c r="C225" s="9" t="s">
        <v>19</v>
      </c>
      <c r="D225" s="9" t="s">
        <v>19</v>
      </c>
      <c r="E225" s="9" t="s">
        <v>555</v>
      </c>
      <c r="G225" s="9" t="s">
        <v>555</v>
      </c>
      <c r="H225" s="9" t="s">
        <v>556</v>
      </c>
    </row>
    <row r="226" spans="1:8" ht="14.25" customHeight="1" x14ac:dyDescent="0.25">
      <c r="A226" s="9" t="s">
        <v>557</v>
      </c>
      <c r="B226" s="9" t="s">
        <v>558</v>
      </c>
      <c r="C226" s="9" t="s">
        <v>19</v>
      </c>
      <c r="D226" s="10" t="s">
        <v>19</v>
      </c>
      <c r="E226" s="10" t="s">
        <v>20</v>
      </c>
      <c r="G226" s="9" t="s">
        <v>559</v>
      </c>
    </row>
    <row r="227" spans="1:8" ht="14.25" customHeight="1" x14ac:dyDescent="0.25">
      <c r="A227" s="9" t="s">
        <v>560</v>
      </c>
      <c r="B227" s="9" t="s">
        <v>561</v>
      </c>
      <c r="C227" s="9" t="s">
        <v>39</v>
      </c>
      <c r="D227" s="9" t="s">
        <v>39</v>
      </c>
      <c r="F227" s="9" t="s">
        <v>11</v>
      </c>
      <c r="G227" s="9" t="s">
        <v>41</v>
      </c>
    </row>
    <row r="228" spans="1:8" ht="14.25" customHeight="1" x14ac:dyDescent="0.25">
      <c r="A228" s="9" t="s">
        <v>560</v>
      </c>
      <c r="B228" s="9" t="s">
        <v>562</v>
      </c>
      <c r="C228" s="9" t="s">
        <v>19</v>
      </c>
      <c r="D228" s="9" t="s">
        <v>19</v>
      </c>
      <c r="E228" s="9" t="s">
        <v>29</v>
      </c>
      <c r="G228" s="9" t="s">
        <v>36</v>
      </c>
    </row>
    <row r="229" spans="1:8" ht="14.25" customHeight="1" x14ac:dyDescent="0.25">
      <c r="A229" s="9" t="s">
        <v>563</v>
      </c>
      <c r="B229" s="9" t="s">
        <v>564</v>
      </c>
      <c r="C229" s="9" t="s">
        <v>19</v>
      </c>
      <c r="D229" s="10" t="s">
        <v>19</v>
      </c>
      <c r="E229" s="10" t="s">
        <v>86</v>
      </c>
      <c r="G229" s="9" t="s">
        <v>87</v>
      </c>
    </row>
    <row r="230" spans="1:8" ht="14.25" customHeight="1" x14ac:dyDescent="0.25">
      <c r="A230" s="9" t="s">
        <v>565</v>
      </c>
      <c r="B230" s="9" t="s">
        <v>566</v>
      </c>
      <c r="C230" s="9" t="s">
        <v>19</v>
      </c>
      <c r="D230" s="9" t="s">
        <v>19</v>
      </c>
      <c r="E230" s="9" t="s">
        <v>200</v>
      </c>
      <c r="G230" s="9" t="s">
        <v>107</v>
      </c>
    </row>
    <row r="231" spans="1:8" ht="14.25" customHeight="1" x14ac:dyDescent="0.25">
      <c r="A231" s="9" t="s">
        <v>567</v>
      </c>
      <c r="B231" s="9" t="s">
        <v>568</v>
      </c>
      <c r="C231" s="9" t="s">
        <v>44</v>
      </c>
      <c r="D231" s="9" t="s">
        <v>44</v>
      </c>
      <c r="F231" s="9" t="s">
        <v>11</v>
      </c>
      <c r="G231" s="9" t="s">
        <v>48</v>
      </c>
    </row>
    <row r="232" spans="1:8" ht="14.25" customHeight="1" x14ac:dyDescent="0.25">
      <c r="A232" s="9" t="s">
        <v>569</v>
      </c>
      <c r="B232" s="13" t="s">
        <v>1153</v>
      </c>
      <c r="C232" s="9" t="s">
        <v>10</v>
      </c>
      <c r="D232" s="9" t="s">
        <v>10</v>
      </c>
      <c r="F232" s="9" t="s">
        <v>218</v>
      </c>
      <c r="G232" s="9" t="s">
        <v>570</v>
      </c>
    </row>
    <row r="233" spans="1:8" ht="14.25" customHeight="1" x14ac:dyDescent="0.25">
      <c r="A233" s="9" t="s">
        <v>571</v>
      </c>
      <c r="B233" s="9" t="s">
        <v>572</v>
      </c>
      <c r="C233" s="9" t="s">
        <v>19</v>
      </c>
      <c r="D233" s="9" t="s">
        <v>19</v>
      </c>
      <c r="E233" s="9" t="s">
        <v>29</v>
      </c>
      <c r="G233" s="9" t="s">
        <v>122</v>
      </c>
    </row>
    <row r="234" spans="1:8" ht="14.25" customHeight="1" x14ac:dyDescent="0.25">
      <c r="A234" s="9" t="s">
        <v>573</v>
      </c>
      <c r="B234" s="9" t="s">
        <v>574</v>
      </c>
      <c r="C234" s="9" t="s">
        <v>19</v>
      </c>
      <c r="D234" s="9" t="s">
        <v>39</v>
      </c>
      <c r="E234" s="9" t="s">
        <v>575</v>
      </c>
      <c r="F234" s="9" t="s">
        <v>11</v>
      </c>
    </row>
    <row r="235" spans="1:8" ht="14.25" customHeight="1" x14ac:dyDescent="0.25">
      <c r="A235" s="9" t="s">
        <v>576</v>
      </c>
      <c r="B235" s="9" t="s">
        <v>577</v>
      </c>
      <c r="C235" s="9" t="s">
        <v>39</v>
      </c>
      <c r="D235" s="9" t="s">
        <v>39</v>
      </c>
      <c r="E235" s="9" t="s">
        <v>29</v>
      </c>
      <c r="F235" s="9" t="s">
        <v>11</v>
      </c>
      <c r="G235" s="9" t="s">
        <v>267</v>
      </c>
    </row>
    <row r="236" spans="1:8" ht="14.25" customHeight="1" x14ac:dyDescent="0.25">
      <c r="A236" s="9" t="s">
        <v>578</v>
      </c>
      <c r="B236" s="9" t="s">
        <v>579</v>
      </c>
      <c r="C236" s="9" t="s">
        <v>24</v>
      </c>
      <c r="D236" s="9" t="s">
        <v>24</v>
      </c>
      <c r="E236" s="9" t="s">
        <v>29</v>
      </c>
      <c r="F236" s="9" t="s">
        <v>11</v>
      </c>
      <c r="G236" s="9" t="s">
        <v>122</v>
      </c>
    </row>
    <row r="237" spans="1:8" ht="14.25" customHeight="1" x14ac:dyDescent="0.25">
      <c r="A237" s="9" t="s">
        <v>580</v>
      </c>
      <c r="B237" s="9" t="s">
        <v>581</v>
      </c>
      <c r="C237" s="9" t="s">
        <v>19</v>
      </c>
      <c r="D237" s="9" t="s">
        <v>19</v>
      </c>
      <c r="E237" s="9" t="s">
        <v>104</v>
      </c>
      <c r="G237" s="9" t="s">
        <v>105</v>
      </c>
    </row>
    <row r="238" spans="1:8" ht="14.25" customHeight="1" x14ac:dyDescent="0.25">
      <c r="A238" s="9" t="s">
        <v>582</v>
      </c>
      <c r="B238" s="9" t="s">
        <v>583</v>
      </c>
      <c r="C238" s="9" t="s">
        <v>19</v>
      </c>
      <c r="D238" s="9" t="s">
        <v>19</v>
      </c>
      <c r="E238" s="9" t="s">
        <v>25</v>
      </c>
      <c r="G238" s="9" t="s">
        <v>33</v>
      </c>
    </row>
    <row r="239" spans="1:8" ht="14.25" customHeight="1" x14ac:dyDescent="0.25">
      <c r="A239" s="9" t="s">
        <v>584</v>
      </c>
      <c r="B239" s="9" t="s">
        <v>585</v>
      </c>
      <c r="C239" s="9" t="s">
        <v>19</v>
      </c>
      <c r="D239" s="9" t="s">
        <v>19</v>
      </c>
      <c r="E239" s="9" t="s">
        <v>55</v>
      </c>
      <c r="G239" s="9" t="s">
        <v>586</v>
      </c>
    </row>
    <row r="240" spans="1:8" ht="14.25" customHeight="1" x14ac:dyDescent="0.25">
      <c r="A240" s="9" t="s">
        <v>587</v>
      </c>
      <c r="B240" s="9" t="s">
        <v>588</v>
      </c>
      <c r="C240" s="9" t="s">
        <v>19</v>
      </c>
      <c r="D240" s="9" t="s">
        <v>19</v>
      </c>
      <c r="E240" s="9" t="s">
        <v>55</v>
      </c>
      <c r="G240" s="9" t="s">
        <v>315</v>
      </c>
    </row>
    <row r="241" spans="1:7" ht="14.25" customHeight="1" x14ac:dyDescent="0.25">
      <c r="A241" s="9" t="s">
        <v>589</v>
      </c>
      <c r="B241" s="9" t="s">
        <v>590</v>
      </c>
      <c r="C241" s="9" t="s">
        <v>44</v>
      </c>
      <c r="D241" s="9" t="s">
        <v>44</v>
      </c>
      <c r="F241" s="9" t="s">
        <v>11</v>
      </c>
      <c r="G241" s="9" t="s">
        <v>90</v>
      </c>
    </row>
    <row r="242" spans="1:7" ht="14.25" customHeight="1" x14ac:dyDescent="0.25">
      <c r="A242" s="9" t="s">
        <v>591</v>
      </c>
      <c r="B242" s="9" t="s">
        <v>592</v>
      </c>
      <c r="C242" s="9" t="s">
        <v>204</v>
      </c>
      <c r="D242" s="9" t="s">
        <v>204</v>
      </c>
      <c r="F242" s="9" t="s">
        <v>11</v>
      </c>
      <c r="G242" s="9" t="s">
        <v>114</v>
      </c>
    </row>
    <row r="243" spans="1:7" ht="14.25" customHeight="1" x14ac:dyDescent="0.25">
      <c r="A243" s="9" t="s">
        <v>593</v>
      </c>
      <c r="B243" s="9" t="s">
        <v>594</v>
      </c>
      <c r="C243" s="9" t="s">
        <v>44</v>
      </c>
      <c r="D243" s="9" t="s">
        <v>44</v>
      </c>
      <c r="F243" s="9" t="s">
        <v>11</v>
      </c>
      <c r="G243" s="9" t="s">
        <v>595</v>
      </c>
    </row>
    <row r="244" spans="1:7" ht="14.25" customHeight="1" x14ac:dyDescent="0.25">
      <c r="A244" s="9" t="s">
        <v>596</v>
      </c>
      <c r="B244" s="9" t="s">
        <v>597</v>
      </c>
      <c r="C244" s="9" t="s">
        <v>19</v>
      </c>
      <c r="D244" s="9" t="s">
        <v>19</v>
      </c>
      <c r="E244" s="9" t="s">
        <v>29</v>
      </c>
      <c r="G244" s="9" t="s">
        <v>122</v>
      </c>
    </row>
    <row r="245" spans="1:7" ht="14.25" customHeight="1" x14ac:dyDescent="0.25">
      <c r="A245" s="9" t="s">
        <v>596</v>
      </c>
      <c r="B245" s="9" t="s">
        <v>598</v>
      </c>
      <c r="C245" s="9" t="s">
        <v>19</v>
      </c>
      <c r="D245" s="9" t="s">
        <v>19</v>
      </c>
      <c r="E245" s="10" t="s">
        <v>86</v>
      </c>
      <c r="G245" s="9" t="s">
        <v>87</v>
      </c>
    </row>
    <row r="246" spans="1:7" ht="14.25" customHeight="1" x14ac:dyDescent="0.25">
      <c r="A246" s="9" t="s">
        <v>599</v>
      </c>
      <c r="B246" s="9" t="s">
        <v>600</v>
      </c>
      <c r="C246" s="9" t="s">
        <v>24</v>
      </c>
      <c r="D246" s="9" t="s">
        <v>24</v>
      </c>
      <c r="E246" s="9" t="s">
        <v>76</v>
      </c>
      <c r="F246" s="9" t="s">
        <v>11</v>
      </c>
      <c r="G246" s="9" t="s">
        <v>601</v>
      </c>
    </row>
    <row r="247" spans="1:7" ht="14.25" customHeight="1" x14ac:dyDescent="0.25">
      <c r="A247" s="9" t="s">
        <v>599</v>
      </c>
      <c r="B247" s="9" t="s">
        <v>602</v>
      </c>
      <c r="C247" s="14" t="s">
        <v>19</v>
      </c>
      <c r="D247" s="10" t="s">
        <v>19</v>
      </c>
      <c r="E247" s="10" t="s">
        <v>20</v>
      </c>
      <c r="G247" s="9" t="s">
        <v>21</v>
      </c>
    </row>
    <row r="248" spans="1:7" ht="14.25" customHeight="1" x14ac:dyDescent="0.25">
      <c r="A248" s="9" t="s">
        <v>603</v>
      </c>
      <c r="B248" s="9" t="s">
        <v>604</v>
      </c>
      <c r="C248" s="9" t="s">
        <v>19</v>
      </c>
      <c r="D248" s="9" t="s">
        <v>19</v>
      </c>
      <c r="E248" s="9" t="s">
        <v>29</v>
      </c>
      <c r="G248" s="9" t="s">
        <v>30</v>
      </c>
    </row>
    <row r="249" spans="1:7" ht="14.25" customHeight="1" x14ac:dyDescent="0.25">
      <c r="A249" s="9" t="s">
        <v>605</v>
      </c>
      <c r="B249" s="9" t="s">
        <v>606</v>
      </c>
      <c r="C249" s="9" t="s">
        <v>10</v>
      </c>
      <c r="D249" s="9" t="s">
        <v>10</v>
      </c>
      <c r="F249" s="9" t="s">
        <v>11</v>
      </c>
      <c r="G249" s="9" t="s">
        <v>12</v>
      </c>
    </row>
    <row r="250" spans="1:7" ht="14.25" customHeight="1" x14ac:dyDescent="0.25">
      <c r="A250" s="9" t="s">
        <v>605</v>
      </c>
      <c r="B250" s="9" t="s">
        <v>607</v>
      </c>
      <c r="C250" s="9" t="s">
        <v>10</v>
      </c>
      <c r="D250" s="9" t="s">
        <v>10</v>
      </c>
      <c r="F250" s="9" t="s">
        <v>11</v>
      </c>
      <c r="G250" s="9" t="s">
        <v>148</v>
      </c>
    </row>
    <row r="251" spans="1:7" ht="14.25" customHeight="1" x14ac:dyDescent="0.25">
      <c r="A251" s="9" t="s">
        <v>605</v>
      </c>
      <c r="B251" s="9" t="s">
        <v>608</v>
      </c>
      <c r="C251" s="9" t="s">
        <v>19</v>
      </c>
      <c r="D251" s="9" t="s">
        <v>10</v>
      </c>
      <c r="E251" s="9" t="s">
        <v>609</v>
      </c>
      <c r="F251" s="9" t="s">
        <v>11</v>
      </c>
      <c r="G251" s="9" t="s">
        <v>129</v>
      </c>
    </row>
    <row r="252" spans="1:7" ht="14.25" customHeight="1" x14ac:dyDescent="0.25">
      <c r="A252" s="9" t="s">
        <v>610</v>
      </c>
      <c r="B252" s="9" t="s">
        <v>611</v>
      </c>
      <c r="C252" s="9" t="s">
        <v>19</v>
      </c>
      <c r="D252" s="9" t="s">
        <v>19</v>
      </c>
      <c r="E252" s="9" t="s">
        <v>55</v>
      </c>
      <c r="G252" s="9" t="s">
        <v>230</v>
      </c>
    </row>
    <row r="253" spans="1:7" ht="14.25" customHeight="1" x14ac:dyDescent="0.25">
      <c r="A253" s="9" t="s">
        <v>612</v>
      </c>
      <c r="B253" s="9" t="s">
        <v>613</v>
      </c>
      <c r="C253" s="9" t="s">
        <v>69</v>
      </c>
      <c r="D253" s="9" t="s">
        <v>69</v>
      </c>
      <c r="F253" s="9" t="s">
        <v>11</v>
      </c>
      <c r="G253" s="9" t="s">
        <v>614</v>
      </c>
    </row>
    <row r="254" spans="1:7" ht="14.25" customHeight="1" x14ac:dyDescent="0.25">
      <c r="A254" s="9" t="s">
        <v>615</v>
      </c>
      <c r="B254" s="9" t="s">
        <v>616</v>
      </c>
      <c r="C254" s="9" t="s">
        <v>617</v>
      </c>
      <c r="D254" s="9" t="s">
        <v>617</v>
      </c>
      <c r="F254" s="9" t="s">
        <v>218</v>
      </c>
      <c r="G254" s="9" t="s">
        <v>114</v>
      </c>
    </row>
    <row r="255" spans="1:7" ht="14.25" customHeight="1" x14ac:dyDescent="0.25">
      <c r="A255" s="9" t="s">
        <v>618</v>
      </c>
      <c r="B255" s="9" t="s">
        <v>619</v>
      </c>
      <c r="C255" s="9" t="s">
        <v>19</v>
      </c>
      <c r="D255" s="9" t="s">
        <v>19</v>
      </c>
      <c r="E255" s="9" t="s">
        <v>29</v>
      </c>
      <c r="G255" s="9" t="s">
        <v>122</v>
      </c>
    </row>
    <row r="256" spans="1:7" ht="14.25" customHeight="1" x14ac:dyDescent="0.25">
      <c r="A256" s="9" t="s">
        <v>620</v>
      </c>
      <c r="B256" s="9" t="s">
        <v>621</v>
      </c>
      <c r="C256" s="9" t="s">
        <v>39</v>
      </c>
      <c r="D256" s="9" t="s">
        <v>39</v>
      </c>
      <c r="E256" s="9" t="s">
        <v>40</v>
      </c>
      <c r="F256" s="9" t="s">
        <v>11</v>
      </c>
      <c r="G256" s="9" t="s">
        <v>67</v>
      </c>
    </row>
    <row r="257" spans="1:29" ht="14.25" customHeight="1" x14ac:dyDescent="0.25">
      <c r="A257" s="9" t="s">
        <v>622</v>
      </c>
      <c r="B257" s="9" t="s">
        <v>623</v>
      </c>
      <c r="C257" s="9" t="s">
        <v>19</v>
      </c>
      <c r="D257" s="9" t="s">
        <v>19</v>
      </c>
      <c r="E257" s="9" t="s">
        <v>104</v>
      </c>
      <c r="G257" s="9" t="s">
        <v>624</v>
      </c>
    </row>
    <row r="258" spans="1:29" ht="14.25" customHeight="1" x14ac:dyDescent="0.25">
      <c r="A258" s="9" t="s">
        <v>625</v>
      </c>
      <c r="B258" s="9" t="s">
        <v>626</v>
      </c>
      <c r="C258" s="9" t="s">
        <v>19</v>
      </c>
      <c r="D258" s="9" t="s">
        <v>19</v>
      </c>
      <c r="E258" s="9" t="s">
        <v>29</v>
      </c>
      <c r="G258" s="9" t="s">
        <v>390</v>
      </c>
    </row>
    <row r="259" spans="1:29" ht="14.25" customHeight="1" x14ac:dyDescent="0.25">
      <c r="A259" s="9" t="s">
        <v>627</v>
      </c>
      <c r="B259" s="9" t="s">
        <v>628</v>
      </c>
      <c r="C259" s="9" t="s">
        <v>14</v>
      </c>
      <c r="D259" s="9" t="s">
        <v>14</v>
      </c>
      <c r="F259" s="9" t="s">
        <v>218</v>
      </c>
      <c r="G259" s="9" t="s">
        <v>280</v>
      </c>
    </row>
    <row r="260" spans="1:29" ht="14.25" customHeight="1" x14ac:dyDescent="0.25">
      <c r="A260" s="9" t="s">
        <v>629</v>
      </c>
      <c r="B260" s="9" t="s">
        <v>630</v>
      </c>
      <c r="C260" s="9" t="s">
        <v>39</v>
      </c>
      <c r="D260" s="9" t="s">
        <v>39</v>
      </c>
      <c r="E260" s="9" t="s">
        <v>40</v>
      </c>
      <c r="F260" s="9" t="s">
        <v>11</v>
      </c>
      <c r="G260" s="9" t="s">
        <v>67</v>
      </c>
    </row>
    <row r="261" spans="1:29" ht="14.25" customHeight="1" x14ac:dyDescent="0.25">
      <c r="A261" s="9" t="s">
        <v>629</v>
      </c>
      <c r="B261" s="9" t="s">
        <v>631</v>
      </c>
      <c r="C261" s="9" t="s">
        <v>19</v>
      </c>
      <c r="D261" s="9" t="s">
        <v>19</v>
      </c>
      <c r="E261" s="9" t="s">
        <v>29</v>
      </c>
      <c r="G261" s="9" t="s">
        <v>175</v>
      </c>
    </row>
    <row r="262" spans="1:29" ht="14.25" customHeight="1" x14ac:dyDescent="0.25">
      <c r="A262" s="9" t="s">
        <v>632</v>
      </c>
      <c r="B262" s="9" t="s">
        <v>633</v>
      </c>
      <c r="C262" s="9" t="s">
        <v>19</v>
      </c>
      <c r="D262" s="9" t="s">
        <v>19</v>
      </c>
      <c r="E262" s="9" t="s">
        <v>104</v>
      </c>
      <c r="G262" s="9" t="s">
        <v>137</v>
      </c>
    </row>
    <row r="263" spans="1:29" ht="14.25" customHeight="1" x14ac:dyDescent="0.25">
      <c r="A263" s="9" t="s">
        <v>634</v>
      </c>
      <c r="B263" s="9" t="s">
        <v>635</v>
      </c>
      <c r="C263" s="9" t="s">
        <v>64</v>
      </c>
      <c r="D263" s="9" t="s">
        <v>64</v>
      </c>
      <c r="F263" s="9" t="s">
        <v>11</v>
      </c>
      <c r="G263" s="9" t="s">
        <v>114</v>
      </c>
    </row>
    <row r="264" spans="1:29" ht="14.25" customHeight="1" x14ac:dyDescent="0.25">
      <c r="A264" s="9" t="s">
        <v>636</v>
      </c>
      <c r="B264" s="9" t="s">
        <v>637</v>
      </c>
      <c r="C264" s="9" t="s">
        <v>14</v>
      </c>
      <c r="D264" s="9" t="s">
        <v>14</v>
      </c>
      <c r="F264" s="9" t="s">
        <v>11</v>
      </c>
      <c r="G264" s="9" t="s">
        <v>638</v>
      </c>
    </row>
    <row r="265" spans="1:29" ht="14.25" customHeight="1" x14ac:dyDescent="0.25">
      <c r="A265" s="9" t="s">
        <v>639</v>
      </c>
      <c r="B265" s="9" t="s">
        <v>640</v>
      </c>
      <c r="C265" s="9" t="s">
        <v>39</v>
      </c>
      <c r="D265" s="12" t="s">
        <v>39</v>
      </c>
      <c r="E265" s="9" t="s">
        <v>29</v>
      </c>
      <c r="F265" s="9" t="s">
        <v>11</v>
      </c>
      <c r="G265" s="9" t="s">
        <v>110</v>
      </c>
    </row>
    <row r="266" spans="1:29" ht="14.25" customHeight="1" x14ac:dyDescent="0.25">
      <c r="A266" s="9" t="s">
        <v>641</v>
      </c>
      <c r="B266" s="9" t="s">
        <v>642</v>
      </c>
      <c r="C266" s="9" t="s">
        <v>19</v>
      </c>
      <c r="D266" s="9" t="s">
        <v>19</v>
      </c>
      <c r="E266" s="9" t="s">
        <v>104</v>
      </c>
      <c r="G266" s="9" t="s">
        <v>105</v>
      </c>
    </row>
    <row r="267" spans="1:29" ht="14.25" customHeight="1" x14ac:dyDescent="0.25">
      <c r="A267" s="11" t="s">
        <v>643</v>
      </c>
      <c r="B267" s="11" t="s">
        <v>644</v>
      </c>
      <c r="C267" s="11" t="s">
        <v>19</v>
      </c>
      <c r="D267" s="11" t="s">
        <v>19</v>
      </c>
      <c r="E267" s="11" t="s">
        <v>104</v>
      </c>
      <c r="F267" s="11"/>
      <c r="G267" s="11" t="s">
        <v>645</v>
      </c>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ht="14.25" customHeight="1" x14ac:dyDescent="0.25">
      <c r="A268" s="9" t="s">
        <v>646</v>
      </c>
      <c r="B268" s="9" t="s">
        <v>647</v>
      </c>
      <c r="C268" s="9" t="s">
        <v>59</v>
      </c>
      <c r="D268" s="9" t="s">
        <v>59</v>
      </c>
      <c r="E268" s="9" t="s">
        <v>60</v>
      </c>
      <c r="F268" s="9" t="s">
        <v>11</v>
      </c>
      <c r="G268" s="9" t="s">
        <v>61</v>
      </c>
    </row>
    <row r="269" spans="1:29" ht="14.25" customHeight="1" x14ac:dyDescent="0.25">
      <c r="A269" s="9" t="s">
        <v>648</v>
      </c>
      <c r="B269" s="9" t="s">
        <v>649</v>
      </c>
      <c r="C269" s="9" t="s">
        <v>19</v>
      </c>
      <c r="D269" s="10" t="s">
        <v>19</v>
      </c>
      <c r="E269" s="10" t="s">
        <v>20</v>
      </c>
      <c r="G269" s="9" t="s">
        <v>650</v>
      </c>
    </row>
    <row r="270" spans="1:29" ht="14.25" customHeight="1" x14ac:dyDescent="0.25">
      <c r="A270" s="9" t="s">
        <v>651</v>
      </c>
      <c r="B270" s="9" t="s">
        <v>652</v>
      </c>
      <c r="C270" s="9" t="s">
        <v>59</v>
      </c>
      <c r="D270" s="9" t="s">
        <v>59</v>
      </c>
      <c r="E270" s="9" t="s">
        <v>60</v>
      </c>
      <c r="F270" s="9" t="s">
        <v>11</v>
      </c>
      <c r="G270" s="9" t="s">
        <v>61</v>
      </c>
    </row>
    <row r="271" spans="1:29" ht="14.25" customHeight="1" x14ac:dyDescent="0.25">
      <c r="A271" s="9" t="s">
        <v>653</v>
      </c>
      <c r="B271" s="9" t="s">
        <v>654</v>
      </c>
      <c r="C271" s="9" t="s">
        <v>39</v>
      </c>
      <c r="D271" s="9" t="s">
        <v>39</v>
      </c>
      <c r="E271" s="9" t="s">
        <v>40</v>
      </c>
      <c r="F271" s="9" t="s">
        <v>11</v>
      </c>
      <c r="G271" s="9" t="s">
        <v>67</v>
      </c>
    </row>
    <row r="272" spans="1:29" ht="14.25" customHeight="1" x14ac:dyDescent="0.25">
      <c r="A272" s="9" t="s">
        <v>653</v>
      </c>
      <c r="B272" s="9" t="s">
        <v>655</v>
      </c>
      <c r="C272" s="9" t="s">
        <v>19</v>
      </c>
      <c r="D272" s="9" t="s">
        <v>19</v>
      </c>
      <c r="E272" s="9" t="s">
        <v>29</v>
      </c>
      <c r="G272" s="9" t="s">
        <v>101</v>
      </c>
    </row>
    <row r="273" spans="1:8" ht="14.25" customHeight="1" x14ac:dyDescent="0.25">
      <c r="A273" s="9" t="s">
        <v>656</v>
      </c>
      <c r="B273" s="9" t="s">
        <v>657</v>
      </c>
      <c r="C273" s="9" t="s">
        <v>19</v>
      </c>
      <c r="D273" s="10" t="s">
        <v>19</v>
      </c>
      <c r="E273" s="10" t="s">
        <v>20</v>
      </c>
      <c r="G273" s="9" t="s">
        <v>21</v>
      </c>
    </row>
    <row r="274" spans="1:8" ht="14.25" customHeight="1" x14ac:dyDescent="0.25">
      <c r="A274" s="9" t="s">
        <v>658</v>
      </c>
      <c r="B274" s="9" t="s">
        <v>659</v>
      </c>
      <c r="C274" s="9" t="s">
        <v>19</v>
      </c>
      <c r="D274" s="9" t="s">
        <v>19</v>
      </c>
      <c r="E274" s="9" t="s">
        <v>29</v>
      </c>
      <c r="G274" s="9" t="s">
        <v>660</v>
      </c>
    </row>
    <row r="275" spans="1:8" ht="14.25" customHeight="1" x14ac:dyDescent="0.25">
      <c r="A275" s="9" t="s">
        <v>661</v>
      </c>
      <c r="B275" s="9" t="s">
        <v>662</v>
      </c>
      <c r="C275" s="9" t="s">
        <v>39</v>
      </c>
      <c r="D275" s="9" t="s">
        <v>39</v>
      </c>
      <c r="E275" s="9" t="s">
        <v>40</v>
      </c>
      <c r="F275" s="9" t="s">
        <v>11</v>
      </c>
      <c r="G275" s="9" t="s">
        <v>67</v>
      </c>
    </row>
    <row r="276" spans="1:8" ht="14.25" customHeight="1" x14ac:dyDescent="0.25">
      <c r="A276" s="9" t="s">
        <v>663</v>
      </c>
      <c r="B276" s="9" t="s">
        <v>664</v>
      </c>
      <c r="C276" s="9" t="s">
        <v>19</v>
      </c>
      <c r="D276" s="10" t="s">
        <v>19</v>
      </c>
      <c r="E276" s="10" t="s">
        <v>20</v>
      </c>
      <c r="G276" s="9" t="s">
        <v>96</v>
      </c>
    </row>
    <row r="277" spans="1:8" ht="14.25" customHeight="1" x14ac:dyDescent="0.25">
      <c r="A277" s="9" t="s">
        <v>665</v>
      </c>
      <c r="B277" s="9" t="s">
        <v>666</v>
      </c>
      <c r="C277" s="9" t="s">
        <v>19</v>
      </c>
      <c r="D277" s="9" t="s">
        <v>19</v>
      </c>
      <c r="E277" s="9" t="s">
        <v>104</v>
      </c>
      <c r="G277" s="9" t="s">
        <v>104</v>
      </c>
    </row>
    <row r="278" spans="1:8" ht="14.25" customHeight="1" x14ac:dyDescent="0.25">
      <c r="A278" s="9" t="s">
        <v>667</v>
      </c>
      <c r="B278" s="9" t="s">
        <v>668</v>
      </c>
      <c r="C278" s="9" t="s">
        <v>19</v>
      </c>
      <c r="D278" s="9" t="s">
        <v>19</v>
      </c>
      <c r="E278" s="9" t="s">
        <v>669</v>
      </c>
      <c r="G278" s="9" t="s">
        <v>670</v>
      </c>
    </row>
    <row r="279" spans="1:8" ht="14.25" customHeight="1" x14ac:dyDescent="0.25">
      <c r="A279" s="9" t="s">
        <v>671</v>
      </c>
      <c r="B279" s="9" t="s">
        <v>672</v>
      </c>
      <c r="C279" s="9" t="s">
        <v>59</v>
      </c>
      <c r="D279" s="9" t="s">
        <v>59</v>
      </c>
      <c r="E279" s="9" t="s">
        <v>159</v>
      </c>
      <c r="F279" s="9" t="s">
        <v>11</v>
      </c>
      <c r="G279" s="9" t="s">
        <v>160</v>
      </c>
    </row>
    <row r="280" spans="1:8" ht="14.25" customHeight="1" x14ac:dyDescent="0.25">
      <c r="A280" s="9" t="s">
        <v>673</v>
      </c>
      <c r="B280" s="9" t="s">
        <v>674</v>
      </c>
      <c r="C280" s="9" t="s">
        <v>19</v>
      </c>
      <c r="D280" s="10" t="s">
        <v>19</v>
      </c>
      <c r="E280" s="10" t="s">
        <v>86</v>
      </c>
      <c r="G280" s="9" t="s">
        <v>87</v>
      </c>
    </row>
    <row r="281" spans="1:8" ht="14.25" customHeight="1" x14ac:dyDescent="0.25">
      <c r="A281" s="9" t="s">
        <v>675</v>
      </c>
      <c r="B281" s="9" t="s">
        <v>676</v>
      </c>
      <c r="C281" s="9" t="s">
        <v>44</v>
      </c>
      <c r="D281" s="9" t="s">
        <v>44</v>
      </c>
      <c r="F281" s="9" t="s">
        <v>11</v>
      </c>
      <c r="G281" s="9" t="s">
        <v>677</v>
      </c>
    </row>
    <row r="282" spans="1:8" ht="14.25" customHeight="1" x14ac:dyDescent="0.25">
      <c r="A282" s="9" t="s">
        <v>678</v>
      </c>
      <c r="B282" s="9" t="s">
        <v>679</v>
      </c>
      <c r="C282" s="9" t="s">
        <v>19</v>
      </c>
      <c r="D282" s="9" t="s">
        <v>19</v>
      </c>
      <c r="E282" s="9" t="s">
        <v>29</v>
      </c>
      <c r="G282" s="9" t="s">
        <v>680</v>
      </c>
    </row>
    <row r="283" spans="1:8" ht="14.25" customHeight="1" x14ac:dyDescent="0.25">
      <c r="A283" s="9" t="s">
        <v>681</v>
      </c>
      <c r="B283" s="9" t="s">
        <v>682</v>
      </c>
      <c r="C283" s="9" t="s">
        <v>19</v>
      </c>
      <c r="D283" s="10" t="s">
        <v>19</v>
      </c>
      <c r="E283" s="10" t="s">
        <v>20</v>
      </c>
      <c r="G283" s="9" t="s">
        <v>73</v>
      </c>
    </row>
    <row r="284" spans="1:8" ht="14.25" customHeight="1" x14ac:dyDescent="0.25">
      <c r="A284" s="9" t="s">
        <v>683</v>
      </c>
      <c r="B284" s="9" t="s">
        <v>684</v>
      </c>
      <c r="C284" s="9" t="s">
        <v>44</v>
      </c>
      <c r="D284" s="9" t="s">
        <v>44</v>
      </c>
      <c r="E284" s="9" t="s">
        <v>609</v>
      </c>
      <c r="F284" s="9" t="s">
        <v>11</v>
      </c>
      <c r="G284" s="9" t="s">
        <v>609</v>
      </c>
      <c r="H284" s="9" t="s">
        <v>429</v>
      </c>
    </row>
    <row r="285" spans="1:8" ht="14.25" customHeight="1" x14ac:dyDescent="0.25">
      <c r="A285" s="9" t="s">
        <v>685</v>
      </c>
      <c r="B285" s="9" t="s">
        <v>686</v>
      </c>
      <c r="C285" s="9" t="s">
        <v>19</v>
      </c>
      <c r="D285" s="9" t="s">
        <v>19</v>
      </c>
      <c r="E285" s="9" t="s">
        <v>687</v>
      </c>
      <c r="G285" s="9" t="s">
        <v>688</v>
      </c>
    </row>
    <row r="286" spans="1:8" ht="14.25" customHeight="1" x14ac:dyDescent="0.25">
      <c r="A286" s="9" t="s">
        <v>689</v>
      </c>
      <c r="B286" s="9" t="s">
        <v>690</v>
      </c>
      <c r="C286" s="9" t="s">
        <v>39</v>
      </c>
      <c r="D286" s="9" t="s">
        <v>39</v>
      </c>
      <c r="F286" s="9" t="s">
        <v>11</v>
      </c>
      <c r="G286" s="9" t="s">
        <v>41</v>
      </c>
    </row>
    <row r="287" spans="1:8" ht="14.25" customHeight="1" x14ac:dyDescent="0.25">
      <c r="A287" s="9" t="s">
        <v>691</v>
      </c>
      <c r="B287" s="9" t="s">
        <v>692</v>
      </c>
      <c r="C287" s="9" t="s">
        <v>204</v>
      </c>
      <c r="D287" s="9" t="s">
        <v>204</v>
      </c>
      <c r="E287" s="9" t="s">
        <v>29</v>
      </c>
      <c r="F287" s="9" t="s">
        <v>11</v>
      </c>
      <c r="G287" s="9" t="s">
        <v>107</v>
      </c>
    </row>
    <row r="288" spans="1:8" ht="14.25" customHeight="1" x14ac:dyDescent="0.25">
      <c r="A288" s="9" t="s">
        <v>693</v>
      </c>
      <c r="B288" s="9" t="s">
        <v>694</v>
      </c>
      <c r="C288" s="9" t="s">
        <v>19</v>
      </c>
      <c r="D288" s="9" t="s">
        <v>19</v>
      </c>
      <c r="E288" s="9" t="s">
        <v>29</v>
      </c>
      <c r="G288" s="9" t="s">
        <v>30</v>
      </c>
    </row>
    <row r="289" spans="1:7" ht="14.25" customHeight="1" x14ac:dyDescent="0.25">
      <c r="A289" s="9" t="s">
        <v>695</v>
      </c>
      <c r="B289" s="9" t="s">
        <v>696</v>
      </c>
      <c r="C289" s="9" t="s">
        <v>44</v>
      </c>
      <c r="D289" s="9" t="s">
        <v>19</v>
      </c>
      <c r="G289" s="9" t="s">
        <v>697</v>
      </c>
    </row>
    <row r="290" spans="1:7" ht="14.25" customHeight="1" x14ac:dyDescent="0.25">
      <c r="A290" s="9" t="s">
        <v>698</v>
      </c>
      <c r="B290" s="9" t="s">
        <v>699</v>
      </c>
      <c r="C290" s="9" t="s">
        <v>51</v>
      </c>
      <c r="D290" s="9" t="s">
        <v>204</v>
      </c>
      <c r="F290" s="9" t="s">
        <v>11</v>
      </c>
      <c r="G290" s="9" t="s">
        <v>114</v>
      </c>
    </row>
    <row r="291" spans="1:7" ht="14.25" customHeight="1" x14ac:dyDescent="0.25">
      <c r="A291" s="9" t="s">
        <v>700</v>
      </c>
      <c r="B291" s="9" t="s">
        <v>701</v>
      </c>
      <c r="C291" s="9" t="s">
        <v>44</v>
      </c>
      <c r="D291" s="9" t="s">
        <v>44</v>
      </c>
      <c r="E291" s="9" t="s">
        <v>29</v>
      </c>
      <c r="F291" s="9" t="s">
        <v>702</v>
      </c>
      <c r="G291" s="9" t="s">
        <v>390</v>
      </c>
    </row>
    <row r="292" spans="1:7" ht="14.25" customHeight="1" x14ac:dyDescent="0.25">
      <c r="A292" s="9" t="s">
        <v>703</v>
      </c>
      <c r="B292" s="9" t="s">
        <v>704</v>
      </c>
      <c r="C292" s="9" t="s">
        <v>19</v>
      </c>
      <c r="D292" s="9" t="s">
        <v>19</v>
      </c>
      <c r="G292" s="9" t="s">
        <v>705</v>
      </c>
    </row>
    <row r="293" spans="1:7" ht="14.25" customHeight="1" x14ac:dyDescent="0.25">
      <c r="A293" s="9" t="s">
        <v>706</v>
      </c>
      <c r="B293" s="9" t="s">
        <v>707</v>
      </c>
      <c r="C293" s="9" t="s">
        <v>44</v>
      </c>
      <c r="D293" s="9" t="s">
        <v>44</v>
      </c>
      <c r="F293" s="9" t="s">
        <v>11</v>
      </c>
      <c r="G293" s="9" t="s">
        <v>221</v>
      </c>
    </row>
    <row r="294" spans="1:7" ht="14.25" customHeight="1" x14ac:dyDescent="0.25">
      <c r="A294" s="9" t="s">
        <v>708</v>
      </c>
      <c r="B294" s="9" t="s">
        <v>709</v>
      </c>
      <c r="C294" s="9" t="s">
        <v>19</v>
      </c>
      <c r="D294" s="9" t="s">
        <v>19</v>
      </c>
      <c r="E294" s="9" t="s">
        <v>29</v>
      </c>
      <c r="G294" s="9" t="s">
        <v>122</v>
      </c>
    </row>
    <row r="295" spans="1:7" ht="14.25" customHeight="1" x14ac:dyDescent="0.25">
      <c r="A295" s="9" t="s">
        <v>710</v>
      </c>
      <c r="B295" s="9" t="s">
        <v>711</v>
      </c>
      <c r="C295" s="9" t="s">
        <v>19</v>
      </c>
      <c r="D295" s="9" t="s">
        <v>19</v>
      </c>
      <c r="E295" s="9" t="s">
        <v>104</v>
      </c>
      <c r="G295" s="9" t="s">
        <v>137</v>
      </c>
    </row>
    <row r="296" spans="1:7" ht="14.25" customHeight="1" x14ac:dyDescent="0.25">
      <c r="A296" s="9" t="s">
        <v>712</v>
      </c>
      <c r="B296" s="9" t="s">
        <v>713</v>
      </c>
      <c r="C296" s="9" t="s">
        <v>14</v>
      </c>
      <c r="D296" s="9" t="s">
        <v>14</v>
      </c>
      <c r="F296" s="9" t="s">
        <v>11</v>
      </c>
      <c r="G296" s="9" t="s">
        <v>366</v>
      </c>
    </row>
    <row r="297" spans="1:7" ht="14.25" customHeight="1" x14ac:dyDescent="0.25">
      <c r="A297" s="9" t="s">
        <v>714</v>
      </c>
      <c r="B297" s="9" t="s">
        <v>715</v>
      </c>
      <c r="C297" s="9" t="s">
        <v>39</v>
      </c>
      <c r="D297" s="9" t="s">
        <v>39</v>
      </c>
      <c r="F297" s="9" t="s">
        <v>11</v>
      </c>
      <c r="G297" s="9" t="s">
        <v>41</v>
      </c>
    </row>
    <row r="298" spans="1:7" ht="14.25" customHeight="1" x14ac:dyDescent="0.25">
      <c r="A298" s="9" t="s">
        <v>716</v>
      </c>
      <c r="B298" s="9" t="s">
        <v>717</v>
      </c>
      <c r="C298" s="9" t="s">
        <v>19</v>
      </c>
      <c r="D298" s="10" t="s">
        <v>19</v>
      </c>
      <c r="E298" s="10" t="s">
        <v>20</v>
      </c>
      <c r="G298" s="9" t="s">
        <v>73</v>
      </c>
    </row>
    <row r="299" spans="1:7" ht="14.25" customHeight="1" x14ac:dyDescent="0.25">
      <c r="A299" s="9" t="s">
        <v>718</v>
      </c>
      <c r="B299" s="9" t="s">
        <v>719</v>
      </c>
      <c r="C299" s="9" t="s">
        <v>10</v>
      </c>
      <c r="D299" s="9" t="s">
        <v>10</v>
      </c>
      <c r="F299" s="9" t="s">
        <v>11</v>
      </c>
      <c r="G299" s="9" t="s">
        <v>148</v>
      </c>
    </row>
    <row r="300" spans="1:7" ht="14.25" customHeight="1" x14ac:dyDescent="0.25">
      <c r="A300" s="9" t="s">
        <v>720</v>
      </c>
      <c r="B300" s="9" t="s">
        <v>721</v>
      </c>
      <c r="C300" s="9" t="s">
        <v>19</v>
      </c>
      <c r="D300" s="10" t="s">
        <v>19</v>
      </c>
      <c r="E300" s="10" t="s">
        <v>20</v>
      </c>
      <c r="G300" s="9" t="s">
        <v>359</v>
      </c>
    </row>
    <row r="301" spans="1:7" ht="14.25" customHeight="1" x14ac:dyDescent="0.25">
      <c r="A301" s="9" t="s">
        <v>722</v>
      </c>
      <c r="B301" s="9" t="s">
        <v>723</v>
      </c>
      <c r="C301" s="9" t="s">
        <v>44</v>
      </c>
      <c r="D301" s="9" t="s">
        <v>44</v>
      </c>
      <c r="F301" s="9" t="s">
        <v>11</v>
      </c>
      <c r="G301" s="9" t="s">
        <v>48</v>
      </c>
    </row>
    <row r="302" spans="1:7" ht="14.25" customHeight="1" x14ac:dyDescent="0.25">
      <c r="A302" s="9" t="s">
        <v>722</v>
      </c>
      <c r="B302" s="9" t="s">
        <v>724</v>
      </c>
      <c r="C302" s="9" t="s">
        <v>59</v>
      </c>
      <c r="D302" s="9" t="s">
        <v>59</v>
      </c>
      <c r="F302" s="9" t="s">
        <v>11</v>
      </c>
      <c r="G302" s="9" t="s">
        <v>145</v>
      </c>
    </row>
    <row r="303" spans="1:7" ht="14.25" customHeight="1" x14ac:dyDescent="0.25">
      <c r="A303" s="9" t="s">
        <v>725</v>
      </c>
      <c r="B303" s="9" t="s">
        <v>726</v>
      </c>
      <c r="C303" s="9" t="s">
        <v>59</v>
      </c>
      <c r="D303" s="9" t="s">
        <v>59</v>
      </c>
      <c r="E303" s="9" t="s">
        <v>60</v>
      </c>
      <c r="F303" s="9" t="s">
        <v>11</v>
      </c>
      <c r="G303" s="9" t="s">
        <v>61</v>
      </c>
    </row>
    <row r="304" spans="1:7" ht="14.25" customHeight="1" x14ac:dyDescent="0.25">
      <c r="A304" s="9" t="s">
        <v>727</v>
      </c>
      <c r="B304" s="9" t="s">
        <v>728</v>
      </c>
      <c r="C304" s="9" t="s">
        <v>19</v>
      </c>
      <c r="D304" s="9" t="s">
        <v>19</v>
      </c>
      <c r="E304" s="9" t="s">
        <v>29</v>
      </c>
      <c r="G304" s="9" t="s">
        <v>267</v>
      </c>
    </row>
    <row r="305" spans="1:8" ht="14.25" customHeight="1" x14ac:dyDescent="0.25">
      <c r="A305" s="9" t="s">
        <v>729</v>
      </c>
      <c r="B305" s="9" t="s">
        <v>730</v>
      </c>
      <c r="C305" s="9" t="s">
        <v>19</v>
      </c>
      <c r="D305" s="9" t="s">
        <v>19</v>
      </c>
      <c r="E305" s="9" t="s">
        <v>29</v>
      </c>
      <c r="G305" s="9" t="s">
        <v>110</v>
      </c>
    </row>
    <row r="306" spans="1:8" ht="14.25" customHeight="1" x14ac:dyDescent="0.25">
      <c r="A306" s="9" t="s">
        <v>731</v>
      </c>
      <c r="B306" s="9" t="s">
        <v>732</v>
      </c>
      <c r="C306" s="9" t="s">
        <v>19</v>
      </c>
      <c r="D306" s="9" t="s">
        <v>204</v>
      </c>
      <c r="E306" s="9" t="s">
        <v>511</v>
      </c>
      <c r="F306" s="9" t="s">
        <v>11</v>
      </c>
      <c r="G306" s="9" t="s">
        <v>114</v>
      </c>
    </row>
    <row r="307" spans="1:8" ht="14.25" customHeight="1" x14ac:dyDescent="0.25">
      <c r="A307" s="9" t="s">
        <v>733</v>
      </c>
      <c r="B307" s="9" t="s">
        <v>734</v>
      </c>
      <c r="C307" s="9" t="s">
        <v>10</v>
      </c>
      <c r="D307" s="9" t="s">
        <v>10</v>
      </c>
      <c r="F307" s="9" t="s">
        <v>11</v>
      </c>
      <c r="G307" s="9" t="s">
        <v>570</v>
      </c>
    </row>
    <row r="308" spans="1:8" ht="14.25" customHeight="1" x14ac:dyDescent="0.25">
      <c r="A308" s="9" t="s">
        <v>735</v>
      </c>
      <c r="H308" s="9" t="s">
        <v>197</v>
      </c>
    </row>
    <row r="309" spans="1:8" ht="14.25" customHeight="1" x14ac:dyDescent="0.25">
      <c r="A309" s="9" t="s">
        <v>736</v>
      </c>
      <c r="B309" s="9" t="s">
        <v>737</v>
      </c>
      <c r="C309" s="9" t="s">
        <v>19</v>
      </c>
      <c r="D309" s="9" t="s">
        <v>19</v>
      </c>
      <c r="E309" s="9" t="s">
        <v>344</v>
      </c>
      <c r="G309" s="9" t="s">
        <v>411</v>
      </c>
    </row>
    <row r="310" spans="1:8" ht="14.25" customHeight="1" x14ac:dyDescent="0.25">
      <c r="A310" s="9" t="s">
        <v>738</v>
      </c>
      <c r="B310" s="9" t="s">
        <v>739</v>
      </c>
      <c r="C310" s="9" t="s">
        <v>19</v>
      </c>
      <c r="D310" s="9" t="s">
        <v>19</v>
      </c>
      <c r="E310" s="9" t="s">
        <v>29</v>
      </c>
      <c r="G310" s="9" t="s">
        <v>107</v>
      </c>
    </row>
    <row r="311" spans="1:8" ht="14.25" customHeight="1" x14ac:dyDescent="0.25">
      <c r="A311" s="9" t="s">
        <v>740</v>
      </c>
      <c r="B311" s="9" t="s">
        <v>741</v>
      </c>
      <c r="C311" s="9" t="s">
        <v>19</v>
      </c>
      <c r="D311" s="9" t="s">
        <v>19</v>
      </c>
      <c r="E311" s="9" t="s">
        <v>742</v>
      </c>
      <c r="G311" s="9" t="s">
        <v>105</v>
      </c>
    </row>
    <row r="312" spans="1:8" ht="14.25" customHeight="1" x14ac:dyDescent="0.25">
      <c r="A312" s="9" t="s">
        <v>743</v>
      </c>
      <c r="B312" s="9" t="s">
        <v>744</v>
      </c>
      <c r="C312" s="9" t="s">
        <v>19</v>
      </c>
      <c r="D312" s="10" t="s">
        <v>19</v>
      </c>
      <c r="E312" s="10" t="s">
        <v>20</v>
      </c>
      <c r="G312" s="9" t="s">
        <v>396</v>
      </c>
      <c r="H312" s="9" t="s">
        <v>451</v>
      </c>
    </row>
    <row r="313" spans="1:8" ht="14.25" customHeight="1" x14ac:dyDescent="0.25">
      <c r="A313" s="9" t="s">
        <v>745</v>
      </c>
      <c r="B313" s="9" t="s">
        <v>746</v>
      </c>
      <c r="C313" s="9" t="s">
        <v>19</v>
      </c>
      <c r="D313" s="9" t="s">
        <v>19</v>
      </c>
      <c r="E313" s="9" t="s">
        <v>29</v>
      </c>
      <c r="G313" s="9" t="s">
        <v>30</v>
      </c>
    </row>
    <row r="314" spans="1:8" ht="14.25" customHeight="1" x14ac:dyDescent="0.25">
      <c r="A314" s="9" t="s">
        <v>747</v>
      </c>
      <c r="B314" s="9" t="s">
        <v>748</v>
      </c>
      <c r="C314" s="9" t="s">
        <v>19</v>
      </c>
      <c r="D314" s="9" t="s">
        <v>19</v>
      </c>
      <c r="E314" s="9" t="s">
        <v>55</v>
      </c>
      <c r="G314" s="9" t="s">
        <v>230</v>
      </c>
    </row>
    <row r="315" spans="1:8" ht="14.25" customHeight="1" x14ac:dyDescent="0.25">
      <c r="A315" s="9" t="s">
        <v>749</v>
      </c>
      <c r="B315" s="9" t="s">
        <v>750</v>
      </c>
      <c r="C315" s="9" t="s">
        <v>59</v>
      </c>
      <c r="D315" s="9" t="s">
        <v>59</v>
      </c>
      <c r="E315" s="9" t="s">
        <v>159</v>
      </c>
      <c r="F315" s="9" t="s">
        <v>11</v>
      </c>
      <c r="G315" s="9" t="s">
        <v>160</v>
      </c>
    </row>
    <row r="316" spans="1:8" ht="14.25" customHeight="1" x14ac:dyDescent="0.25">
      <c r="A316" s="9" t="s">
        <v>751</v>
      </c>
      <c r="B316" s="9" t="s">
        <v>752</v>
      </c>
      <c r="C316" s="9" t="s">
        <v>19</v>
      </c>
      <c r="D316" s="10" t="s">
        <v>19</v>
      </c>
      <c r="E316" s="10" t="s">
        <v>86</v>
      </c>
      <c r="G316" s="9" t="s">
        <v>87</v>
      </c>
    </row>
    <row r="317" spans="1:8" ht="14.25" customHeight="1" x14ac:dyDescent="0.25">
      <c r="A317" s="9" t="s">
        <v>753</v>
      </c>
      <c r="B317" s="9" t="s">
        <v>754</v>
      </c>
      <c r="C317" s="9" t="s">
        <v>10</v>
      </c>
      <c r="D317" s="9" t="s">
        <v>10</v>
      </c>
      <c r="F317" s="9" t="s">
        <v>11</v>
      </c>
      <c r="G317" s="9" t="s">
        <v>148</v>
      </c>
    </row>
    <row r="318" spans="1:8" ht="14.25" customHeight="1" x14ac:dyDescent="0.25">
      <c r="A318" s="9" t="s">
        <v>755</v>
      </c>
      <c r="B318" s="9" t="s">
        <v>756</v>
      </c>
      <c r="C318" s="9" t="s">
        <v>19</v>
      </c>
      <c r="D318" s="9" t="s">
        <v>19</v>
      </c>
      <c r="E318" s="9" t="s">
        <v>29</v>
      </c>
      <c r="G318" s="9" t="s">
        <v>757</v>
      </c>
    </row>
    <row r="319" spans="1:8" ht="14.25" customHeight="1" x14ac:dyDescent="0.25">
      <c r="A319" s="9" t="s">
        <v>758</v>
      </c>
      <c r="B319" s="9" t="s">
        <v>759</v>
      </c>
      <c r="C319" s="9" t="s">
        <v>19</v>
      </c>
      <c r="D319" s="9" t="s">
        <v>19</v>
      </c>
      <c r="G319" s="9" t="s">
        <v>344</v>
      </c>
    </row>
    <row r="320" spans="1:8" ht="14.25" customHeight="1" x14ac:dyDescent="0.25">
      <c r="A320" s="9" t="s">
        <v>758</v>
      </c>
      <c r="B320" s="9" t="s">
        <v>760</v>
      </c>
      <c r="C320" s="9" t="s">
        <v>19</v>
      </c>
      <c r="D320" s="10" t="s">
        <v>19</v>
      </c>
      <c r="E320" s="10" t="s">
        <v>20</v>
      </c>
      <c r="G320" s="9" t="s">
        <v>359</v>
      </c>
    </row>
    <row r="321" spans="1:8" ht="14.25" customHeight="1" x14ac:dyDescent="0.25">
      <c r="A321" s="9" t="s">
        <v>761</v>
      </c>
      <c r="B321" s="9" t="s">
        <v>762</v>
      </c>
      <c r="C321" s="9" t="s">
        <v>19</v>
      </c>
      <c r="D321" s="9" t="s">
        <v>14</v>
      </c>
      <c r="E321" s="9" t="s">
        <v>763</v>
      </c>
      <c r="F321" s="9" t="s">
        <v>11</v>
      </c>
      <c r="G321" s="9" t="s">
        <v>763</v>
      </c>
    </row>
    <row r="322" spans="1:8" ht="14.25" customHeight="1" x14ac:dyDescent="0.25">
      <c r="A322" s="9" t="s">
        <v>764</v>
      </c>
      <c r="B322" s="9" t="s">
        <v>765</v>
      </c>
      <c r="C322" s="9" t="s">
        <v>19</v>
      </c>
      <c r="D322" s="9" t="s">
        <v>19</v>
      </c>
      <c r="E322" s="9" t="s">
        <v>29</v>
      </c>
      <c r="G322" s="9" t="s">
        <v>766</v>
      </c>
    </row>
    <row r="323" spans="1:8" ht="14.25" customHeight="1" x14ac:dyDescent="0.25">
      <c r="A323" s="9" t="s">
        <v>767</v>
      </c>
      <c r="B323" s="9" t="s">
        <v>768</v>
      </c>
      <c r="C323" s="9" t="s">
        <v>19</v>
      </c>
      <c r="D323" s="9" t="s">
        <v>19</v>
      </c>
      <c r="E323" s="9" t="s">
        <v>104</v>
      </c>
      <c r="G323" s="9" t="s">
        <v>406</v>
      </c>
    </row>
    <row r="324" spans="1:8" ht="14.25" customHeight="1" x14ac:dyDescent="0.25">
      <c r="A324" s="9" t="s">
        <v>769</v>
      </c>
      <c r="H324" s="9" t="s">
        <v>770</v>
      </c>
    </row>
    <row r="325" spans="1:8" ht="14.25" customHeight="1" x14ac:dyDescent="0.25">
      <c r="A325" s="9" t="s">
        <v>771</v>
      </c>
      <c r="B325" s="9" t="s">
        <v>772</v>
      </c>
      <c r="C325" s="9" t="s">
        <v>39</v>
      </c>
      <c r="D325" s="9" t="s">
        <v>39</v>
      </c>
      <c r="E325" s="9" t="s">
        <v>40</v>
      </c>
      <c r="F325" s="9" t="s">
        <v>11</v>
      </c>
      <c r="G325" s="9" t="s">
        <v>41</v>
      </c>
    </row>
    <row r="326" spans="1:8" ht="14.25" customHeight="1" x14ac:dyDescent="0.25">
      <c r="A326" s="9" t="s">
        <v>771</v>
      </c>
      <c r="B326" s="9" t="s">
        <v>773</v>
      </c>
      <c r="C326" s="9" t="s">
        <v>39</v>
      </c>
      <c r="D326" s="9" t="s">
        <v>39</v>
      </c>
      <c r="E326" s="9" t="s">
        <v>40</v>
      </c>
      <c r="F326" s="9" t="s">
        <v>11</v>
      </c>
      <c r="G326" s="9" t="s">
        <v>67</v>
      </c>
    </row>
    <row r="327" spans="1:8" ht="14.25" customHeight="1" x14ac:dyDescent="0.25">
      <c r="A327" s="9" t="s">
        <v>771</v>
      </c>
      <c r="B327" s="9" t="s">
        <v>774</v>
      </c>
      <c r="C327" s="9" t="s">
        <v>39</v>
      </c>
      <c r="D327" s="9" t="s">
        <v>39</v>
      </c>
      <c r="E327" s="9" t="s">
        <v>40</v>
      </c>
      <c r="F327" s="9" t="s">
        <v>11</v>
      </c>
      <c r="G327" s="9" t="s">
        <v>67</v>
      </c>
    </row>
    <row r="328" spans="1:8" ht="14.25" customHeight="1" x14ac:dyDescent="0.25">
      <c r="A328" s="9" t="s">
        <v>771</v>
      </c>
      <c r="B328" s="9" t="s">
        <v>775</v>
      </c>
      <c r="C328" s="9" t="s">
        <v>51</v>
      </c>
      <c r="D328" s="9" t="s">
        <v>51</v>
      </c>
      <c r="F328" s="9" t="s">
        <v>11</v>
      </c>
      <c r="G328" s="9" t="s">
        <v>221</v>
      </c>
    </row>
    <row r="329" spans="1:8" ht="14.25" customHeight="1" x14ac:dyDescent="0.25">
      <c r="A329" s="9" t="s">
        <v>776</v>
      </c>
      <c r="B329" s="9" t="s">
        <v>777</v>
      </c>
      <c r="C329" s="9" t="s">
        <v>44</v>
      </c>
      <c r="D329" s="9" t="s">
        <v>44</v>
      </c>
      <c r="F329" s="9" t="s">
        <v>11</v>
      </c>
      <c r="G329" s="9" t="s">
        <v>48</v>
      </c>
    </row>
    <row r="330" spans="1:8" ht="14.25" customHeight="1" x14ac:dyDescent="0.25">
      <c r="A330" s="9" t="s">
        <v>776</v>
      </c>
      <c r="B330" s="9" t="s">
        <v>778</v>
      </c>
      <c r="C330" s="9" t="s">
        <v>19</v>
      </c>
      <c r="D330" s="10" t="s">
        <v>19</v>
      </c>
      <c r="E330" s="10" t="s">
        <v>20</v>
      </c>
      <c r="G330" s="9" t="s">
        <v>359</v>
      </c>
    </row>
    <row r="331" spans="1:8" ht="14.25" customHeight="1" x14ac:dyDescent="0.25">
      <c r="A331" s="9" t="s">
        <v>779</v>
      </c>
      <c r="B331" s="9" t="s">
        <v>780</v>
      </c>
      <c r="C331" s="9" t="s">
        <v>19</v>
      </c>
      <c r="D331" s="9" t="s">
        <v>19</v>
      </c>
      <c r="E331" s="9" t="s">
        <v>270</v>
      </c>
      <c r="G331" s="9" t="s">
        <v>520</v>
      </c>
    </row>
    <row r="332" spans="1:8" ht="14.25" customHeight="1" x14ac:dyDescent="0.25">
      <c r="A332" s="9" t="s">
        <v>781</v>
      </c>
      <c r="B332" s="9" t="s">
        <v>782</v>
      </c>
      <c r="C332" s="9" t="s">
        <v>19</v>
      </c>
      <c r="D332" s="10" t="s">
        <v>19</v>
      </c>
      <c r="E332" s="10" t="s">
        <v>20</v>
      </c>
      <c r="G332" s="9" t="s">
        <v>73</v>
      </c>
    </row>
    <row r="333" spans="1:8" ht="14.25" customHeight="1" x14ac:dyDescent="0.25">
      <c r="A333" s="9" t="s">
        <v>783</v>
      </c>
      <c r="B333" s="9" t="s">
        <v>784</v>
      </c>
      <c r="C333" s="9" t="s">
        <v>19</v>
      </c>
      <c r="D333" s="10" t="s">
        <v>19</v>
      </c>
      <c r="E333" s="10" t="s">
        <v>20</v>
      </c>
      <c r="G333" s="9" t="s">
        <v>73</v>
      </c>
    </row>
    <row r="334" spans="1:8" ht="14.25" customHeight="1" x14ac:dyDescent="0.25">
      <c r="A334" s="9" t="s">
        <v>785</v>
      </c>
      <c r="B334" s="9" t="s">
        <v>786</v>
      </c>
      <c r="C334" s="9" t="s">
        <v>19</v>
      </c>
      <c r="D334" s="9" t="s">
        <v>19</v>
      </c>
      <c r="E334" s="9" t="s">
        <v>29</v>
      </c>
      <c r="G334" s="9" t="s">
        <v>787</v>
      </c>
    </row>
    <row r="335" spans="1:8" ht="14.25" customHeight="1" x14ac:dyDescent="0.25">
      <c r="A335" s="9" t="s">
        <v>788</v>
      </c>
      <c r="B335" s="9" t="s">
        <v>789</v>
      </c>
      <c r="C335" s="9" t="s">
        <v>14</v>
      </c>
      <c r="D335" s="9" t="s">
        <v>14</v>
      </c>
      <c r="F335" s="9" t="s">
        <v>218</v>
      </c>
      <c r="G335" s="9" t="s">
        <v>70</v>
      </c>
    </row>
    <row r="336" spans="1:8" ht="14.25" customHeight="1" x14ac:dyDescent="0.25">
      <c r="A336" s="9" t="s">
        <v>790</v>
      </c>
      <c r="B336" s="9" t="s">
        <v>791</v>
      </c>
      <c r="C336" s="9" t="s">
        <v>19</v>
      </c>
      <c r="D336" s="9" t="s">
        <v>19</v>
      </c>
      <c r="E336" s="9" t="s">
        <v>609</v>
      </c>
      <c r="G336" s="9" t="s">
        <v>609</v>
      </c>
    </row>
    <row r="337" spans="1:8" ht="14.25" customHeight="1" x14ac:dyDescent="0.25">
      <c r="A337" s="9" t="s">
        <v>792</v>
      </c>
      <c r="B337" s="9" t="s">
        <v>793</v>
      </c>
      <c r="C337" s="9" t="s">
        <v>19</v>
      </c>
      <c r="D337" s="9" t="s">
        <v>19</v>
      </c>
      <c r="E337" s="9" t="s">
        <v>104</v>
      </c>
      <c r="G337" s="9" t="s">
        <v>137</v>
      </c>
    </row>
    <row r="338" spans="1:8" ht="14.25" customHeight="1" x14ac:dyDescent="0.25">
      <c r="A338" s="9" t="s">
        <v>794</v>
      </c>
      <c r="B338" s="9" t="s">
        <v>795</v>
      </c>
      <c r="C338" s="9" t="s">
        <v>44</v>
      </c>
      <c r="D338" s="9" t="s">
        <v>44</v>
      </c>
      <c r="E338" s="9" t="s">
        <v>76</v>
      </c>
      <c r="F338" s="9" t="s">
        <v>11</v>
      </c>
      <c r="G338" s="9" t="s">
        <v>400</v>
      </c>
    </row>
    <row r="339" spans="1:8" ht="14.25" customHeight="1" x14ac:dyDescent="0.25">
      <c r="A339" s="9" t="s">
        <v>796</v>
      </c>
      <c r="B339" s="9" t="s">
        <v>797</v>
      </c>
      <c r="C339" s="9" t="s">
        <v>19</v>
      </c>
      <c r="D339" s="10" t="s">
        <v>19</v>
      </c>
      <c r="E339" s="10" t="s">
        <v>86</v>
      </c>
      <c r="G339" s="9" t="s">
        <v>87</v>
      </c>
    </row>
    <row r="340" spans="1:8" ht="14.25" customHeight="1" x14ac:dyDescent="0.25">
      <c r="A340" s="9" t="s">
        <v>798</v>
      </c>
      <c r="H340" s="9" t="s">
        <v>197</v>
      </c>
    </row>
    <row r="341" spans="1:8" ht="14.25" customHeight="1" x14ac:dyDescent="0.25">
      <c r="A341" s="9" t="s">
        <v>799</v>
      </c>
      <c r="B341" s="9" t="s">
        <v>800</v>
      </c>
      <c r="C341" s="9" t="s">
        <v>19</v>
      </c>
      <c r="D341" s="9" t="s">
        <v>19</v>
      </c>
      <c r="E341" s="9" t="s">
        <v>29</v>
      </c>
      <c r="G341" s="9" t="s">
        <v>801</v>
      </c>
    </row>
    <row r="342" spans="1:8" ht="14.25" customHeight="1" x14ac:dyDescent="0.25">
      <c r="A342" s="9" t="s">
        <v>802</v>
      </c>
      <c r="B342" s="9" t="s">
        <v>803</v>
      </c>
      <c r="C342" s="9" t="s">
        <v>19</v>
      </c>
      <c r="D342" s="9" t="s">
        <v>19</v>
      </c>
      <c r="E342" s="9" t="s">
        <v>29</v>
      </c>
      <c r="G342" s="9" t="s">
        <v>110</v>
      </c>
    </row>
    <row r="343" spans="1:8" ht="14.25" customHeight="1" x14ac:dyDescent="0.25">
      <c r="A343" s="9" t="s">
        <v>804</v>
      </c>
      <c r="H343" s="9" t="s">
        <v>197</v>
      </c>
    </row>
    <row r="344" spans="1:8" ht="14.25" customHeight="1" x14ac:dyDescent="0.25">
      <c r="A344" s="9" t="s">
        <v>805</v>
      </c>
      <c r="B344" s="9" t="s">
        <v>806</v>
      </c>
      <c r="C344" s="9" t="s">
        <v>19</v>
      </c>
      <c r="D344" s="9" t="s">
        <v>19</v>
      </c>
      <c r="E344" s="9" t="s">
        <v>29</v>
      </c>
      <c r="G344" s="9" t="s">
        <v>101</v>
      </c>
    </row>
    <row r="345" spans="1:8" ht="14.25" customHeight="1" x14ac:dyDescent="0.25">
      <c r="A345" s="9" t="s">
        <v>805</v>
      </c>
      <c r="B345" s="9" t="s">
        <v>807</v>
      </c>
      <c r="C345" s="9" t="s">
        <v>19</v>
      </c>
      <c r="D345" s="9" t="s">
        <v>19</v>
      </c>
      <c r="E345" s="9" t="s">
        <v>29</v>
      </c>
      <c r="G345" s="9" t="s">
        <v>808</v>
      </c>
    </row>
    <row r="346" spans="1:8" ht="14.25" customHeight="1" x14ac:dyDescent="0.25">
      <c r="A346" s="9" t="s">
        <v>809</v>
      </c>
      <c r="B346" s="9" t="s">
        <v>810</v>
      </c>
      <c r="C346" s="9" t="s">
        <v>19</v>
      </c>
      <c r="D346" s="9" t="s">
        <v>19</v>
      </c>
      <c r="E346" s="9" t="s">
        <v>104</v>
      </c>
      <c r="G346" s="9" t="s">
        <v>137</v>
      </c>
    </row>
    <row r="347" spans="1:8" ht="14.25" customHeight="1" x14ac:dyDescent="0.25">
      <c r="A347" s="9" t="s">
        <v>811</v>
      </c>
      <c r="B347" s="9" t="s">
        <v>812</v>
      </c>
      <c r="C347" s="9" t="s">
        <v>19</v>
      </c>
      <c r="D347" s="9" t="s">
        <v>19</v>
      </c>
      <c r="E347" s="9" t="s">
        <v>104</v>
      </c>
      <c r="G347" s="9" t="s">
        <v>137</v>
      </c>
    </row>
    <row r="348" spans="1:8" ht="14.25" customHeight="1" x14ac:dyDescent="0.25">
      <c r="A348" s="9" t="s">
        <v>813</v>
      </c>
      <c r="B348" s="9" t="s">
        <v>814</v>
      </c>
      <c r="C348" s="9" t="s">
        <v>19</v>
      </c>
      <c r="D348" s="9" t="s">
        <v>19</v>
      </c>
      <c r="E348" s="9" t="s">
        <v>763</v>
      </c>
      <c r="G348" s="9" t="s">
        <v>763</v>
      </c>
    </row>
    <row r="349" spans="1:8" ht="14.25" customHeight="1" x14ac:dyDescent="0.25">
      <c r="A349" s="9" t="s">
        <v>815</v>
      </c>
      <c r="B349" s="9" t="s">
        <v>816</v>
      </c>
      <c r="C349" s="9" t="s">
        <v>39</v>
      </c>
      <c r="D349" s="9" t="s">
        <v>19</v>
      </c>
      <c r="E349" s="9" t="s">
        <v>817</v>
      </c>
      <c r="G349" s="9" t="s">
        <v>817</v>
      </c>
    </row>
    <row r="350" spans="1:8" ht="14.25" customHeight="1" x14ac:dyDescent="0.25">
      <c r="A350" s="9" t="s">
        <v>815</v>
      </c>
      <c r="B350" s="9" t="s">
        <v>818</v>
      </c>
      <c r="C350" s="9" t="s">
        <v>19</v>
      </c>
      <c r="D350" s="10" t="s">
        <v>19</v>
      </c>
      <c r="E350" s="10" t="s">
        <v>86</v>
      </c>
      <c r="G350" s="9" t="s">
        <v>87</v>
      </c>
    </row>
    <row r="351" spans="1:8" ht="14.25" customHeight="1" x14ac:dyDescent="0.25">
      <c r="A351" s="9" t="s">
        <v>819</v>
      </c>
      <c r="B351" s="9" t="s">
        <v>820</v>
      </c>
      <c r="C351" s="9" t="s">
        <v>19</v>
      </c>
      <c r="D351" s="9" t="s">
        <v>19</v>
      </c>
      <c r="E351" s="9" t="s">
        <v>29</v>
      </c>
      <c r="G351" s="9" t="s">
        <v>30</v>
      </c>
    </row>
    <row r="352" spans="1:8" ht="14.25" customHeight="1" x14ac:dyDescent="0.25">
      <c r="A352" s="9" t="s">
        <v>819</v>
      </c>
      <c r="B352" s="9" t="s">
        <v>821</v>
      </c>
      <c r="C352" s="9" t="s">
        <v>128</v>
      </c>
      <c r="D352" s="9" t="s">
        <v>128</v>
      </c>
      <c r="E352" s="9" t="s">
        <v>29</v>
      </c>
      <c r="F352" s="9" t="s">
        <v>218</v>
      </c>
      <c r="G352" s="9" t="s">
        <v>30</v>
      </c>
    </row>
    <row r="353" spans="1:8" ht="14.25" customHeight="1" x14ac:dyDescent="0.25">
      <c r="A353" s="9" t="s">
        <v>822</v>
      </c>
      <c r="B353" s="9" t="s">
        <v>823</v>
      </c>
      <c r="C353" s="9" t="s">
        <v>19</v>
      </c>
      <c r="D353" s="10" t="s">
        <v>19</v>
      </c>
      <c r="E353" s="10" t="s">
        <v>20</v>
      </c>
      <c r="G353" s="9" t="s">
        <v>73</v>
      </c>
      <c r="H353" s="9" t="s">
        <v>152</v>
      </c>
    </row>
    <row r="354" spans="1:8" ht="14.25" customHeight="1" x14ac:dyDescent="0.25">
      <c r="A354" s="9" t="s">
        <v>824</v>
      </c>
      <c r="B354" s="9" t="s">
        <v>825</v>
      </c>
      <c r="C354" s="9" t="s">
        <v>39</v>
      </c>
      <c r="D354" s="9" t="s">
        <v>39</v>
      </c>
      <c r="E354" s="9" t="s">
        <v>40</v>
      </c>
      <c r="F354" s="9" t="s">
        <v>11</v>
      </c>
      <c r="G354" s="9" t="s">
        <v>67</v>
      </c>
    </row>
    <row r="355" spans="1:8" ht="14.25" customHeight="1" x14ac:dyDescent="0.25">
      <c r="A355" s="9" t="s">
        <v>824</v>
      </c>
      <c r="B355" s="9" t="s">
        <v>826</v>
      </c>
      <c r="C355" s="9" t="s">
        <v>39</v>
      </c>
      <c r="D355" s="9" t="s">
        <v>19</v>
      </c>
      <c r="E355" s="9" t="s">
        <v>29</v>
      </c>
      <c r="G355" s="9" t="s">
        <v>827</v>
      </c>
    </row>
    <row r="356" spans="1:8" ht="14.25" customHeight="1" x14ac:dyDescent="0.25">
      <c r="A356" s="9" t="s">
        <v>828</v>
      </c>
      <c r="B356" s="9" t="s">
        <v>829</v>
      </c>
      <c r="C356" s="9" t="s">
        <v>24</v>
      </c>
      <c r="D356" s="9" t="s">
        <v>24</v>
      </c>
      <c r="E356" s="9" t="s">
        <v>25</v>
      </c>
      <c r="F356" s="9" t="s">
        <v>11</v>
      </c>
      <c r="G356" s="9" t="s">
        <v>830</v>
      </c>
    </row>
    <row r="357" spans="1:8" ht="14.25" customHeight="1" x14ac:dyDescent="0.25">
      <c r="A357" s="9" t="s">
        <v>831</v>
      </c>
      <c r="B357" s="9" t="s">
        <v>832</v>
      </c>
      <c r="C357" s="9" t="s">
        <v>19</v>
      </c>
      <c r="D357" s="10" t="s">
        <v>19</v>
      </c>
      <c r="E357" s="10" t="s">
        <v>20</v>
      </c>
      <c r="G357" s="9" t="s">
        <v>96</v>
      </c>
    </row>
    <row r="358" spans="1:8" ht="14.25" customHeight="1" x14ac:dyDescent="0.25">
      <c r="A358" s="9" t="s">
        <v>833</v>
      </c>
      <c r="B358" s="9" t="s">
        <v>834</v>
      </c>
      <c r="C358" s="9" t="s">
        <v>128</v>
      </c>
      <c r="D358" s="9" t="s">
        <v>128</v>
      </c>
      <c r="F358" s="9" t="s">
        <v>218</v>
      </c>
      <c r="G358" s="9" t="s">
        <v>114</v>
      </c>
    </row>
    <row r="359" spans="1:8" ht="14.25" customHeight="1" x14ac:dyDescent="0.25">
      <c r="A359" s="9" t="s">
        <v>835</v>
      </c>
      <c r="B359" s="9" t="s">
        <v>836</v>
      </c>
      <c r="C359" s="9" t="s">
        <v>19</v>
      </c>
      <c r="D359" s="9" t="s">
        <v>19</v>
      </c>
      <c r="E359" s="10" t="s">
        <v>20</v>
      </c>
      <c r="G359" s="9" t="s">
        <v>56</v>
      </c>
    </row>
    <row r="360" spans="1:8" ht="14.25" customHeight="1" x14ac:dyDescent="0.25">
      <c r="A360" s="9" t="s">
        <v>837</v>
      </c>
      <c r="H360" s="9" t="s">
        <v>288</v>
      </c>
    </row>
    <row r="361" spans="1:8" ht="14.25" customHeight="1" x14ac:dyDescent="0.25">
      <c r="A361" s="9" t="s">
        <v>838</v>
      </c>
      <c r="B361" s="9" t="s">
        <v>839</v>
      </c>
      <c r="C361" s="9" t="s">
        <v>19</v>
      </c>
      <c r="D361" s="10" t="s">
        <v>19</v>
      </c>
      <c r="E361" s="10" t="s">
        <v>86</v>
      </c>
      <c r="G361" s="9" t="s">
        <v>87</v>
      </c>
    </row>
    <row r="362" spans="1:8" ht="14.25" customHeight="1" x14ac:dyDescent="0.25">
      <c r="A362" s="9" t="s">
        <v>840</v>
      </c>
      <c r="B362" s="9" t="s">
        <v>841</v>
      </c>
      <c r="C362" s="9" t="s">
        <v>19</v>
      </c>
      <c r="D362" s="9" t="s">
        <v>19</v>
      </c>
      <c r="E362" s="9" t="s">
        <v>29</v>
      </c>
      <c r="G362" s="9" t="s">
        <v>501</v>
      </c>
    </row>
    <row r="363" spans="1:8" ht="14.25" customHeight="1" x14ac:dyDescent="0.25">
      <c r="A363" s="9" t="s">
        <v>842</v>
      </c>
      <c r="B363" s="9" t="s">
        <v>843</v>
      </c>
      <c r="C363" s="9" t="s">
        <v>128</v>
      </c>
      <c r="D363" s="9" t="s">
        <v>128</v>
      </c>
      <c r="E363" s="9" t="s">
        <v>817</v>
      </c>
      <c r="F363" s="9" t="s">
        <v>11</v>
      </c>
      <c r="G363" s="9" t="s">
        <v>817</v>
      </c>
      <c r="H363" s="9" t="s">
        <v>152</v>
      </c>
    </row>
    <row r="364" spans="1:8" ht="14.25" customHeight="1" x14ac:dyDescent="0.25">
      <c r="A364" s="9" t="s">
        <v>844</v>
      </c>
      <c r="B364" s="9" t="s">
        <v>845</v>
      </c>
      <c r="C364" s="9" t="s">
        <v>19</v>
      </c>
      <c r="D364" s="9" t="s">
        <v>19</v>
      </c>
      <c r="E364" s="9" t="s">
        <v>272</v>
      </c>
      <c r="G364" s="9" t="s">
        <v>272</v>
      </c>
    </row>
    <row r="365" spans="1:8" ht="14.25" customHeight="1" x14ac:dyDescent="0.25">
      <c r="A365" s="9" t="s">
        <v>846</v>
      </c>
      <c r="B365" s="9" t="s">
        <v>847</v>
      </c>
      <c r="C365" s="9" t="s">
        <v>39</v>
      </c>
      <c r="D365" s="9" t="s">
        <v>204</v>
      </c>
      <c r="E365" s="9" t="s">
        <v>511</v>
      </c>
      <c r="F365" s="9" t="s">
        <v>11</v>
      </c>
      <c r="G365" s="9" t="s">
        <v>114</v>
      </c>
    </row>
    <row r="366" spans="1:8" ht="14.25" customHeight="1" x14ac:dyDescent="0.25">
      <c r="A366" s="9" t="s">
        <v>848</v>
      </c>
      <c r="H366" s="9" t="s">
        <v>288</v>
      </c>
    </row>
    <row r="367" spans="1:8" ht="14.25" customHeight="1" x14ac:dyDescent="0.25">
      <c r="A367" s="9" t="s">
        <v>849</v>
      </c>
      <c r="B367" s="9" t="s">
        <v>850</v>
      </c>
      <c r="C367" s="9" t="s">
        <v>19</v>
      </c>
      <c r="D367" s="10" t="s">
        <v>19</v>
      </c>
      <c r="E367" s="10" t="s">
        <v>20</v>
      </c>
      <c r="G367" s="9" t="s">
        <v>180</v>
      </c>
    </row>
    <row r="368" spans="1:8" ht="14.25" customHeight="1" x14ac:dyDescent="0.25">
      <c r="A368" s="9" t="s">
        <v>851</v>
      </c>
      <c r="B368" s="9" t="s">
        <v>852</v>
      </c>
      <c r="C368" s="9" t="s">
        <v>19</v>
      </c>
      <c r="D368" s="9" t="s">
        <v>19</v>
      </c>
      <c r="E368" s="9" t="s">
        <v>104</v>
      </c>
      <c r="G368" s="9" t="s">
        <v>137</v>
      </c>
    </row>
    <row r="369" spans="1:8" ht="14.25" customHeight="1" x14ac:dyDescent="0.25">
      <c r="A369" s="9" t="s">
        <v>853</v>
      </c>
      <c r="B369" s="9" t="s">
        <v>854</v>
      </c>
      <c r="C369" s="9" t="s">
        <v>19</v>
      </c>
      <c r="D369" s="9" t="s">
        <v>19</v>
      </c>
      <c r="E369" s="9" t="s">
        <v>104</v>
      </c>
      <c r="G369" s="9" t="s">
        <v>105</v>
      </c>
    </row>
    <row r="370" spans="1:8" ht="14.25" customHeight="1" x14ac:dyDescent="0.25">
      <c r="A370" s="9" t="s">
        <v>855</v>
      </c>
      <c r="B370" s="9" t="s">
        <v>856</v>
      </c>
      <c r="C370" s="9" t="s">
        <v>19</v>
      </c>
      <c r="D370" s="10" t="s">
        <v>19</v>
      </c>
      <c r="E370" s="10" t="s">
        <v>20</v>
      </c>
      <c r="G370" s="9" t="s">
        <v>73</v>
      </c>
    </row>
    <row r="371" spans="1:8" ht="14.25" customHeight="1" x14ac:dyDescent="0.25">
      <c r="A371" s="9" t="s">
        <v>857</v>
      </c>
      <c r="B371" s="9" t="s">
        <v>858</v>
      </c>
      <c r="C371" s="9" t="s">
        <v>19</v>
      </c>
      <c r="D371" s="10" t="s">
        <v>19</v>
      </c>
      <c r="E371" s="10" t="s">
        <v>20</v>
      </c>
      <c r="G371" s="9" t="s">
        <v>359</v>
      </c>
    </row>
    <row r="372" spans="1:8" ht="14.25" customHeight="1" x14ac:dyDescent="0.25">
      <c r="A372" s="9" t="s">
        <v>859</v>
      </c>
      <c r="B372" s="9" t="s">
        <v>860</v>
      </c>
      <c r="C372" s="9" t="s">
        <v>19</v>
      </c>
      <c r="D372" s="10" t="s">
        <v>19</v>
      </c>
      <c r="E372" s="10" t="s">
        <v>20</v>
      </c>
      <c r="G372" s="9" t="s">
        <v>96</v>
      </c>
      <c r="H372" s="9" t="s">
        <v>451</v>
      </c>
    </row>
    <row r="373" spans="1:8" ht="14.25" customHeight="1" x14ac:dyDescent="0.25">
      <c r="A373" s="9" t="s">
        <v>861</v>
      </c>
      <c r="H373" s="9" t="s">
        <v>197</v>
      </c>
    </row>
    <row r="374" spans="1:8" ht="14.25" customHeight="1" x14ac:dyDescent="0.25">
      <c r="A374" s="9" t="s">
        <v>862</v>
      </c>
      <c r="B374" s="9" t="s">
        <v>863</v>
      </c>
      <c r="C374" s="9" t="s">
        <v>128</v>
      </c>
      <c r="D374" s="9" t="s">
        <v>128</v>
      </c>
      <c r="E374" s="9" t="s">
        <v>292</v>
      </c>
      <c r="F374" s="9" t="s">
        <v>11</v>
      </c>
      <c r="G374" s="9" t="s">
        <v>114</v>
      </c>
    </row>
    <row r="375" spans="1:8" ht="14.25" customHeight="1" x14ac:dyDescent="0.25">
      <c r="A375" s="9" t="s">
        <v>864</v>
      </c>
      <c r="B375" s="9" t="s">
        <v>865</v>
      </c>
      <c r="C375" s="9" t="s">
        <v>19</v>
      </c>
      <c r="D375" s="9" t="s">
        <v>19</v>
      </c>
      <c r="E375" s="9" t="s">
        <v>29</v>
      </c>
      <c r="G375" s="9" t="s">
        <v>175</v>
      </c>
    </row>
    <row r="376" spans="1:8" ht="14.25" customHeight="1" x14ac:dyDescent="0.25">
      <c r="A376" s="9" t="s">
        <v>866</v>
      </c>
      <c r="B376" s="9" t="s">
        <v>867</v>
      </c>
      <c r="C376" s="9" t="s">
        <v>19</v>
      </c>
      <c r="D376" s="9" t="s">
        <v>19</v>
      </c>
      <c r="E376" s="9" t="s">
        <v>29</v>
      </c>
      <c r="G376" s="9" t="s">
        <v>868</v>
      </c>
    </row>
    <row r="377" spans="1:8" ht="14.25" customHeight="1" x14ac:dyDescent="0.25">
      <c r="A377" s="9" t="s">
        <v>869</v>
      </c>
      <c r="B377" s="9" t="s">
        <v>870</v>
      </c>
      <c r="C377" s="9" t="s">
        <v>19</v>
      </c>
      <c r="D377" s="9" t="s">
        <v>19</v>
      </c>
      <c r="G377" s="9" t="s">
        <v>552</v>
      </c>
      <c r="H377" s="9" t="s">
        <v>871</v>
      </c>
    </row>
    <row r="378" spans="1:8" ht="14.25" customHeight="1" x14ac:dyDescent="0.25">
      <c r="A378" s="9" t="s">
        <v>872</v>
      </c>
      <c r="B378" s="9" t="s">
        <v>873</v>
      </c>
      <c r="C378" s="9" t="s">
        <v>128</v>
      </c>
      <c r="D378" s="9" t="s">
        <v>128</v>
      </c>
      <c r="F378" s="9" t="s">
        <v>11</v>
      </c>
      <c r="G378" s="9" t="s">
        <v>129</v>
      </c>
    </row>
    <row r="379" spans="1:8" ht="14.25" customHeight="1" x14ac:dyDescent="0.25">
      <c r="A379" s="9" t="s">
        <v>874</v>
      </c>
      <c r="B379" s="9" t="s">
        <v>875</v>
      </c>
      <c r="C379" s="9" t="s">
        <v>19</v>
      </c>
      <c r="D379" s="9" t="s">
        <v>19</v>
      </c>
      <c r="E379" s="9" t="s">
        <v>104</v>
      </c>
      <c r="G379" s="9" t="s">
        <v>356</v>
      </c>
    </row>
    <row r="380" spans="1:8" ht="14.25" customHeight="1" x14ac:dyDescent="0.25">
      <c r="A380" s="9" t="s">
        <v>874</v>
      </c>
      <c r="B380" s="9" t="s">
        <v>876</v>
      </c>
      <c r="C380" s="9" t="s">
        <v>19</v>
      </c>
      <c r="D380" s="9" t="s">
        <v>19</v>
      </c>
      <c r="G380" s="9" t="s">
        <v>195</v>
      </c>
    </row>
    <row r="381" spans="1:8" ht="14.25" customHeight="1" x14ac:dyDescent="0.25">
      <c r="A381" s="9" t="s">
        <v>877</v>
      </c>
      <c r="B381" s="9" t="s">
        <v>878</v>
      </c>
      <c r="C381" s="9" t="s">
        <v>19</v>
      </c>
      <c r="D381" s="10" t="s">
        <v>19</v>
      </c>
      <c r="E381" s="10" t="s">
        <v>20</v>
      </c>
      <c r="G381" s="9" t="s">
        <v>359</v>
      </c>
    </row>
    <row r="382" spans="1:8" ht="14.25" customHeight="1" x14ac:dyDescent="0.25">
      <c r="A382" s="9" t="s">
        <v>879</v>
      </c>
      <c r="B382" s="9" t="s">
        <v>880</v>
      </c>
      <c r="C382" s="9" t="s">
        <v>19</v>
      </c>
      <c r="D382" s="9" t="s">
        <v>19</v>
      </c>
      <c r="E382" s="9" t="s">
        <v>29</v>
      </c>
      <c r="G382" s="9" t="s">
        <v>101</v>
      </c>
    </row>
    <row r="383" spans="1:8" ht="14.25" customHeight="1" x14ac:dyDescent="0.25">
      <c r="A383" s="9" t="s">
        <v>881</v>
      </c>
      <c r="B383" s="9" t="s">
        <v>882</v>
      </c>
      <c r="C383" s="9" t="s">
        <v>19</v>
      </c>
      <c r="D383" s="9" t="s">
        <v>19</v>
      </c>
      <c r="E383" s="9" t="s">
        <v>29</v>
      </c>
      <c r="G383" s="9" t="s">
        <v>501</v>
      </c>
    </row>
    <row r="384" spans="1:8" ht="14.25" customHeight="1" x14ac:dyDescent="0.25">
      <c r="A384" s="9" t="s">
        <v>883</v>
      </c>
      <c r="B384" s="9" t="s">
        <v>884</v>
      </c>
      <c r="C384" s="9" t="s">
        <v>39</v>
      </c>
      <c r="D384" s="9" t="s">
        <v>39</v>
      </c>
      <c r="E384" s="9" t="s">
        <v>40</v>
      </c>
      <c r="F384" s="9" t="s">
        <v>11</v>
      </c>
      <c r="G384" s="9" t="s">
        <v>67</v>
      </c>
    </row>
    <row r="385" spans="1:8" ht="14.25" customHeight="1" x14ac:dyDescent="0.25">
      <c r="A385" s="9" t="s">
        <v>883</v>
      </c>
      <c r="B385" s="9" t="s">
        <v>885</v>
      </c>
      <c r="C385" s="9" t="s">
        <v>19</v>
      </c>
      <c r="D385" s="9" t="s">
        <v>19</v>
      </c>
      <c r="E385" s="9" t="s">
        <v>29</v>
      </c>
      <c r="G385" s="9" t="s">
        <v>122</v>
      </c>
    </row>
    <row r="386" spans="1:8" ht="14.25" customHeight="1" x14ac:dyDescent="0.25">
      <c r="A386" s="9" t="s">
        <v>886</v>
      </c>
      <c r="B386" s="9" t="s">
        <v>887</v>
      </c>
      <c r="C386" s="9" t="s">
        <v>19</v>
      </c>
      <c r="D386" s="10" t="s">
        <v>19</v>
      </c>
      <c r="E386" s="10" t="s">
        <v>20</v>
      </c>
      <c r="G386" s="9" t="s">
        <v>73</v>
      </c>
    </row>
    <row r="387" spans="1:8" ht="14.25" customHeight="1" x14ac:dyDescent="0.25">
      <c r="A387" s="9" t="s">
        <v>888</v>
      </c>
      <c r="B387" s="9" t="s">
        <v>889</v>
      </c>
      <c r="C387" s="9" t="s">
        <v>24</v>
      </c>
      <c r="D387" s="9" t="s">
        <v>24</v>
      </c>
      <c r="F387" s="9" t="s">
        <v>11</v>
      </c>
      <c r="G387" s="9" t="s">
        <v>545</v>
      </c>
      <c r="H387" s="9" t="s">
        <v>890</v>
      </c>
    </row>
    <row r="388" spans="1:8" ht="14.25" customHeight="1" x14ac:dyDescent="0.25">
      <c r="A388" s="9" t="s">
        <v>891</v>
      </c>
      <c r="B388" s="9" t="s">
        <v>892</v>
      </c>
      <c r="C388" s="9" t="s">
        <v>10</v>
      </c>
      <c r="D388" s="9" t="s">
        <v>10</v>
      </c>
      <c r="F388" s="9" t="s">
        <v>11</v>
      </c>
      <c r="G388" s="9" t="s">
        <v>148</v>
      </c>
    </row>
    <row r="389" spans="1:8" ht="14.25" customHeight="1" x14ac:dyDescent="0.25">
      <c r="A389" s="9" t="s">
        <v>891</v>
      </c>
      <c r="B389" s="9" t="s">
        <v>893</v>
      </c>
      <c r="C389" s="9" t="s">
        <v>10</v>
      </c>
      <c r="D389" s="9" t="s">
        <v>10</v>
      </c>
      <c r="F389" s="9" t="s">
        <v>11</v>
      </c>
      <c r="G389" s="9" t="s">
        <v>570</v>
      </c>
    </row>
    <row r="390" spans="1:8" ht="14.25" customHeight="1" x14ac:dyDescent="0.25">
      <c r="A390" s="9" t="s">
        <v>894</v>
      </c>
      <c r="B390" s="9" t="s">
        <v>895</v>
      </c>
      <c r="C390" s="9" t="s">
        <v>19</v>
      </c>
      <c r="D390" s="9" t="s">
        <v>19</v>
      </c>
      <c r="E390" s="9" t="s">
        <v>104</v>
      </c>
      <c r="G390" s="9" t="s">
        <v>896</v>
      </c>
    </row>
    <row r="391" spans="1:8" ht="14.25" customHeight="1" x14ac:dyDescent="0.25">
      <c r="A391" s="9" t="s">
        <v>894</v>
      </c>
      <c r="B391" s="9" t="s">
        <v>897</v>
      </c>
      <c r="C391" s="9" t="s">
        <v>19</v>
      </c>
      <c r="D391" s="9" t="s">
        <v>19</v>
      </c>
      <c r="E391" s="9" t="s">
        <v>29</v>
      </c>
      <c r="G391" s="9" t="s">
        <v>898</v>
      </c>
    </row>
    <row r="392" spans="1:8" ht="14.25" customHeight="1" x14ac:dyDescent="0.25">
      <c r="A392" s="9" t="s">
        <v>899</v>
      </c>
      <c r="B392" s="9" t="s">
        <v>900</v>
      </c>
      <c r="C392" s="9" t="s">
        <v>19</v>
      </c>
      <c r="D392" s="9" t="s">
        <v>19</v>
      </c>
      <c r="E392" s="9" t="s">
        <v>292</v>
      </c>
      <c r="G392" s="9" t="s">
        <v>898</v>
      </c>
    </row>
    <row r="393" spans="1:8" ht="14.25" customHeight="1" x14ac:dyDescent="0.25">
      <c r="A393" s="9" t="s">
        <v>899</v>
      </c>
      <c r="B393" s="9" t="s">
        <v>901</v>
      </c>
      <c r="C393" s="9" t="s">
        <v>19</v>
      </c>
      <c r="D393" s="9" t="s">
        <v>19</v>
      </c>
      <c r="E393" s="9" t="s">
        <v>29</v>
      </c>
      <c r="G393" s="9" t="s">
        <v>898</v>
      </c>
    </row>
    <row r="394" spans="1:8" ht="14.25" customHeight="1" x14ac:dyDescent="0.25">
      <c r="A394" s="9" t="s">
        <v>902</v>
      </c>
      <c r="B394" s="9" t="s">
        <v>903</v>
      </c>
      <c r="C394" s="9" t="s">
        <v>10</v>
      </c>
      <c r="D394" s="9" t="s">
        <v>10</v>
      </c>
      <c r="F394" s="9" t="s">
        <v>11</v>
      </c>
      <c r="G394" s="9" t="s">
        <v>254</v>
      </c>
    </row>
    <row r="395" spans="1:8" ht="14.25" customHeight="1" x14ac:dyDescent="0.25">
      <c r="A395" s="9" t="s">
        <v>904</v>
      </c>
      <c r="B395" s="9" t="s">
        <v>905</v>
      </c>
      <c r="C395" s="9" t="s">
        <v>24</v>
      </c>
      <c r="D395" s="9" t="s">
        <v>24</v>
      </c>
      <c r="E395" s="9" t="s">
        <v>25</v>
      </c>
      <c r="F395" s="9" t="s">
        <v>218</v>
      </c>
      <c r="G395" s="9" t="s">
        <v>906</v>
      </c>
      <c r="H395" s="9" t="s">
        <v>421</v>
      </c>
    </row>
    <row r="396" spans="1:8" ht="14.25" customHeight="1" x14ac:dyDescent="0.25">
      <c r="A396" s="9" t="s">
        <v>907</v>
      </c>
      <c r="B396" s="9" t="s">
        <v>908</v>
      </c>
      <c r="C396" s="9" t="s">
        <v>19</v>
      </c>
      <c r="D396" s="9" t="s">
        <v>19</v>
      </c>
      <c r="E396" s="9" t="s">
        <v>104</v>
      </c>
      <c r="G396" s="9" t="s">
        <v>137</v>
      </c>
    </row>
    <row r="397" spans="1:8" ht="14.25" customHeight="1" x14ac:dyDescent="0.25">
      <c r="A397" s="9" t="s">
        <v>909</v>
      </c>
      <c r="B397" s="9" t="s">
        <v>910</v>
      </c>
      <c r="C397" s="9" t="s">
        <v>19</v>
      </c>
      <c r="D397" s="9" t="s">
        <v>19</v>
      </c>
      <c r="E397" s="9" t="s">
        <v>29</v>
      </c>
      <c r="G397" s="9" t="s">
        <v>107</v>
      </c>
    </row>
    <row r="398" spans="1:8" ht="14.25" customHeight="1" x14ac:dyDescent="0.25">
      <c r="A398" s="9" t="s">
        <v>911</v>
      </c>
      <c r="B398" s="9" t="s">
        <v>912</v>
      </c>
      <c r="C398" s="9" t="s">
        <v>14</v>
      </c>
      <c r="D398" s="9" t="s">
        <v>14</v>
      </c>
      <c r="E398" s="9" t="s">
        <v>15</v>
      </c>
      <c r="F398" s="9" t="s">
        <v>11</v>
      </c>
      <c r="G398" s="9" t="s">
        <v>16</v>
      </c>
    </row>
    <row r="399" spans="1:8" ht="14.25" customHeight="1" x14ac:dyDescent="0.25">
      <c r="A399" s="9" t="s">
        <v>913</v>
      </c>
      <c r="B399" s="9" t="s">
        <v>914</v>
      </c>
      <c r="C399" s="9" t="s">
        <v>19</v>
      </c>
      <c r="D399" s="9" t="s">
        <v>19</v>
      </c>
      <c r="E399" s="9" t="s">
        <v>186</v>
      </c>
      <c r="G399" s="9" t="s">
        <v>187</v>
      </c>
    </row>
    <row r="400" spans="1:8" ht="14.25" customHeight="1" x14ac:dyDescent="0.25">
      <c r="A400" s="9" t="s">
        <v>915</v>
      </c>
      <c r="B400" s="9" t="s">
        <v>916</v>
      </c>
      <c r="C400" s="9" t="s">
        <v>19</v>
      </c>
      <c r="D400" s="9" t="s">
        <v>19</v>
      </c>
      <c r="E400" s="9" t="s">
        <v>104</v>
      </c>
      <c r="G400" s="9" t="s">
        <v>137</v>
      </c>
    </row>
    <row r="401" spans="1:7" ht="14.25" customHeight="1" x14ac:dyDescent="0.25">
      <c r="A401" s="9" t="s">
        <v>915</v>
      </c>
      <c r="B401" s="9" t="s">
        <v>917</v>
      </c>
      <c r="C401" s="9" t="s">
        <v>19</v>
      </c>
      <c r="D401" s="9" t="s">
        <v>19</v>
      </c>
      <c r="E401" s="9" t="s">
        <v>29</v>
      </c>
      <c r="G401" s="9" t="s">
        <v>137</v>
      </c>
    </row>
    <row r="402" spans="1:7" ht="14.25" customHeight="1" x14ac:dyDescent="0.25">
      <c r="A402" s="9" t="s">
        <v>918</v>
      </c>
      <c r="B402" s="9" t="s">
        <v>919</v>
      </c>
      <c r="C402" s="9" t="s">
        <v>19</v>
      </c>
      <c r="D402" s="9" t="s">
        <v>19</v>
      </c>
      <c r="E402" s="9" t="s">
        <v>29</v>
      </c>
      <c r="G402" s="9" t="s">
        <v>920</v>
      </c>
    </row>
    <row r="403" spans="1:7" ht="14.25" customHeight="1" x14ac:dyDescent="0.25">
      <c r="A403" s="9" t="s">
        <v>921</v>
      </c>
      <c r="B403" s="9" t="s">
        <v>922</v>
      </c>
      <c r="C403" s="9" t="s">
        <v>19</v>
      </c>
      <c r="D403" s="9" t="s">
        <v>19</v>
      </c>
      <c r="E403" s="9" t="s">
        <v>29</v>
      </c>
      <c r="G403" s="9" t="s">
        <v>501</v>
      </c>
    </row>
    <row r="404" spans="1:7" ht="14.25" customHeight="1" x14ac:dyDescent="0.25">
      <c r="A404" s="9" t="s">
        <v>923</v>
      </c>
      <c r="B404" s="9" t="s">
        <v>924</v>
      </c>
      <c r="C404" s="9" t="s">
        <v>39</v>
      </c>
      <c r="D404" s="9" t="s">
        <v>39</v>
      </c>
      <c r="E404" s="9" t="s">
        <v>817</v>
      </c>
      <c r="F404" s="9" t="s">
        <v>11</v>
      </c>
      <c r="G404" s="9" t="s">
        <v>817</v>
      </c>
    </row>
    <row r="405" spans="1:7" ht="14.25" customHeight="1" x14ac:dyDescent="0.25">
      <c r="A405" s="9" t="s">
        <v>925</v>
      </c>
      <c r="B405" s="9" t="s">
        <v>926</v>
      </c>
      <c r="C405" s="9" t="s">
        <v>19</v>
      </c>
      <c r="D405" s="9" t="s">
        <v>19</v>
      </c>
      <c r="G405" s="9" t="s">
        <v>927</v>
      </c>
    </row>
    <row r="406" spans="1:7" ht="14.25" customHeight="1" x14ac:dyDescent="0.25">
      <c r="A406" s="9" t="s">
        <v>928</v>
      </c>
      <c r="B406" s="9" t="s">
        <v>929</v>
      </c>
      <c r="C406" s="9" t="s">
        <v>44</v>
      </c>
      <c r="D406" s="9" t="s">
        <v>44</v>
      </c>
      <c r="F406" s="9" t="s">
        <v>11</v>
      </c>
      <c r="G406" s="9" t="s">
        <v>402</v>
      </c>
    </row>
    <row r="407" spans="1:7" ht="14.25" customHeight="1" x14ac:dyDescent="0.25">
      <c r="A407" s="9" t="s">
        <v>930</v>
      </c>
      <c r="B407" s="9" t="s">
        <v>931</v>
      </c>
      <c r="C407" s="9" t="s">
        <v>59</v>
      </c>
      <c r="D407" s="9" t="s">
        <v>59</v>
      </c>
      <c r="E407" s="9" t="s">
        <v>159</v>
      </c>
      <c r="F407" s="9" t="s">
        <v>218</v>
      </c>
      <c r="G407" s="9" t="s">
        <v>160</v>
      </c>
    </row>
    <row r="408" spans="1:7" ht="14.25" customHeight="1" x14ac:dyDescent="0.25">
      <c r="A408" s="9" t="s">
        <v>932</v>
      </c>
      <c r="B408" s="9" t="s">
        <v>933</v>
      </c>
      <c r="C408" s="9" t="s">
        <v>24</v>
      </c>
      <c r="D408" s="9" t="s">
        <v>24</v>
      </c>
      <c r="E408" s="9" t="s">
        <v>76</v>
      </c>
      <c r="F408" s="9" t="s">
        <v>11</v>
      </c>
      <c r="G408" s="9" t="s">
        <v>601</v>
      </c>
    </row>
    <row r="409" spans="1:7" ht="14.25" customHeight="1" x14ac:dyDescent="0.25">
      <c r="A409" s="9" t="s">
        <v>934</v>
      </c>
      <c r="B409" s="9" t="s">
        <v>935</v>
      </c>
      <c r="C409" s="9" t="s">
        <v>19</v>
      </c>
      <c r="D409" s="9" t="s">
        <v>19</v>
      </c>
      <c r="G409" s="9" t="s">
        <v>195</v>
      </c>
    </row>
    <row r="410" spans="1:7" ht="14.25" customHeight="1" x14ac:dyDescent="0.25">
      <c r="A410" s="9" t="s">
        <v>936</v>
      </c>
      <c r="B410" s="9" t="s">
        <v>937</v>
      </c>
      <c r="C410" s="9" t="s">
        <v>24</v>
      </c>
      <c r="D410" s="9" t="s">
        <v>24</v>
      </c>
      <c r="F410" s="9" t="s">
        <v>11</v>
      </c>
      <c r="G410" s="9" t="s">
        <v>195</v>
      </c>
    </row>
    <row r="411" spans="1:7" ht="14.25" customHeight="1" x14ac:dyDescent="0.25">
      <c r="A411" s="9" t="s">
        <v>938</v>
      </c>
      <c r="B411" s="9" t="s">
        <v>939</v>
      </c>
      <c r="C411" s="9" t="s">
        <v>19</v>
      </c>
      <c r="D411" s="9" t="s">
        <v>24</v>
      </c>
      <c r="E411" s="9" t="s">
        <v>940</v>
      </c>
      <c r="F411" s="9" t="s">
        <v>11</v>
      </c>
      <c r="G411" s="9" t="s">
        <v>428</v>
      </c>
    </row>
    <row r="412" spans="1:7" ht="14.25" customHeight="1" x14ac:dyDescent="0.25">
      <c r="A412" s="9" t="s">
        <v>941</v>
      </c>
      <c r="B412" s="9" t="s">
        <v>942</v>
      </c>
      <c r="C412" s="9" t="s">
        <v>19</v>
      </c>
      <c r="D412" s="10" t="s">
        <v>19</v>
      </c>
      <c r="E412" s="10" t="s">
        <v>20</v>
      </c>
      <c r="G412" s="9" t="s">
        <v>96</v>
      </c>
    </row>
    <row r="413" spans="1:7" ht="14.25" customHeight="1" x14ac:dyDescent="0.25">
      <c r="A413" s="9" t="s">
        <v>943</v>
      </c>
      <c r="B413" s="9" t="s">
        <v>944</v>
      </c>
      <c r="C413" s="9" t="s">
        <v>44</v>
      </c>
      <c r="D413" s="9" t="s">
        <v>44</v>
      </c>
      <c r="F413" s="9" t="s">
        <v>11</v>
      </c>
      <c r="G413" s="9" t="s">
        <v>595</v>
      </c>
    </row>
    <row r="414" spans="1:7" ht="14.25" customHeight="1" x14ac:dyDescent="0.25">
      <c r="A414" s="9" t="s">
        <v>945</v>
      </c>
      <c r="B414" s="9" t="s">
        <v>946</v>
      </c>
      <c r="C414" s="9" t="s">
        <v>204</v>
      </c>
      <c r="D414" s="9" t="s">
        <v>204</v>
      </c>
      <c r="E414" s="9" t="s">
        <v>113</v>
      </c>
      <c r="F414" s="9" t="s">
        <v>11</v>
      </c>
      <c r="G414" s="9" t="s">
        <v>114</v>
      </c>
    </row>
    <row r="415" spans="1:7" ht="14.25" customHeight="1" x14ac:dyDescent="0.25">
      <c r="A415" s="9" t="s">
        <v>945</v>
      </c>
      <c r="B415" s="9" t="s">
        <v>947</v>
      </c>
      <c r="C415" s="9" t="s">
        <v>204</v>
      </c>
      <c r="D415" s="9" t="s">
        <v>204</v>
      </c>
      <c r="E415" s="9" t="s">
        <v>113</v>
      </c>
      <c r="F415" s="9" t="s">
        <v>11</v>
      </c>
      <c r="G415" s="9" t="s">
        <v>114</v>
      </c>
    </row>
    <row r="416" spans="1:7" ht="14.25" customHeight="1" x14ac:dyDescent="0.25">
      <c r="A416" s="9" t="s">
        <v>948</v>
      </c>
      <c r="B416" s="9" t="s">
        <v>949</v>
      </c>
      <c r="C416" s="9" t="s">
        <v>44</v>
      </c>
      <c r="D416" s="9" t="s">
        <v>44</v>
      </c>
      <c r="F416" s="9" t="s">
        <v>11</v>
      </c>
      <c r="G416" s="9" t="s">
        <v>677</v>
      </c>
    </row>
    <row r="417" spans="1:8" ht="14.25" customHeight="1" x14ac:dyDescent="0.25">
      <c r="A417" s="9" t="s">
        <v>950</v>
      </c>
      <c r="B417" s="9" t="s">
        <v>951</v>
      </c>
      <c r="C417" s="9" t="s">
        <v>44</v>
      </c>
      <c r="D417" s="9" t="s">
        <v>44</v>
      </c>
      <c r="F417" s="9" t="s">
        <v>11</v>
      </c>
      <c r="G417" s="9" t="s">
        <v>595</v>
      </c>
    </row>
    <row r="418" spans="1:8" ht="14.25" customHeight="1" x14ac:dyDescent="0.25">
      <c r="A418" s="9" t="s">
        <v>952</v>
      </c>
      <c r="B418" s="9" t="s">
        <v>953</v>
      </c>
      <c r="C418" s="9" t="s">
        <v>19</v>
      </c>
      <c r="D418" s="9" t="s">
        <v>19</v>
      </c>
      <c r="E418" s="9" t="s">
        <v>104</v>
      </c>
      <c r="G418" s="9" t="s">
        <v>954</v>
      </c>
    </row>
    <row r="419" spans="1:8" ht="14.25" customHeight="1" x14ac:dyDescent="0.25">
      <c r="A419" s="9" t="s">
        <v>955</v>
      </c>
      <c r="B419" s="9" t="s">
        <v>956</v>
      </c>
      <c r="C419" s="9" t="s">
        <v>51</v>
      </c>
      <c r="D419" s="9" t="s">
        <v>51</v>
      </c>
      <c r="F419" s="9" t="s">
        <v>11</v>
      </c>
      <c r="G419" s="9" t="s">
        <v>52</v>
      </c>
    </row>
    <row r="420" spans="1:8" ht="14.25" customHeight="1" x14ac:dyDescent="0.25">
      <c r="A420" s="9" t="s">
        <v>955</v>
      </c>
      <c r="B420" s="9" t="s">
        <v>957</v>
      </c>
      <c r="C420" s="9" t="s">
        <v>24</v>
      </c>
      <c r="D420" s="9" t="s">
        <v>24</v>
      </c>
      <c r="F420" s="9" t="s">
        <v>11</v>
      </c>
      <c r="G420" s="9" t="s">
        <v>52</v>
      </c>
    </row>
    <row r="421" spans="1:8" ht="14.25" customHeight="1" x14ac:dyDescent="0.25">
      <c r="A421" s="9" t="s">
        <v>958</v>
      </c>
      <c r="B421" s="9" t="s">
        <v>959</v>
      </c>
      <c r="C421" s="9" t="s">
        <v>19</v>
      </c>
      <c r="D421" s="10" t="s">
        <v>19</v>
      </c>
      <c r="E421" s="10" t="s">
        <v>86</v>
      </c>
      <c r="G421" s="9" t="s">
        <v>87</v>
      </c>
    </row>
    <row r="422" spans="1:8" ht="14.25" customHeight="1" x14ac:dyDescent="0.25">
      <c r="A422" s="9" t="s">
        <v>960</v>
      </c>
      <c r="B422" s="9" t="s">
        <v>961</v>
      </c>
      <c r="C422" s="9" t="s">
        <v>19</v>
      </c>
      <c r="D422" s="9" t="s">
        <v>19</v>
      </c>
      <c r="E422" s="9" t="s">
        <v>29</v>
      </c>
      <c r="G422" s="9" t="s">
        <v>101</v>
      </c>
    </row>
    <row r="423" spans="1:8" ht="14.25" customHeight="1" x14ac:dyDescent="0.25">
      <c r="A423" s="9" t="s">
        <v>962</v>
      </c>
      <c r="B423" s="9" t="s">
        <v>963</v>
      </c>
      <c r="C423" s="9" t="s">
        <v>19</v>
      </c>
      <c r="D423" s="9" t="s">
        <v>19</v>
      </c>
      <c r="G423" s="9" t="s">
        <v>195</v>
      </c>
    </row>
    <row r="424" spans="1:8" ht="14.25" customHeight="1" x14ac:dyDescent="0.25">
      <c r="A424" s="9" t="s">
        <v>964</v>
      </c>
      <c r="B424" s="9" t="s">
        <v>965</v>
      </c>
      <c r="C424" s="9" t="s">
        <v>19</v>
      </c>
      <c r="D424" s="9" t="s">
        <v>19</v>
      </c>
      <c r="E424" s="9" t="s">
        <v>104</v>
      </c>
      <c r="G424" s="9" t="s">
        <v>105</v>
      </c>
    </row>
    <row r="425" spans="1:8" ht="14.25" customHeight="1" x14ac:dyDescent="0.25">
      <c r="A425" s="9" t="s">
        <v>966</v>
      </c>
      <c r="B425" s="9" t="s">
        <v>967</v>
      </c>
      <c r="C425" s="9" t="s">
        <v>128</v>
      </c>
      <c r="D425" s="9" t="s">
        <v>128</v>
      </c>
      <c r="E425" s="9" t="s">
        <v>113</v>
      </c>
      <c r="F425" s="9" t="s">
        <v>11</v>
      </c>
      <c r="G425" s="9" t="s">
        <v>114</v>
      </c>
    </row>
    <row r="426" spans="1:8" ht="14.25" customHeight="1" x14ac:dyDescent="0.25">
      <c r="A426" s="9" t="s">
        <v>968</v>
      </c>
      <c r="B426" s="9" t="s">
        <v>969</v>
      </c>
      <c r="C426" s="9" t="s">
        <v>19</v>
      </c>
      <c r="D426" s="10" t="s">
        <v>19</v>
      </c>
      <c r="E426" s="10" t="s">
        <v>86</v>
      </c>
      <c r="G426" s="9" t="s">
        <v>87</v>
      </c>
      <c r="H426" s="9">
        <v>404</v>
      </c>
    </row>
    <row r="427" spans="1:8" ht="14.25" customHeight="1" x14ac:dyDescent="0.25">
      <c r="A427" s="9" t="s">
        <v>970</v>
      </c>
      <c r="B427" s="9" t="s">
        <v>971</v>
      </c>
      <c r="C427" s="9" t="s">
        <v>19</v>
      </c>
      <c r="D427" s="9" t="s">
        <v>19</v>
      </c>
      <c r="E427" s="9" t="s">
        <v>29</v>
      </c>
      <c r="G427" s="9" t="s">
        <v>101</v>
      </c>
      <c r="H427" s="9">
        <v>404</v>
      </c>
    </row>
    <row r="428" spans="1:8" ht="14.25" customHeight="1" x14ac:dyDescent="0.25">
      <c r="A428" s="9" t="s">
        <v>972</v>
      </c>
      <c r="B428" s="9" t="s">
        <v>973</v>
      </c>
      <c r="C428" s="9" t="s">
        <v>44</v>
      </c>
      <c r="D428" s="9" t="s">
        <v>44</v>
      </c>
      <c r="F428" s="9" t="s">
        <v>11</v>
      </c>
      <c r="G428" s="9" t="s">
        <v>48</v>
      </c>
    </row>
    <row r="429" spans="1:8" ht="14.25" customHeight="1" x14ac:dyDescent="0.25">
      <c r="A429" s="9" t="s">
        <v>974</v>
      </c>
      <c r="B429" s="9" t="s">
        <v>975</v>
      </c>
      <c r="C429" s="9" t="s">
        <v>44</v>
      </c>
      <c r="D429" s="9" t="s">
        <v>44</v>
      </c>
      <c r="F429" s="9" t="s">
        <v>11</v>
      </c>
      <c r="G429" s="9" t="s">
        <v>129</v>
      </c>
    </row>
    <row r="430" spans="1:8" ht="14.25" customHeight="1" x14ac:dyDescent="0.25">
      <c r="A430" s="9" t="s">
        <v>976</v>
      </c>
      <c r="B430" s="9" t="s">
        <v>977</v>
      </c>
      <c r="C430" s="9" t="s">
        <v>19</v>
      </c>
      <c r="D430" s="10" t="s">
        <v>19</v>
      </c>
      <c r="E430" s="10" t="s">
        <v>86</v>
      </c>
      <c r="G430" s="9" t="s">
        <v>87</v>
      </c>
    </row>
    <row r="431" spans="1:8" ht="14.25" customHeight="1" x14ac:dyDescent="0.25">
      <c r="A431" s="9" t="s">
        <v>978</v>
      </c>
      <c r="B431" s="9" t="s">
        <v>979</v>
      </c>
      <c r="C431" s="9" t="s">
        <v>19</v>
      </c>
      <c r="D431" s="9" t="s">
        <v>19</v>
      </c>
      <c r="E431" s="9" t="s">
        <v>104</v>
      </c>
      <c r="G431" s="9" t="s">
        <v>105</v>
      </c>
    </row>
    <row r="432" spans="1:8" ht="14.25" customHeight="1" x14ac:dyDescent="0.25">
      <c r="A432" s="9" t="s">
        <v>980</v>
      </c>
      <c r="B432" s="9" t="s">
        <v>981</v>
      </c>
      <c r="C432" s="9" t="s">
        <v>19</v>
      </c>
      <c r="D432" s="9" t="s">
        <v>19</v>
      </c>
      <c r="E432" s="9" t="s">
        <v>29</v>
      </c>
      <c r="G432" s="9" t="s">
        <v>101</v>
      </c>
    </row>
    <row r="433" spans="1:7" ht="14.25" customHeight="1" x14ac:dyDescent="0.25">
      <c r="A433" s="9" t="s">
        <v>982</v>
      </c>
      <c r="B433" s="9" t="s">
        <v>983</v>
      </c>
      <c r="C433" s="9" t="s">
        <v>44</v>
      </c>
      <c r="D433" s="9" t="s">
        <v>44</v>
      </c>
      <c r="F433" s="9" t="s">
        <v>218</v>
      </c>
      <c r="G433" s="9" t="s">
        <v>48</v>
      </c>
    </row>
    <row r="434" spans="1:7" ht="14.25" customHeight="1" x14ac:dyDescent="0.25"/>
    <row r="435" spans="1:7" ht="14.25" customHeight="1" x14ac:dyDescent="0.25"/>
    <row r="436" spans="1:7" ht="14.25" customHeight="1" x14ac:dyDescent="0.25"/>
    <row r="437" spans="1:7" ht="14.25" customHeight="1" x14ac:dyDescent="0.25"/>
    <row r="438" spans="1:7" ht="14.25" customHeight="1" x14ac:dyDescent="0.25"/>
    <row r="439" spans="1:7" ht="14.25" customHeight="1" x14ac:dyDescent="0.25"/>
    <row r="440" spans="1:7" ht="14.25" customHeight="1" x14ac:dyDescent="0.25"/>
    <row r="441" spans="1:7" ht="14.25" customHeight="1" x14ac:dyDescent="0.25"/>
    <row r="442" spans="1:7" ht="14.25" customHeight="1" x14ac:dyDescent="0.25"/>
    <row r="443" spans="1:7" ht="14.25" customHeight="1" x14ac:dyDescent="0.25"/>
    <row r="444" spans="1:7" ht="14.25" customHeight="1" x14ac:dyDescent="0.25"/>
    <row r="445" spans="1:7" ht="14.25" customHeight="1" x14ac:dyDescent="0.25"/>
    <row r="446" spans="1:7" ht="14.25" customHeight="1" x14ac:dyDescent="0.25"/>
    <row r="447" spans="1:7" ht="14.25" customHeight="1" x14ac:dyDescent="0.25"/>
    <row r="448" spans="1:7"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sheetData>
  <conditionalFormatting sqref="C1:C5 D2:D5 D7:D11 C7:C203 D15 D19:D21 D24:D25 D31 D37 D43:D44 D47 D54 D56:D57 D59 D68:D71 D75:D81 D83:D85 D87:D88 D90:D96 D98:D99 D101:D102 D105:D106 D108:D113 D116:D118 D120:D123 D125:D127 D131 D134:D141 D144:D166 D168 D172 D195 C205:C1034 D307 D358 D374">
    <cfRule type="expression" dxfId="3" priority="1">
      <formula>INDIRECT("tajkia_labels!C2:C")&lt;&gt;INDIRECT("balreet_labels!C2:C")</formula>
    </cfRule>
  </conditionalFormatting>
  <hyperlinks>
    <hyperlink ref="B96" r:id="rId1" xr:uid="{00000000-0004-0000-0000-000000000000}"/>
    <hyperlink ref="B194" r:id="rId2" xr:uid="{00000000-0004-0000-0000-000001000000}"/>
    <hyperlink ref="B232" r:id="rId3" xr:uid="{00000000-0004-0000-0000-000002000000}"/>
  </hyperlinks>
  <pageMargins left="0.7" right="0.7" top="0.75" bottom="0.75" header="0" footer="0"/>
  <pageSetup orientation="portrait"/>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34"/>
  <sheetViews>
    <sheetView workbookViewId="0">
      <selection activeCell="B30" sqref="B30"/>
    </sheetView>
  </sheetViews>
  <sheetFormatPr defaultColWidth="12.6640625" defaultRowHeight="15" customHeight="1" x14ac:dyDescent="0.25"/>
  <cols>
    <col min="1" max="1" width="56.88671875" style="9" customWidth="1"/>
    <col min="2" max="2" width="79" style="9" customWidth="1"/>
    <col min="3" max="3" width="32" style="9" customWidth="1"/>
    <col min="4" max="16384" width="12.6640625" style="9"/>
  </cols>
  <sheetData>
    <row r="1" spans="1:5" ht="13.8" x14ac:dyDescent="0.25">
      <c r="A1" s="8" t="s">
        <v>0</v>
      </c>
      <c r="B1" s="15" t="s">
        <v>1</v>
      </c>
      <c r="C1" s="8" t="s">
        <v>2</v>
      </c>
      <c r="D1" s="8" t="s">
        <v>4</v>
      </c>
      <c r="E1" s="8" t="s">
        <v>6</v>
      </c>
    </row>
    <row r="2" spans="1:5" ht="13.8" x14ac:dyDescent="0.25">
      <c r="A2" s="9" t="s">
        <v>8</v>
      </c>
      <c r="B2" s="16" t="s">
        <v>9</v>
      </c>
      <c r="C2" s="9" t="s">
        <v>10</v>
      </c>
    </row>
    <row r="3" spans="1:5" ht="13.8" x14ac:dyDescent="0.25">
      <c r="A3" s="9" t="s">
        <v>8</v>
      </c>
      <c r="B3" s="16" t="s">
        <v>13</v>
      </c>
      <c r="C3" s="9" t="s">
        <v>14</v>
      </c>
    </row>
    <row r="4" spans="1:5" ht="13.8" x14ac:dyDescent="0.25">
      <c r="A4" s="9" t="s">
        <v>17</v>
      </c>
      <c r="B4" s="16" t="s">
        <v>18</v>
      </c>
      <c r="C4" s="9" t="s">
        <v>19</v>
      </c>
      <c r="D4" s="9" t="s">
        <v>984</v>
      </c>
    </row>
    <row r="5" spans="1:5" ht="13.8" x14ac:dyDescent="0.25">
      <c r="A5" s="9" t="s">
        <v>22</v>
      </c>
      <c r="B5" s="16" t="s">
        <v>23</v>
      </c>
      <c r="C5" s="9" t="s">
        <v>24</v>
      </c>
    </row>
    <row r="6" spans="1:5" ht="13.8" x14ac:dyDescent="0.25">
      <c r="A6" s="9" t="s">
        <v>27</v>
      </c>
      <c r="B6" s="16" t="s">
        <v>28</v>
      </c>
      <c r="C6" s="9" t="s">
        <v>24</v>
      </c>
    </row>
    <row r="7" spans="1:5" ht="13.8" x14ac:dyDescent="0.25">
      <c r="A7" s="9" t="s">
        <v>31</v>
      </c>
      <c r="B7" s="16" t="s">
        <v>32</v>
      </c>
      <c r="C7" s="9" t="s">
        <v>24</v>
      </c>
      <c r="D7" s="9" t="s">
        <v>985</v>
      </c>
    </row>
    <row r="8" spans="1:5" ht="13.8" x14ac:dyDescent="0.25">
      <c r="A8" s="9" t="s">
        <v>31</v>
      </c>
      <c r="B8" s="16" t="s">
        <v>35</v>
      </c>
      <c r="C8" s="9" t="s">
        <v>19</v>
      </c>
      <c r="D8" s="9" t="s">
        <v>986</v>
      </c>
    </row>
    <row r="9" spans="1:5" ht="13.8" x14ac:dyDescent="0.25">
      <c r="A9" s="9" t="s">
        <v>37</v>
      </c>
      <c r="B9" s="16" t="s">
        <v>38</v>
      </c>
      <c r="C9" s="9" t="s">
        <v>39</v>
      </c>
      <c r="D9" s="9" t="s">
        <v>411</v>
      </c>
    </row>
    <row r="10" spans="1:5" ht="27.6" x14ac:dyDescent="0.25">
      <c r="A10" s="9" t="s">
        <v>42</v>
      </c>
      <c r="B10" s="16" t="s">
        <v>43</v>
      </c>
      <c r="C10" s="9" t="s">
        <v>44</v>
      </c>
    </row>
    <row r="11" spans="1:5" ht="13.8" x14ac:dyDescent="0.25">
      <c r="A11" s="9" t="s">
        <v>46</v>
      </c>
      <c r="B11" s="16" t="s">
        <v>47</v>
      </c>
      <c r="C11" s="9" t="s">
        <v>44</v>
      </c>
    </row>
    <row r="12" spans="1:5" ht="13.8" x14ac:dyDescent="0.25">
      <c r="A12" s="9" t="s">
        <v>49</v>
      </c>
      <c r="B12" s="16" t="s">
        <v>50</v>
      </c>
      <c r="C12" s="9" t="s">
        <v>24</v>
      </c>
    </row>
    <row r="13" spans="1:5" ht="27.6" x14ac:dyDescent="0.25">
      <c r="A13" s="9" t="s">
        <v>53</v>
      </c>
      <c r="B13" s="16" t="s">
        <v>54</v>
      </c>
      <c r="C13" s="9" t="s">
        <v>44</v>
      </c>
    </row>
    <row r="14" spans="1:5" ht="13.8" x14ac:dyDescent="0.25">
      <c r="A14" s="9" t="s">
        <v>57</v>
      </c>
      <c r="B14" s="16" t="s">
        <v>58</v>
      </c>
      <c r="C14" s="9" t="s">
        <v>44</v>
      </c>
    </row>
    <row r="15" spans="1:5" ht="13.8" x14ac:dyDescent="0.25">
      <c r="A15" s="9" t="s">
        <v>62</v>
      </c>
      <c r="C15" s="9" t="s">
        <v>64</v>
      </c>
    </row>
    <row r="16" spans="1:5" ht="13.8" x14ac:dyDescent="0.25">
      <c r="A16" s="9" t="s">
        <v>65</v>
      </c>
      <c r="B16" s="16" t="s">
        <v>66</v>
      </c>
      <c r="C16" s="9" t="s">
        <v>19</v>
      </c>
      <c r="D16" s="9" t="s">
        <v>987</v>
      </c>
    </row>
    <row r="17" spans="1:4" ht="13.8" x14ac:dyDescent="0.25">
      <c r="A17" s="9" t="s">
        <v>65</v>
      </c>
      <c r="B17" s="16" t="s">
        <v>68</v>
      </c>
      <c r="C17" s="9" t="s">
        <v>69</v>
      </c>
    </row>
    <row r="18" spans="1:4" ht="13.8" x14ac:dyDescent="0.25">
      <c r="A18" s="9" t="s">
        <v>71</v>
      </c>
      <c r="B18" s="16" t="s">
        <v>72</v>
      </c>
      <c r="C18" s="9" t="s">
        <v>24</v>
      </c>
    </row>
    <row r="19" spans="1:4" ht="13.8" x14ac:dyDescent="0.25">
      <c r="A19" s="9" t="s">
        <v>74</v>
      </c>
      <c r="B19" s="16" t="s">
        <v>75</v>
      </c>
      <c r="C19" s="9" t="s">
        <v>24</v>
      </c>
    </row>
    <row r="20" spans="1:4" ht="13.8" x14ac:dyDescent="0.25">
      <c r="A20" s="9" t="s">
        <v>74</v>
      </c>
      <c r="B20" s="16" t="s">
        <v>78</v>
      </c>
      <c r="C20" s="9" t="s">
        <v>59</v>
      </c>
    </row>
    <row r="21" spans="1:4" ht="13.8" x14ac:dyDescent="0.25">
      <c r="A21" s="9" t="s">
        <v>79</v>
      </c>
      <c r="B21" s="16" t="s">
        <v>80</v>
      </c>
      <c r="C21" s="9" t="s">
        <v>24</v>
      </c>
    </row>
    <row r="22" spans="1:4" ht="41.4" x14ac:dyDescent="0.25">
      <c r="A22" s="9" t="s">
        <v>84</v>
      </c>
      <c r="B22" s="16" t="s">
        <v>85</v>
      </c>
      <c r="C22" s="9" t="s">
        <v>24</v>
      </c>
    </row>
    <row r="23" spans="1:4" ht="13.8" x14ac:dyDescent="0.25">
      <c r="A23" s="9" t="s">
        <v>88</v>
      </c>
      <c r="B23" s="16" t="s">
        <v>89</v>
      </c>
      <c r="C23" s="9" t="s">
        <v>19</v>
      </c>
      <c r="D23" s="9" t="s">
        <v>984</v>
      </c>
    </row>
    <row r="24" spans="1:4" ht="27.6" x14ac:dyDescent="0.25">
      <c r="A24" s="9" t="s">
        <v>91</v>
      </c>
      <c r="B24" s="16" t="s">
        <v>92</v>
      </c>
      <c r="C24" s="9" t="s">
        <v>19</v>
      </c>
      <c r="D24" s="9" t="s">
        <v>988</v>
      </c>
    </row>
    <row r="25" spans="1:4" ht="13.8" x14ac:dyDescent="0.25">
      <c r="A25" s="9" t="s">
        <v>94</v>
      </c>
      <c r="B25" s="16" t="s">
        <v>95</v>
      </c>
      <c r="C25" s="9" t="s">
        <v>19</v>
      </c>
      <c r="D25" s="9" t="s">
        <v>984</v>
      </c>
    </row>
    <row r="26" spans="1:4" ht="13.8" x14ac:dyDescent="0.25">
      <c r="A26" s="9" t="s">
        <v>97</v>
      </c>
      <c r="B26" s="16" t="s">
        <v>98</v>
      </c>
      <c r="C26" s="9" t="s">
        <v>24</v>
      </c>
      <c r="D26" s="9" t="s">
        <v>989</v>
      </c>
    </row>
    <row r="27" spans="1:4" ht="13.8" x14ac:dyDescent="0.25">
      <c r="A27" s="9" t="s">
        <v>99</v>
      </c>
      <c r="B27" s="16" t="s">
        <v>100</v>
      </c>
      <c r="C27" s="9" t="s">
        <v>24</v>
      </c>
      <c r="D27" s="9" t="s">
        <v>985</v>
      </c>
    </row>
    <row r="28" spans="1:4" ht="13.8" x14ac:dyDescent="0.25">
      <c r="A28" s="9" t="s">
        <v>102</v>
      </c>
      <c r="B28" s="16" t="s">
        <v>103</v>
      </c>
      <c r="C28" s="9" t="s">
        <v>24</v>
      </c>
    </row>
    <row r="29" spans="1:4" ht="13.8" x14ac:dyDescent="0.25">
      <c r="A29" s="9" t="s">
        <v>102</v>
      </c>
      <c r="B29" s="16" t="s">
        <v>106</v>
      </c>
      <c r="C29" s="9" t="s">
        <v>24</v>
      </c>
    </row>
    <row r="30" spans="1:4" ht="27.6" x14ac:dyDescent="0.25">
      <c r="A30" s="9" t="s">
        <v>108</v>
      </c>
      <c r="B30" s="16" t="s">
        <v>109</v>
      </c>
      <c r="C30" s="9" t="s">
        <v>24</v>
      </c>
      <c r="D30" s="9" t="s">
        <v>989</v>
      </c>
    </row>
    <row r="31" spans="1:4" ht="13.8" x14ac:dyDescent="0.25">
      <c r="A31" s="9" t="s">
        <v>111</v>
      </c>
      <c r="B31" s="16" t="s">
        <v>112</v>
      </c>
      <c r="C31" s="9" t="s">
        <v>19</v>
      </c>
      <c r="D31" s="9" t="s">
        <v>990</v>
      </c>
    </row>
    <row r="32" spans="1:4" ht="27.6" x14ac:dyDescent="0.25">
      <c r="A32" s="9" t="s">
        <v>115</v>
      </c>
      <c r="B32" s="16" t="s">
        <v>116</v>
      </c>
      <c r="C32" s="9" t="s">
        <v>51</v>
      </c>
    </row>
    <row r="33" spans="1:4" ht="13.8" x14ac:dyDescent="0.25">
      <c r="A33" s="9" t="s">
        <v>118</v>
      </c>
      <c r="B33" s="16" t="s">
        <v>119</v>
      </c>
      <c r="C33" s="9" t="s">
        <v>24</v>
      </c>
    </row>
    <row r="34" spans="1:4" ht="41.4" x14ac:dyDescent="0.25">
      <c r="A34" s="9" t="s">
        <v>120</v>
      </c>
      <c r="B34" s="16" t="s">
        <v>121</v>
      </c>
      <c r="C34" s="9" t="s">
        <v>59</v>
      </c>
    </row>
    <row r="35" spans="1:4" ht="13.8" x14ac:dyDescent="0.25">
      <c r="A35" s="9" t="s">
        <v>123</v>
      </c>
      <c r="B35" s="16" t="s">
        <v>124</v>
      </c>
      <c r="C35" s="9" t="s">
        <v>44</v>
      </c>
      <c r="D35" s="9" t="s">
        <v>991</v>
      </c>
    </row>
    <row r="36" spans="1:4" ht="27.6" x14ac:dyDescent="0.25">
      <c r="A36" s="9" t="s">
        <v>126</v>
      </c>
      <c r="B36" s="16" t="s">
        <v>127</v>
      </c>
      <c r="C36" s="9" t="s">
        <v>14</v>
      </c>
    </row>
    <row r="37" spans="1:4" ht="13.8" x14ac:dyDescent="0.25">
      <c r="A37" s="9" t="s">
        <v>130</v>
      </c>
      <c r="B37" s="16" t="s">
        <v>131</v>
      </c>
      <c r="C37" s="9" t="s">
        <v>19</v>
      </c>
      <c r="D37" s="9" t="s">
        <v>992</v>
      </c>
    </row>
    <row r="38" spans="1:4" ht="27.6" x14ac:dyDescent="0.25">
      <c r="A38" s="9" t="s">
        <v>132</v>
      </c>
      <c r="B38" s="16" t="s">
        <v>133</v>
      </c>
      <c r="C38" s="9" t="s">
        <v>24</v>
      </c>
      <c r="D38" s="9" t="s">
        <v>993</v>
      </c>
    </row>
    <row r="39" spans="1:4" ht="27.6" x14ac:dyDescent="0.25">
      <c r="A39" s="9" t="s">
        <v>135</v>
      </c>
      <c r="B39" s="16" t="s">
        <v>136</v>
      </c>
      <c r="C39" s="9" t="s">
        <v>24</v>
      </c>
      <c r="D39" s="9" t="s">
        <v>993</v>
      </c>
    </row>
    <row r="40" spans="1:4" ht="13.8" x14ac:dyDescent="0.25">
      <c r="A40" s="9" t="s">
        <v>138</v>
      </c>
      <c r="B40" s="16" t="s">
        <v>139</v>
      </c>
      <c r="C40" s="9" t="s">
        <v>59</v>
      </c>
      <c r="D40" s="9" t="s">
        <v>994</v>
      </c>
    </row>
    <row r="41" spans="1:4" ht="13.8" x14ac:dyDescent="0.25">
      <c r="A41" s="9" t="s">
        <v>140</v>
      </c>
      <c r="B41" s="16" t="s">
        <v>141</v>
      </c>
      <c r="C41" s="9" t="s">
        <v>24</v>
      </c>
    </row>
    <row r="42" spans="1:4" ht="13.8" x14ac:dyDescent="0.25">
      <c r="A42" s="9" t="s">
        <v>142</v>
      </c>
      <c r="B42" s="16" t="s">
        <v>143</v>
      </c>
      <c r="C42" s="9" t="s">
        <v>144</v>
      </c>
    </row>
    <row r="43" spans="1:4" ht="13.8" x14ac:dyDescent="0.25">
      <c r="A43" s="9" t="s">
        <v>146</v>
      </c>
      <c r="B43" s="16" t="s">
        <v>147</v>
      </c>
      <c r="C43" s="9" t="s">
        <v>10</v>
      </c>
    </row>
    <row r="44" spans="1:4" ht="13.8" x14ac:dyDescent="0.25">
      <c r="A44" s="9" t="s">
        <v>149</v>
      </c>
      <c r="B44" s="16" t="s">
        <v>150</v>
      </c>
      <c r="C44" s="9" t="s">
        <v>19</v>
      </c>
      <c r="D44" s="9" t="s">
        <v>995</v>
      </c>
    </row>
    <row r="45" spans="1:4" ht="13.8" x14ac:dyDescent="0.25">
      <c r="A45" s="9" t="s">
        <v>153</v>
      </c>
      <c r="B45" s="16" t="s">
        <v>154</v>
      </c>
      <c r="C45" s="9" t="s">
        <v>24</v>
      </c>
    </row>
    <row r="46" spans="1:4" ht="13.8" x14ac:dyDescent="0.25">
      <c r="A46" s="9" t="s">
        <v>156</v>
      </c>
      <c r="B46" s="16" t="s">
        <v>157</v>
      </c>
      <c r="C46" s="9" t="s">
        <v>19</v>
      </c>
    </row>
    <row r="47" spans="1:4" ht="13.8" x14ac:dyDescent="0.25">
      <c r="A47" s="9" t="s">
        <v>156</v>
      </c>
      <c r="B47" s="16" t="s">
        <v>158</v>
      </c>
      <c r="C47" s="9" t="s">
        <v>59</v>
      </c>
    </row>
    <row r="48" spans="1:4" ht="13.8" x14ac:dyDescent="0.25">
      <c r="A48" s="9" t="s">
        <v>156</v>
      </c>
      <c r="B48" s="16" t="s">
        <v>161</v>
      </c>
      <c r="C48" s="9" t="s">
        <v>44</v>
      </c>
    </row>
    <row r="49" spans="1:25" ht="13.8" x14ac:dyDescent="0.25">
      <c r="A49" s="9" t="s">
        <v>162</v>
      </c>
      <c r="B49" s="16" t="s">
        <v>163</v>
      </c>
      <c r="C49" s="9" t="s">
        <v>44</v>
      </c>
    </row>
    <row r="50" spans="1:25" ht="13.8" x14ac:dyDescent="0.25">
      <c r="A50" s="9" t="s">
        <v>165</v>
      </c>
      <c r="B50" s="16" t="s">
        <v>166</v>
      </c>
      <c r="C50" s="9" t="s">
        <v>24</v>
      </c>
      <c r="D50" s="9" t="s">
        <v>988</v>
      </c>
    </row>
    <row r="51" spans="1:25" ht="13.8" x14ac:dyDescent="0.25">
      <c r="A51" s="9" t="s">
        <v>167</v>
      </c>
      <c r="B51" s="16" t="s">
        <v>168</v>
      </c>
      <c r="C51" s="9" t="s">
        <v>44</v>
      </c>
      <c r="D51" s="9" t="s">
        <v>996</v>
      </c>
    </row>
    <row r="52" spans="1:25" ht="13.8" x14ac:dyDescent="0.25">
      <c r="A52" s="9" t="s">
        <v>169</v>
      </c>
      <c r="B52" s="16" t="s">
        <v>170</v>
      </c>
      <c r="C52" s="9" t="s">
        <v>44</v>
      </c>
    </row>
    <row r="53" spans="1:25" ht="27.6" x14ac:dyDescent="0.25">
      <c r="A53" s="9" t="s">
        <v>171</v>
      </c>
      <c r="B53" s="16" t="s">
        <v>172</v>
      </c>
      <c r="C53" s="9" t="s">
        <v>24</v>
      </c>
      <c r="D53" s="9" t="s">
        <v>997</v>
      </c>
    </row>
    <row r="54" spans="1:25" ht="27.6" x14ac:dyDescent="0.25">
      <c r="A54" s="9" t="s">
        <v>173</v>
      </c>
      <c r="B54" s="16" t="s">
        <v>174</v>
      </c>
      <c r="C54" s="9" t="s">
        <v>19</v>
      </c>
      <c r="D54" s="9" t="s">
        <v>998</v>
      </c>
    </row>
    <row r="55" spans="1:25" ht="13.8" x14ac:dyDescent="0.25">
      <c r="A55" s="9" t="s">
        <v>176</v>
      </c>
      <c r="B55" s="16" t="s">
        <v>177</v>
      </c>
      <c r="C55" s="9" t="s">
        <v>24</v>
      </c>
      <c r="D55" s="9" t="s">
        <v>999</v>
      </c>
    </row>
    <row r="56" spans="1:25" ht="13.8" x14ac:dyDescent="0.25">
      <c r="A56" s="9" t="s">
        <v>178</v>
      </c>
      <c r="B56" s="16" t="s">
        <v>179</v>
      </c>
      <c r="C56" s="9" t="s">
        <v>19</v>
      </c>
      <c r="D56" s="9" t="s">
        <v>984</v>
      </c>
    </row>
    <row r="57" spans="1:25" ht="13.8" x14ac:dyDescent="0.25">
      <c r="A57" s="9" t="s">
        <v>181</v>
      </c>
      <c r="B57" s="16" t="s">
        <v>182</v>
      </c>
      <c r="C57" s="9" t="s">
        <v>19</v>
      </c>
      <c r="D57" s="9" t="s">
        <v>1000</v>
      </c>
    </row>
    <row r="58" spans="1:25" ht="13.8" x14ac:dyDescent="0.25">
      <c r="A58" s="9" t="s">
        <v>184</v>
      </c>
      <c r="B58" s="16" t="s">
        <v>185</v>
      </c>
      <c r="C58" s="9" t="s">
        <v>24</v>
      </c>
    </row>
    <row r="59" spans="1:25" ht="13.8" x14ac:dyDescent="0.25">
      <c r="A59" s="9" t="s">
        <v>188</v>
      </c>
      <c r="B59" s="16" t="s">
        <v>189</v>
      </c>
      <c r="C59" s="9" t="s">
        <v>19</v>
      </c>
      <c r="D59" s="9" t="s">
        <v>1001</v>
      </c>
    </row>
    <row r="60" spans="1:25" ht="13.8" x14ac:dyDescent="0.25">
      <c r="A60" s="9" t="s">
        <v>190</v>
      </c>
      <c r="B60" s="16" t="s">
        <v>191</v>
      </c>
      <c r="C60" s="9" t="s">
        <v>24</v>
      </c>
      <c r="D60" s="9" t="s">
        <v>999</v>
      </c>
    </row>
    <row r="61" spans="1:25" ht="13.8" x14ac:dyDescent="0.25">
      <c r="A61" s="9" t="s">
        <v>193</v>
      </c>
      <c r="B61" s="16" t="s">
        <v>194</v>
      </c>
      <c r="C61" s="9" t="s">
        <v>1002</v>
      </c>
      <c r="D61" s="9" t="s">
        <v>1003</v>
      </c>
    </row>
    <row r="62" spans="1:25" ht="13.8" x14ac:dyDescent="0.25">
      <c r="A62" s="9" t="s">
        <v>196</v>
      </c>
      <c r="D62" s="9" t="s">
        <v>1004</v>
      </c>
    </row>
    <row r="63" spans="1:25" ht="27.6" x14ac:dyDescent="0.25">
      <c r="A63" s="17" t="s">
        <v>198</v>
      </c>
      <c r="B63" s="18" t="s">
        <v>199</v>
      </c>
      <c r="C63" s="17" t="s">
        <v>19</v>
      </c>
      <c r="D63" s="17" t="s">
        <v>1005</v>
      </c>
      <c r="E63" s="17"/>
      <c r="F63" s="17"/>
      <c r="G63" s="17"/>
      <c r="H63" s="17"/>
      <c r="I63" s="17"/>
      <c r="J63" s="17"/>
      <c r="K63" s="17"/>
      <c r="L63" s="17"/>
      <c r="M63" s="17"/>
      <c r="N63" s="17"/>
      <c r="O63" s="17"/>
      <c r="P63" s="17"/>
      <c r="Q63" s="17"/>
      <c r="R63" s="17"/>
      <c r="S63" s="17"/>
      <c r="T63" s="17"/>
      <c r="U63" s="17"/>
      <c r="V63" s="17"/>
      <c r="W63" s="17"/>
      <c r="X63" s="17"/>
      <c r="Y63" s="17"/>
    </row>
    <row r="64" spans="1:25" ht="13.8" x14ac:dyDescent="0.25">
      <c r="A64" s="9" t="s">
        <v>202</v>
      </c>
      <c r="B64" s="16" t="s">
        <v>203</v>
      </c>
      <c r="C64" s="9" t="s">
        <v>19</v>
      </c>
      <c r="D64" s="9" t="s">
        <v>1006</v>
      </c>
    </row>
    <row r="65" spans="1:4" ht="27.6" x14ac:dyDescent="0.25">
      <c r="A65" s="9" t="s">
        <v>205</v>
      </c>
      <c r="B65" s="16" t="s">
        <v>206</v>
      </c>
      <c r="C65" s="9" t="s">
        <v>51</v>
      </c>
    </row>
    <row r="66" spans="1:4" ht="27.6" x14ac:dyDescent="0.25">
      <c r="A66" s="9" t="s">
        <v>205</v>
      </c>
      <c r="B66" s="16" t="s">
        <v>208</v>
      </c>
      <c r="C66" s="9" t="s">
        <v>19</v>
      </c>
      <c r="D66" s="9" t="s">
        <v>1007</v>
      </c>
    </row>
    <row r="67" spans="1:4" ht="41.4" x14ac:dyDescent="0.25">
      <c r="A67" s="9" t="s">
        <v>205</v>
      </c>
      <c r="B67" s="16" t="s">
        <v>209</v>
      </c>
      <c r="C67" s="9" t="s">
        <v>19</v>
      </c>
      <c r="D67" s="9" t="s">
        <v>1008</v>
      </c>
    </row>
    <row r="68" spans="1:4" ht="13.8" x14ac:dyDescent="0.25">
      <c r="A68" s="9" t="s">
        <v>205</v>
      </c>
      <c r="B68" s="16" t="s">
        <v>210</v>
      </c>
      <c r="C68" s="9" t="s">
        <v>19</v>
      </c>
      <c r="D68" s="9" t="s">
        <v>1009</v>
      </c>
    </row>
    <row r="69" spans="1:4" ht="13.8" x14ac:dyDescent="0.25">
      <c r="A69" s="9" t="s">
        <v>211</v>
      </c>
      <c r="B69" s="16" t="s">
        <v>212</v>
      </c>
      <c r="C69" s="9" t="s">
        <v>19</v>
      </c>
      <c r="D69" s="9" t="s">
        <v>104</v>
      </c>
    </row>
    <row r="70" spans="1:4" ht="13.8" x14ac:dyDescent="0.25">
      <c r="A70" s="9" t="s">
        <v>214</v>
      </c>
      <c r="B70" s="16" t="s">
        <v>215</v>
      </c>
      <c r="C70" s="9" t="s">
        <v>19</v>
      </c>
      <c r="D70" s="9" t="s">
        <v>1008</v>
      </c>
    </row>
    <row r="71" spans="1:4" ht="27.6" x14ac:dyDescent="0.25">
      <c r="A71" s="9" t="s">
        <v>216</v>
      </c>
      <c r="B71" s="16" t="s">
        <v>217</v>
      </c>
      <c r="C71" s="9" t="s">
        <v>24</v>
      </c>
    </row>
    <row r="72" spans="1:4" ht="27.6" x14ac:dyDescent="0.25">
      <c r="A72" s="9" t="s">
        <v>216</v>
      </c>
      <c r="B72" s="16" t="s">
        <v>220</v>
      </c>
      <c r="C72" s="9" t="s">
        <v>19</v>
      </c>
      <c r="D72" s="9" t="s">
        <v>29</v>
      </c>
    </row>
    <row r="73" spans="1:4" ht="27.6" x14ac:dyDescent="0.25">
      <c r="A73" s="9" t="s">
        <v>222</v>
      </c>
      <c r="B73" s="16" t="s">
        <v>223</v>
      </c>
      <c r="C73" s="9" t="s">
        <v>69</v>
      </c>
    </row>
    <row r="74" spans="1:4" ht="13.8" x14ac:dyDescent="0.25">
      <c r="A74" s="9" t="s">
        <v>225</v>
      </c>
      <c r="B74" s="16" t="s">
        <v>226</v>
      </c>
      <c r="C74" s="9" t="s">
        <v>19</v>
      </c>
      <c r="D74" s="9" t="s">
        <v>29</v>
      </c>
    </row>
    <row r="75" spans="1:4" ht="27.6" x14ac:dyDescent="0.25">
      <c r="A75" s="9" t="s">
        <v>228</v>
      </c>
      <c r="B75" s="16" t="s">
        <v>229</v>
      </c>
      <c r="C75" s="9" t="s">
        <v>19</v>
      </c>
      <c r="D75" s="9" t="s">
        <v>1010</v>
      </c>
    </row>
    <row r="76" spans="1:4" ht="27.6" x14ac:dyDescent="0.25">
      <c r="A76" s="9" t="s">
        <v>228</v>
      </c>
      <c r="B76" s="16" t="s">
        <v>1011</v>
      </c>
      <c r="C76" s="9" t="s">
        <v>39</v>
      </c>
    </row>
    <row r="77" spans="1:4" ht="27.6" x14ac:dyDescent="0.25">
      <c r="A77" s="9" t="s">
        <v>228</v>
      </c>
      <c r="B77" s="16" t="s">
        <v>233</v>
      </c>
      <c r="C77" s="9" t="s">
        <v>19</v>
      </c>
      <c r="D77" s="9" t="s">
        <v>1010</v>
      </c>
    </row>
    <row r="78" spans="1:4" ht="13.8" x14ac:dyDescent="0.25">
      <c r="A78" s="9" t="s">
        <v>234</v>
      </c>
      <c r="B78" s="16" t="s">
        <v>235</v>
      </c>
      <c r="C78" s="9" t="s">
        <v>10</v>
      </c>
    </row>
    <row r="79" spans="1:4" ht="13.8" x14ac:dyDescent="0.25">
      <c r="A79" s="9" t="s">
        <v>236</v>
      </c>
      <c r="B79" s="16" t="s">
        <v>237</v>
      </c>
      <c r="C79" s="9" t="s">
        <v>19</v>
      </c>
      <c r="D79" s="9" t="s">
        <v>29</v>
      </c>
    </row>
    <row r="80" spans="1:4" ht="27.6" x14ac:dyDescent="0.25">
      <c r="A80" s="9" t="s">
        <v>239</v>
      </c>
      <c r="B80" s="16" t="s">
        <v>240</v>
      </c>
      <c r="C80" s="9" t="s">
        <v>10</v>
      </c>
    </row>
    <row r="81" spans="1:4" ht="27.6" x14ac:dyDescent="0.25">
      <c r="A81" s="9" t="s">
        <v>241</v>
      </c>
      <c r="B81" s="16" t="s">
        <v>242</v>
      </c>
      <c r="C81" s="9" t="s">
        <v>19</v>
      </c>
      <c r="D81" s="9" t="s">
        <v>104</v>
      </c>
    </row>
    <row r="82" spans="1:4" ht="27.6" x14ac:dyDescent="0.25">
      <c r="A82" s="9" t="s">
        <v>243</v>
      </c>
      <c r="B82" s="16" t="s">
        <v>244</v>
      </c>
      <c r="C82" s="9" t="s">
        <v>19</v>
      </c>
      <c r="D82" s="9" t="s">
        <v>1012</v>
      </c>
    </row>
    <row r="83" spans="1:4" ht="41.4" x14ac:dyDescent="0.25">
      <c r="A83" s="9" t="s">
        <v>243</v>
      </c>
      <c r="B83" s="16" t="s">
        <v>245</v>
      </c>
      <c r="C83" s="9" t="s">
        <v>19</v>
      </c>
      <c r="D83" s="9" t="s">
        <v>1013</v>
      </c>
    </row>
    <row r="84" spans="1:4" ht="13.8" x14ac:dyDescent="0.25">
      <c r="A84" s="9" t="s">
        <v>246</v>
      </c>
      <c r="B84" s="16" t="s">
        <v>247</v>
      </c>
      <c r="C84" s="9" t="s">
        <v>19</v>
      </c>
      <c r="D84" s="9" t="s">
        <v>104</v>
      </c>
    </row>
    <row r="85" spans="1:4" ht="13.8" x14ac:dyDescent="0.25">
      <c r="A85" s="9" t="s">
        <v>248</v>
      </c>
      <c r="B85" s="16" t="s">
        <v>249</v>
      </c>
      <c r="C85" s="9" t="s">
        <v>19</v>
      </c>
      <c r="D85" s="9" t="s">
        <v>1014</v>
      </c>
    </row>
    <row r="86" spans="1:4" ht="13.8" x14ac:dyDescent="0.25">
      <c r="A86" s="9" t="s">
        <v>250</v>
      </c>
      <c r="B86" s="16" t="s">
        <v>251</v>
      </c>
      <c r="C86" s="9" t="s">
        <v>24</v>
      </c>
    </row>
    <row r="87" spans="1:4" ht="13.8" x14ac:dyDescent="0.25">
      <c r="A87" s="9" t="s">
        <v>252</v>
      </c>
      <c r="B87" s="16" t="s">
        <v>253</v>
      </c>
      <c r="C87" s="9" t="s">
        <v>10</v>
      </c>
    </row>
    <row r="88" spans="1:4" ht="13.8" x14ac:dyDescent="0.25">
      <c r="A88" s="9" t="s">
        <v>255</v>
      </c>
      <c r="B88" s="16" t="s">
        <v>256</v>
      </c>
      <c r="C88" s="9" t="s">
        <v>19</v>
      </c>
      <c r="D88" s="9" t="s">
        <v>1015</v>
      </c>
    </row>
    <row r="89" spans="1:4" ht="13.8" x14ac:dyDescent="0.25">
      <c r="A89" s="9" t="s">
        <v>257</v>
      </c>
      <c r="B89" s="16" t="s">
        <v>258</v>
      </c>
      <c r="C89" s="9" t="s">
        <v>617</v>
      </c>
    </row>
    <row r="90" spans="1:4" ht="13.8" x14ac:dyDescent="0.25">
      <c r="A90" s="9" t="s">
        <v>257</v>
      </c>
      <c r="B90" s="16" t="s">
        <v>259</v>
      </c>
      <c r="C90" s="9" t="s">
        <v>59</v>
      </c>
    </row>
    <row r="91" spans="1:4" ht="13.8" x14ac:dyDescent="0.25">
      <c r="A91" s="9" t="s">
        <v>260</v>
      </c>
      <c r="B91" s="16" t="s">
        <v>261</v>
      </c>
      <c r="C91" s="9" t="s">
        <v>19</v>
      </c>
      <c r="D91" s="9" t="s">
        <v>104</v>
      </c>
    </row>
    <row r="92" spans="1:4" ht="13.8" x14ac:dyDescent="0.25">
      <c r="A92" s="9" t="s">
        <v>262</v>
      </c>
      <c r="B92" s="16" t="s">
        <v>263</v>
      </c>
      <c r="C92" s="9" t="s">
        <v>24</v>
      </c>
    </row>
    <row r="93" spans="1:4" ht="13.8" x14ac:dyDescent="0.25">
      <c r="A93" s="9" t="s">
        <v>262</v>
      </c>
      <c r="B93" s="16" t="s">
        <v>264</v>
      </c>
      <c r="C93" s="9" t="s">
        <v>59</v>
      </c>
    </row>
    <row r="94" spans="1:4" ht="13.8" x14ac:dyDescent="0.25">
      <c r="A94" s="9" t="s">
        <v>265</v>
      </c>
      <c r="B94" s="16" t="s">
        <v>266</v>
      </c>
      <c r="C94" s="9" t="s">
        <v>19</v>
      </c>
      <c r="D94" s="9" t="s">
        <v>104</v>
      </c>
    </row>
    <row r="95" spans="1:4" ht="13.8" x14ac:dyDescent="0.25">
      <c r="A95" s="9" t="s">
        <v>268</v>
      </c>
      <c r="B95" s="16" t="s">
        <v>269</v>
      </c>
      <c r="C95" s="9" t="s">
        <v>19</v>
      </c>
      <c r="D95" s="9" t="s">
        <v>104</v>
      </c>
    </row>
    <row r="96" spans="1:4" ht="41.4" x14ac:dyDescent="0.25">
      <c r="A96" s="9" t="s">
        <v>271</v>
      </c>
      <c r="B96" s="19" t="s">
        <v>1151</v>
      </c>
      <c r="C96" s="9" t="s">
        <v>19</v>
      </c>
      <c r="D96" s="9" t="s">
        <v>1016</v>
      </c>
    </row>
    <row r="97" spans="1:4" ht="13.8" x14ac:dyDescent="0.25">
      <c r="A97" s="9" t="s">
        <v>273</v>
      </c>
      <c r="B97" s="16" t="s">
        <v>274</v>
      </c>
      <c r="C97" s="9" t="s">
        <v>19</v>
      </c>
      <c r="D97" s="9" t="s">
        <v>1017</v>
      </c>
    </row>
    <row r="98" spans="1:4" ht="13.8" x14ac:dyDescent="0.25">
      <c r="A98" s="9" t="s">
        <v>276</v>
      </c>
      <c r="B98" s="16" t="s">
        <v>277</v>
      </c>
      <c r="C98" s="9" t="s">
        <v>19</v>
      </c>
      <c r="D98" s="9" t="s">
        <v>1018</v>
      </c>
    </row>
    <row r="99" spans="1:4" ht="13.8" x14ac:dyDescent="0.25">
      <c r="A99" s="9" t="s">
        <v>278</v>
      </c>
      <c r="B99" s="16" t="s">
        <v>279</v>
      </c>
      <c r="C99" s="9" t="s">
        <v>14</v>
      </c>
    </row>
    <row r="100" spans="1:4" ht="13.8" x14ac:dyDescent="0.25">
      <c r="A100" s="9" t="s">
        <v>281</v>
      </c>
      <c r="B100" s="16" t="s">
        <v>282</v>
      </c>
      <c r="C100" s="9" t="s">
        <v>24</v>
      </c>
      <c r="D100" s="9" t="s">
        <v>1019</v>
      </c>
    </row>
    <row r="101" spans="1:4" ht="13.8" x14ac:dyDescent="0.25">
      <c r="A101" s="9" t="s">
        <v>283</v>
      </c>
      <c r="B101" s="16" t="s">
        <v>284</v>
      </c>
      <c r="C101" s="9" t="s">
        <v>19</v>
      </c>
      <c r="D101" s="9" t="s">
        <v>104</v>
      </c>
    </row>
    <row r="102" spans="1:4" ht="41.4" x14ac:dyDescent="0.25">
      <c r="A102" s="9" t="s">
        <v>285</v>
      </c>
      <c r="B102" s="16" t="s">
        <v>286</v>
      </c>
      <c r="C102" s="9" t="s">
        <v>19</v>
      </c>
      <c r="D102" s="9" t="s">
        <v>1013</v>
      </c>
    </row>
    <row r="103" spans="1:4" ht="13.8" x14ac:dyDescent="0.25">
      <c r="A103" s="9" t="s">
        <v>287</v>
      </c>
      <c r="D103" s="9" t="s">
        <v>197</v>
      </c>
    </row>
    <row r="104" spans="1:4" ht="27.6" x14ac:dyDescent="0.25">
      <c r="A104" s="9" t="s">
        <v>289</v>
      </c>
      <c r="B104" s="16" t="s">
        <v>290</v>
      </c>
      <c r="C104" s="9" t="s">
        <v>19</v>
      </c>
      <c r="D104" s="9" t="s">
        <v>1020</v>
      </c>
    </row>
    <row r="105" spans="1:4" ht="13.8" x14ac:dyDescent="0.25">
      <c r="A105" s="9" t="s">
        <v>293</v>
      </c>
      <c r="B105" s="16" t="s">
        <v>294</v>
      </c>
      <c r="C105" s="9" t="s">
        <v>19</v>
      </c>
      <c r="D105" s="9" t="s">
        <v>1018</v>
      </c>
    </row>
    <row r="106" spans="1:4" ht="13.8" x14ac:dyDescent="0.25">
      <c r="A106" s="9" t="s">
        <v>295</v>
      </c>
      <c r="B106" s="16" t="s">
        <v>296</v>
      </c>
      <c r="C106" s="9" t="s">
        <v>59</v>
      </c>
    </row>
    <row r="107" spans="1:4" ht="27.6" x14ac:dyDescent="0.25">
      <c r="A107" s="9" t="s">
        <v>297</v>
      </c>
      <c r="B107" s="16" t="s">
        <v>298</v>
      </c>
      <c r="C107" s="9" t="s">
        <v>128</v>
      </c>
      <c r="D107" s="9" t="s">
        <v>1021</v>
      </c>
    </row>
    <row r="108" spans="1:4" ht="27.6" x14ac:dyDescent="0.25">
      <c r="A108" s="9" t="s">
        <v>299</v>
      </c>
      <c r="B108" s="16" t="s">
        <v>300</v>
      </c>
      <c r="C108" s="9" t="s">
        <v>19</v>
      </c>
      <c r="D108" s="9" t="s">
        <v>29</v>
      </c>
    </row>
    <row r="109" spans="1:4" ht="13.8" x14ac:dyDescent="0.25">
      <c r="A109" s="9" t="s">
        <v>301</v>
      </c>
      <c r="B109" s="16" t="s">
        <v>302</v>
      </c>
      <c r="C109" s="9" t="s">
        <v>10</v>
      </c>
    </row>
    <row r="110" spans="1:4" ht="13.8" x14ac:dyDescent="0.25">
      <c r="A110" s="9" t="s">
        <v>303</v>
      </c>
      <c r="B110" s="16" t="s">
        <v>304</v>
      </c>
      <c r="C110" s="9" t="s">
        <v>19</v>
      </c>
      <c r="D110" s="9" t="s">
        <v>29</v>
      </c>
    </row>
    <row r="111" spans="1:4" ht="13.8" x14ac:dyDescent="0.25">
      <c r="A111" s="9" t="s">
        <v>305</v>
      </c>
      <c r="B111" s="16" t="s">
        <v>306</v>
      </c>
      <c r="C111" s="9" t="s">
        <v>10</v>
      </c>
    </row>
    <row r="112" spans="1:4" ht="13.8" x14ac:dyDescent="0.25">
      <c r="A112" s="9" t="s">
        <v>307</v>
      </c>
      <c r="B112" s="16" t="s">
        <v>308</v>
      </c>
      <c r="C112" s="9" t="s">
        <v>39</v>
      </c>
    </row>
    <row r="113" spans="1:25" ht="13.8" x14ac:dyDescent="0.25">
      <c r="A113" s="9" t="s">
        <v>309</v>
      </c>
      <c r="B113" s="16" t="s">
        <v>310</v>
      </c>
      <c r="C113" s="9" t="s">
        <v>19</v>
      </c>
      <c r="D113" s="9" t="s">
        <v>104</v>
      </c>
    </row>
    <row r="114" spans="1:25" ht="13.8" x14ac:dyDescent="0.25">
      <c r="A114" s="20" t="s">
        <v>311</v>
      </c>
      <c r="B114" s="21" t="s">
        <v>312</v>
      </c>
      <c r="C114" s="20" t="s">
        <v>19</v>
      </c>
      <c r="D114" s="20" t="s">
        <v>29</v>
      </c>
      <c r="E114" s="20"/>
      <c r="F114" s="20"/>
      <c r="G114" s="20"/>
      <c r="H114" s="20"/>
      <c r="I114" s="20"/>
      <c r="J114" s="20"/>
      <c r="K114" s="20"/>
      <c r="L114" s="20"/>
      <c r="M114" s="20"/>
      <c r="N114" s="20"/>
      <c r="O114" s="20"/>
      <c r="P114" s="20"/>
      <c r="Q114" s="20"/>
      <c r="R114" s="20"/>
      <c r="S114" s="20"/>
      <c r="T114" s="20"/>
      <c r="U114" s="20"/>
      <c r="V114" s="20"/>
      <c r="W114" s="20"/>
      <c r="X114" s="20"/>
      <c r="Y114" s="20"/>
    </row>
    <row r="115" spans="1:25" ht="13.8" x14ac:dyDescent="0.25">
      <c r="A115" s="22" t="s">
        <v>313</v>
      </c>
      <c r="B115" s="23" t="s">
        <v>314</v>
      </c>
      <c r="C115" s="22" t="s">
        <v>144</v>
      </c>
      <c r="D115" s="22"/>
      <c r="E115" s="22"/>
      <c r="F115" s="22"/>
      <c r="G115" s="22"/>
      <c r="H115" s="22"/>
      <c r="I115" s="22"/>
      <c r="J115" s="22"/>
      <c r="K115" s="22"/>
      <c r="L115" s="22"/>
      <c r="M115" s="22"/>
      <c r="N115" s="22"/>
      <c r="O115" s="22"/>
      <c r="P115" s="22"/>
      <c r="Q115" s="22"/>
      <c r="R115" s="22"/>
      <c r="S115" s="22"/>
      <c r="T115" s="22"/>
      <c r="U115" s="22"/>
      <c r="V115" s="22"/>
      <c r="W115" s="22"/>
      <c r="X115" s="22"/>
      <c r="Y115" s="22"/>
    </row>
    <row r="116" spans="1:25" ht="13.8" x14ac:dyDescent="0.25">
      <c r="A116" s="9" t="s">
        <v>316</v>
      </c>
      <c r="B116" s="16" t="s">
        <v>317</v>
      </c>
      <c r="C116" s="9" t="s">
        <v>10</v>
      </c>
    </row>
    <row r="117" spans="1:25" ht="13.8" x14ac:dyDescent="0.25">
      <c r="A117" s="9" t="s">
        <v>318</v>
      </c>
      <c r="B117" s="16" t="s">
        <v>319</v>
      </c>
      <c r="C117" s="9" t="s">
        <v>19</v>
      </c>
      <c r="D117" s="9" t="s">
        <v>104</v>
      </c>
    </row>
    <row r="118" spans="1:25" ht="13.8" x14ac:dyDescent="0.25">
      <c r="A118" s="9" t="s">
        <v>320</v>
      </c>
      <c r="B118" s="16" t="s">
        <v>321</v>
      </c>
      <c r="C118" s="9" t="s">
        <v>19</v>
      </c>
      <c r="D118" s="9" t="s">
        <v>29</v>
      </c>
    </row>
    <row r="119" spans="1:25" ht="13.8" x14ac:dyDescent="0.25">
      <c r="A119" s="9" t="s">
        <v>322</v>
      </c>
      <c r="B119" s="16" t="s">
        <v>323</v>
      </c>
      <c r="C119" s="9" t="s">
        <v>204</v>
      </c>
      <c r="D119" s="9" t="s">
        <v>1022</v>
      </c>
    </row>
    <row r="120" spans="1:25" ht="13.8" x14ac:dyDescent="0.25">
      <c r="A120" s="9" t="s">
        <v>325</v>
      </c>
      <c r="B120" s="16" t="s">
        <v>326</v>
      </c>
      <c r="C120" s="9" t="s">
        <v>10</v>
      </c>
    </row>
    <row r="121" spans="1:25" ht="13.8" x14ac:dyDescent="0.25">
      <c r="A121" s="9" t="s">
        <v>327</v>
      </c>
      <c r="B121" s="16" t="s">
        <v>328</v>
      </c>
      <c r="C121" s="9" t="s">
        <v>19</v>
      </c>
      <c r="D121" s="9" t="s">
        <v>1010</v>
      </c>
    </row>
    <row r="122" spans="1:25" ht="13.8" x14ac:dyDescent="0.25">
      <c r="A122" s="9" t="s">
        <v>329</v>
      </c>
      <c r="B122" s="16" t="s">
        <v>330</v>
      </c>
      <c r="C122" s="9" t="s">
        <v>59</v>
      </c>
    </row>
    <row r="123" spans="1:25" ht="27.6" x14ac:dyDescent="0.25">
      <c r="A123" s="9" t="s">
        <v>331</v>
      </c>
      <c r="B123" s="16" t="s">
        <v>332</v>
      </c>
      <c r="C123" s="9" t="s">
        <v>59</v>
      </c>
    </row>
    <row r="124" spans="1:25" ht="13.8" x14ac:dyDescent="0.25">
      <c r="A124" s="9" t="s">
        <v>333</v>
      </c>
      <c r="B124" s="16" t="s">
        <v>334</v>
      </c>
      <c r="C124" s="9" t="s">
        <v>227</v>
      </c>
    </row>
    <row r="125" spans="1:25" ht="13.8" x14ac:dyDescent="0.25">
      <c r="A125" s="9" t="s">
        <v>333</v>
      </c>
      <c r="B125" s="16" t="s">
        <v>335</v>
      </c>
      <c r="C125" s="9" t="s">
        <v>19</v>
      </c>
      <c r="D125" s="9" t="s">
        <v>1010</v>
      </c>
    </row>
    <row r="126" spans="1:25" ht="41.4" x14ac:dyDescent="0.25">
      <c r="A126" s="9" t="s">
        <v>336</v>
      </c>
      <c r="B126" s="16" t="s">
        <v>337</v>
      </c>
      <c r="C126" s="9" t="s">
        <v>19</v>
      </c>
      <c r="D126" s="9" t="s">
        <v>1013</v>
      </c>
    </row>
    <row r="127" spans="1:25" ht="13.8" x14ac:dyDescent="0.25">
      <c r="A127" s="9" t="s">
        <v>338</v>
      </c>
      <c r="B127" s="16" t="s">
        <v>339</v>
      </c>
      <c r="C127" s="9" t="s">
        <v>227</v>
      </c>
    </row>
    <row r="128" spans="1:25" ht="13.8" x14ac:dyDescent="0.25">
      <c r="A128" s="9" t="s">
        <v>338</v>
      </c>
      <c r="B128" s="16" t="s">
        <v>340</v>
      </c>
      <c r="C128" s="9" t="s">
        <v>39</v>
      </c>
    </row>
    <row r="129" spans="1:4" ht="27.6" x14ac:dyDescent="0.25">
      <c r="A129" s="9" t="s">
        <v>338</v>
      </c>
      <c r="B129" s="16" t="s">
        <v>341</v>
      </c>
      <c r="C129" s="9" t="s">
        <v>44</v>
      </c>
      <c r="D129" s="9" t="s">
        <v>1023</v>
      </c>
    </row>
    <row r="130" spans="1:4" ht="27.6" x14ac:dyDescent="0.25">
      <c r="A130" s="9" t="s">
        <v>338</v>
      </c>
      <c r="B130" s="16" t="s">
        <v>342</v>
      </c>
      <c r="C130" s="9" t="s">
        <v>44</v>
      </c>
      <c r="D130" s="9" t="s">
        <v>1024</v>
      </c>
    </row>
    <row r="131" spans="1:4" ht="41.4" x14ac:dyDescent="0.25">
      <c r="A131" s="9" t="s">
        <v>338</v>
      </c>
      <c r="B131" s="16" t="s">
        <v>343</v>
      </c>
      <c r="C131" s="9" t="s">
        <v>19</v>
      </c>
      <c r="D131" s="9" t="s">
        <v>1025</v>
      </c>
    </row>
    <row r="132" spans="1:4" ht="27.6" x14ac:dyDescent="0.25">
      <c r="A132" s="9" t="s">
        <v>338</v>
      </c>
      <c r="B132" s="16" t="s">
        <v>346</v>
      </c>
      <c r="C132" s="9" t="s">
        <v>44</v>
      </c>
    </row>
    <row r="133" spans="1:4" ht="27.6" x14ac:dyDescent="0.25">
      <c r="A133" s="9" t="s">
        <v>338</v>
      </c>
      <c r="B133" s="16" t="s">
        <v>347</v>
      </c>
      <c r="C133" s="9" t="s">
        <v>1026</v>
      </c>
      <c r="D133" s="9" t="s">
        <v>1027</v>
      </c>
    </row>
    <row r="134" spans="1:4" ht="13.8" x14ac:dyDescent="0.25">
      <c r="A134" s="9" t="s">
        <v>349</v>
      </c>
      <c r="B134" s="16" t="s">
        <v>350</v>
      </c>
      <c r="C134" s="9" t="s">
        <v>19</v>
      </c>
      <c r="D134" s="9" t="s">
        <v>104</v>
      </c>
    </row>
    <row r="135" spans="1:4" ht="13.8" x14ac:dyDescent="0.25">
      <c r="A135" s="9" t="s">
        <v>351</v>
      </c>
      <c r="B135" s="16" t="s">
        <v>352</v>
      </c>
      <c r="C135" s="9" t="s">
        <v>39</v>
      </c>
    </row>
    <row r="136" spans="1:4" ht="13.8" x14ac:dyDescent="0.25">
      <c r="A136" s="9" t="s">
        <v>351</v>
      </c>
      <c r="B136" s="16" t="s">
        <v>353</v>
      </c>
      <c r="C136" s="9" t="s">
        <v>19</v>
      </c>
      <c r="D136" s="9" t="s">
        <v>29</v>
      </c>
    </row>
    <row r="137" spans="1:4" ht="13.8" x14ac:dyDescent="0.25">
      <c r="A137" s="9" t="s">
        <v>354</v>
      </c>
      <c r="B137" s="16" t="s">
        <v>355</v>
      </c>
      <c r="C137" s="9" t="s">
        <v>19</v>
      </c>
      <c r="D137" s="9" t="s">
        <v>104</v>
      </c>
    </row>
    <row r="138" spans="1:4" ht="27.6" x14ac:dyDescent="0.25">
      <c r="A138" s="9" t="s">
        <v>357</v>
      </c>
      <c r="B138" s="16" t="s">
        <v>358</v>
      </c>
      <c r="C138" s="9" t="s">
        <v>19</v>
      </c>
      <c r="D138" s="9" t="s">
        <v>1028</v>
      </c>
    </row>
    <row r="139" spans="1:4" ht="13.8" x14ac:dyDescent="0.25">
      <c r="A139" s="9" t="s">
        <v>360</v>
      </c>
      <c r="B139" s="16" t="s">
        <v>361</v>
      </c>
      <c r="C139" s="9" t="s">
        <v>14</v>
      </c>
    </row>
    <row r="140" spans="1:4" ht="13.8" x14ac:dyDescent="0.25">
      <c r="A140" s="9" t="s">
        <v>362</v>
      </c>
      <c r="B140" s="16" t="s">
        <v>363</v>
      </c>
      <c r="C140" s="9" t="s">
        <v>19</v>
      </c>
      <c r="D140" s="9" t="s">
        <v>1028</v>
      </c>
    </row>
    <row r="141" spans="1:4" ht="27.6" x14ac:dyDescent="0.25">
      <c r="A141" s="9" t="s">
        <v>364</v>
      </c>
      <c r="B141" s="16" t="s">
        <v>365</v>
      </c>
      <c r="C141" s="9" t="s">
        <v>14</v>
      </c>
    </row>
    <row r="142" spans="1:4" ht="27.6" x14ac:dyDescent="0.25">
      <c r="A142" s="9" t="s">
        <v>367</v>
      </c>
      <c r="B142" s="16" t="s">
        <v>368</v>
      </c>
      <c r="C142" s="9" t="s">
        <v>204</v>
      </c>
    </row>
    <row r="143" spans="1:4" ht="27.6" x14ac:dyDescent="0.25">
      <c r="A143" s="9" t="s">
        <v>369</v>
      </c>
      <c r="B143" s="16" t="s">
        <v>370</v>
      </c>
      <c r="C143" s="9" t="s">
        <v>19</v>
      </c>
      <c r="D143" s="9" t="s">
        <v>1029</v>
      </c>
    </row>
    <row r="144" spans="1:4" ht="27.6" x14ac:dyDescent="0.25">
      <c r="A144" s="9" t="s">
        <v>372</v>
      </c>
      <c r="B144" s="16" t="s">
        <v>373</v>
      </c>
      <c r="C144" s="9" t="s">
        <v>19</v>
      </c>
      <c r="D144" s="9" t="s">
        <v>29</v>
      </c>
    </row>
    <row r="145" spans="1:4" ht="13.8" x14ac:dyDescent="0.25">
      <c r="A145" s="9" t="s">
        <v>375</v>
      </c>
      <c r="D145" s="9" t="s">
        <v>197</v>
      </c>
    </row>
    <row r="146" spans="1:4" ht="13.8" x14ac:dyDescent="0.25">
      <c r="A146" s="9" t="s">
        <v>376</v>
      </c>
      <c r="B146" s="16" t="s">
        <v>377</v>
      </c>
      <c r="C146" s="9" t="s">
        <v>19</v>
      </c>
      <c r="D146" s="9" t="s">
        <v>104</v>
      </c>
    </row>
    <row r="147" spans="1:4" ht="13.8" x14ac:dyDescent="0.25">
      <c r="A147" s="9" t="s">
        <v>378</v>
      </c>
      <c r="B147" s="16" t="s">
        <v>379</v>
      </c>
      <c r="C147" s="9" t="s">
        <v>19</v>
      </c>
      <c r="D147" s="9" t="s">
        <v>104</v>
      </c>
    </row>
    <row r="148" spans="1:4" ht="13.8" x14ac:dyDescent="0.25">
      <c r="A148" s="9" t="s">
        <v>380</v>
      </c>
      <c r="B148" s="16" t="s">
        <v>381</v>
      </c>
      <c r="C148" s="9" t="s">
        <v>19</v>
      </c>
      <c r="D148" s="9" t="s">
        <v>29</v>
      </c>
    </row>
    <row r="149" spans="1:4" ht="27.6" x14ac:dyDescent="0.25">
      <c r="A149" s="9" t="s">
        <v>382</v>
      </c>
      <c r="B149" s="16" t="s">
        <v>383</v>
      </c>
      <c r="C149" s="9" t="s">
        <v>19</v>
      </c>
      <c r="D149" s="9" t="s">
        <v>1028</v>
      </c>
    </row>
    <row r="150" spans="1:4" ht="13.8" x14ac:dyDescent="0.25">
      <c r="A150" s="9" t="s">
        <v>384</v>
      </c>
      <c r="B150" s="16" t="s">
        <v>385</v>
      </c>
      <c r="C150" s="9" t="s">
        <v>19</v>
      </c>
      <c r="D150" s="9" t="s">
        <v>104</v>
      </c>
    </row>
    <row r="151" spans="1:4" ht="13.8" x14ac:dyDescent="0.25">
      <c r="A151" s="9" t="s">
        <v>386</v>
      </c>
      <c r="B151" s="16" t="s">
        <v>387</v>
      </c>
      <c r="C151" s="9" t="s">
        <v>19</v>
      </c>
      <c r="D151" s="9" t="s">
        <v>29</v>
      </c>
    </row>
    <row r="152" spans="1:4" ht="55.2" x14ac:dyDescent="0.25">
      <c r="A152" s="9" t="s">
        <v>388</v>
      </c>
      <c r="B152" s="16" t="s">
        <v>389</v>
      </c>
      <c r="C152" s="9" t="s">
        <v>19</v>
      </c>
      <c r="D152" s="9" t="s">
        <v>29</v>
      </c>
    </row>
    <row r="153" spans="1:4" ht="13.8" x14ac:dyDescent="0.25">
      <c r="A153" s="9" t="s">
        <v>391</v>
      </c>
      <c r="B153" s="16" t="s">
        <v>392</v>
      </c>
      <c r="C153" s="9" t="s">
        <v>19</v>
      </c>
      <c r="D153" s="9" t="s">
        <v>29</v>
      </c>
    </row>
    <row r="154" spans="1:4" ht="13.8" x14ac:dyDescent="0.25">
      <c r="A154" s="9" t="s">
        <v>394</v>
      </c>
      <c r="B154" s="16" t="s">
        <v>395</v>
      </c>
      <c r="C154" s="9" t="s">
        <v>19</v>
      </c>
      <c r="D154" s="9" t="s">
        <v>1030</v>
      </c>
    </row>
    <row r="155" spans="1:4" ht="13.8" x14ac:dyDescent="0.25">
      <c r="A155" s="9" t="s">
        <v>397</v>
      </c>
      <c r="D155" s="9" t="s">
        <v>197</v>
      </c>
    </row>
    <row r="156" spans="1:4" ht="13.8" x14ac:dyDescent="0.25">
      <c r="A156" s="9" t="s">
        <v>398</v>
      </c>
      <c r="B156" s="16" t="s">
        <v>399</v>
      </c>
      <c r="C156" s="9" t="s">
        <v>24</v>
      </c>
    </row>
    <row r="157" spans="1:4" ht="13.8" x14ac:dyDescent="0.25">
      <c r="A157" s="9" t="s">
        <v>398</v>
      </c>
      <c r="B157" s="16" t="s">
        <v>401</v>
      </c>
      <c r="C157" s="9" t="s">
        <v>44</v>
      </c>
      <c r="D157" s="9" t="s">
        <v>1031</v>
      </c>
    </row>
    <row r="158" spans="1:4" ht="13.8" x14ac:dyDescent="0.25">
      <c r="A158" s="9" t="s">
        <v>398</v>
      </c>
      <c r="B158" s="16" t="s">
        <v>403</v>
      </c>
      <c r="C158" s="9" t="s">
        <v>59</v>
      </c>
    </row>
    <row r="159" spans="1:4" ht="13.8" x14ac:dyDescent="0.25">
      <c r="A159" s="9" t="s">
        <v>404</v>
      </c>
      <c r="B159" s="16" t="s">
        <v>405</v>
      </c>
      <c r="C159" s="9" t="s">
        <v>19</v>
      </c>
      <c r="D159" s="9" t="s">
        <v>104</v>
      </c>
    </row>
    <row r="160" spans="1:4" ht="27.6" x14ac:dyDescent="0.25">
      <c r="A160" s="9" t="s">
        <v>407</v>
      </c>
      <c r="B160" s="16" t="s">
        <v>408</v>
      </c>
      <c r="C160" s="9" t="s">
        <v>19</v>
      </c>
      <c r="D160" s="9" t="s">
        <v>104</v>
      </c>
    </row>
    <row r="161" spans="1:25" ht="13.8" x14ac:dyDescent="0.25">
      <c r="A161" s="9" t="s">
        <v>409</v>
      </c>
      <c r="B161" s="16" t="s">
        <v>410</v>
      </c>
      <c r="C161" s="9" t="s">
        <v>19</v>
      </c>
      <c r="D161" s="9" t="s">
        <v>29</v>
      </c>
    </row>
    <row r="162" spans="1:25" ht="27.6" x14ac:dyDescent="0.25">
      <c r="A162" s="9" t="s">
        <v>412</v>
      </c>
      <c r="B162" s="16" t="s">
        <v>413</v>
      </c>
      <c r="C162" s="9" t="s">
        <v>39</v>
      </c>
    </row>
    <row r="163" spans="1:25" ht="13.8" x14ac:dyDescent="0.25">
      <c r="A163" s="9" t="s">
        <v>412</v>
      </c>
      <c r="B163" s="16" t="s">
        <v>414</v>
      </c>
      <c r="C163" s="9" t="s">
        <v>19</v>
      </c>
      <c r="D163" s="9" t="s">
        <v>1010</v>
      </c>
    </row>
    <row r="164" spans="1:25" ht="13.8" x14ac:dyDescent="0.25">
      <c r="A164" s="9" t="s">
        <v>415</v>
      </c>
      <c r="B164" s="16" t="s">
        <v>416</v>
      </c>
      <c r="C164" s="9" t="s">
        <v>10</v>
      </c>
    </row>
    <row r="165" spans="1:25" ht="13.8" x14ac:dyDescent="0.25">
      <c r="A165" s="9" t="s">
        <v>417</v>
      </c>
      <c r="D165" s="9" t="s">
        <v>197</v>
      </c>
    </row>
    <row r="166" spans="1:25" ht="13.8" x14ac:dyDescent="0.25">
      <c r="A166" s="9" t="s">
        <v>418</v>
      </c>
      <c r="B166" s="16" t="s">
        <v>419</v>
      </c>
      <c r="C166" s="9" t="s">
        <v>24</v>
      </c>
    </row>
    <row r="167" spans="1:25" ht="13.8" x14ac:dyDescent="0.25">
      <c r="A167" s="9" t="s">
        <v>422</v>
      </c>
      <c r="D167" s="9" t="s">
        <v>197</v>
      </c>
    </row>
    <row r="168" spans="1:25" ht="27.6" x14ac:dyDescent="0.25">
      <c r="A168" s="17" t="s">
        <v>423</v>
      </c>
      <c r="B168" s="18" t="s">
        <v>424</v>
      </c>
      <c r="C168" s="17" t="s">
        <v>24</v>
      </c>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27.6" x14ac:dyDescent="0.25">
      <c r="A169" s="9" t="s">
        <v>426</v>
      </c>
      <c r="B169" s="16" t="s">
        <v>427</v>
      </c>
      <c r="C169" s="9" t="s">
        <v>64</v>
      </c>
    </row>
    <row r="170" spans="1:25" ht="13.8" x14ac:dyDescent="0.25">
      <c r="A170" s="9" t="s">
        <v>430</v>
      </c>
      <c r="B170" s="16" t="s">
        <v>1032</v>
      </c>
      <c r="C170" s="9" t="s">
        <v>14</v>
      </c>
    </row>
    <row r="171" spans="1:25" ht="13.8" x14ac:dyDescent="0.25">
      <c r="A171" s="9" t="s">
        <v>430</v>
      </c>
      <c r="B171" s="16" t="s">
        <v>433</v>
      </c>
      <c r="C171" s="9" t="s">
        <v>39</v>
      </c>
    </row>
    <row r="172" spans="1:25" ht="13.8" x14ac:dyDescent="0.25">
      <c r="A172" s="9" t="s">
        <v>430</v>
      </c>
      <c r="B172" s="16" t="s">
        <v>434</v>
      </c>
      <c r="C172" s="9" t="s">
        <v>19</v>
      </c>
      <c r="D172" s="9" t="s">
        <v>1033</v>
      </c>
    </row>
    <row r="173" spans="1:25" ht="13.8" x14ac:dyDescent="0.25">
      <c r="A173" s="9" t="s">
        <v>435</v>
      </c>
      <c r="B173" s="16" t="s">
        <v>436</v>
      </c>
      <c r="C173" s="9" t="s">
        <v>19</v>
      </c>
      <c r="D173" s="9" t="s">
        <v>1028</v>
      </c>
    </row>
    <row r="174" spans="1:25" ht="13.8" x14ac:dyDescent="0.25">
      <c r="A174" s="9" t="s">
        <v>437</v>
      </c>
      <c r="B174" s="16" t="s">
        <v>438</v>
      </c>
      <c r="C174" s="9" t="s">
        <v>14</v>
      </c>
    </row>
    <row r="175" spans="1:25" ht="13.8" x14ac:dyDescent="0.25">
      <c r="A175" s="9" t="s">
        <v>439</v>
      </c>
      <c r="B175" s="16" t="s">
        <v>440</v>
      </c>
      <c r="C175" s="9" t="s">
        <v>39</v>
      </c>
    </row>
    <row r="176" spans="1:25" ht="13.8" x14ac:dyDescent="0.25">
      <c r="A176" s="9" t="s">
        <v>441</v>
      </c>
      <c r="B176" s="16" t="s">
        <v>442</v>
      </c>
      <c r="C176" s="9" t="s">
        <v>1034</v>
      </c>
    </row>
    <row r="177" spans="1:4" ht="13.8" x14ac:dyDescent="0.25">
      <c r="A177" s="9" t="s">
        <v>444</v>
      </c>
      <c r="B177" s="16" t="s">
        <v>445</v>
      </c>
      <c r="C177" s="9" t="s">
        <v>19</v>
      </c>
      <c r="D177" s="9" t="s">
        <v>29</v>
      </c>
    </row>
    <row r="178" spans="1:4" ht="27.6" x14ac:dyDescent="0.25">
      <c r="A178" s="9" t="s">
        <v>447</v>
      </c>
      <c r="B178" s="16" t="s">
        <v>448</v>
      </c>
      <c r="C178" s="9" t="s">
        <v>14</v>
      </c>
    </row>
    <row r="179" spans="1:4" ht="27.6" x14ac:dyDescent="0.25">
      <c r="A179" s="9" t="s">
        <v>449</v>
      </c>
      <c r="B179" s="16" t="s">
        <v>450</v>
      </c>
      <c r="C179" s="9" t="s">
        <v>19</v>
      </c>
      <c r="D179" s="9" t="s">
        <v>1013</v>
      </c>
    </row>
    <row r="180" spans="1:4" ht="13.8" x14ac:dyDescent="0.25">
      <c r="A180" s="9" t="s">
        <v>452</v>
      </c>
      <c r="B180" s="16" t="s">
        <v>453</v>
      </c>
      <c r="C180" s="9" t="s">
        <v>44</v>
      </c>
    </row>
    <row r="181" spans="1:4" ht="13.8" x14ac:dyDescent="0.25">
      <c r="A181" s="9" t="s">
        <v>454</v>
      </c>
      <c r="B181" s="16" t="s">
        <v>455</v>
      </c>
      <c r="C181" s="9" t="s">
        <v>44</v>
      </c>
    </row>
    <row r="182" spans="1:4" ht="13.8" x14ac:dyDescent="0.25">
      <c r="A182" s="9" t="s">
        <v>456</v>
      </c>
      <c r="B182" s="16" t="s">
        <v>457</v>
      </c>
      <c r="C182" s="9" t="s">
        <v>44</v>
      </c>
      <c r="D182" s="9" t="s">
        <v>1035</v>
      </c>
    </row>
    <row r="183" spans="1:4" ht="27.6" x14ac:dyDescent="0.25">
      <c r="A183" s="9" t="s">
        <v>459</v>
      </c>
      <c r="B183" s="16" t="s">
        <v>460</v>
      </c>
      <c r="C183" s="9" t="s">
        <v>44</v>
      </c>
    </row>
    <row r="184" spans="1:4" ht="13.8" x14ac:dyDescent="0.25">
      <c r="A184" s="9" t="s">
        <v>462</v>
      </c>
      <c r="B184" s="16" t="s">
        <v>463</v>
      </c>
      <c r="C184" s="9" t="s">
        <v>19</v>
      </c>
      <c r="D184" s="9" t="s">
        <v>1036</v>
      </c>
    </row>
    <row r="185" spans="1:4" ht="27.6" x14ac:dyDescent="0.25">
      <c r="A185" s="9" t="s">
        <v>464</v>
      </c>
      <c r="B185" s="16" t="s">
        <v>465</v>
      </c>
      <c r="C185" s="9" t="s">
        <v>128</v>
      </c>
    </row>
    <row r="186" spans="1:4" ht="13.8" x14ac:dyDescent="0.25">
      <c r="A186" s="9" t="s">
        <v>466</v>
      </c>
      <c r="B186" s="16" t="s">
        <v>467</v>
      </c>
      <c r="C186" s="9" t="s">
        <v>59</v>
      </c>
    </row>
    <row r="187" spans="1:4" ht="13.8" x14ac:dyDescent="0.25">
      <c r="A187" s="9" t="s">
        <v>469</v>
      </c>
      <c r="B187" s="16" t="s">
        <v>470</v>
      </c>
      <c r="C187" s="9" t="s">
        <v>19</v>
      </c>
      <c r="D187" s="9" t="s">
        <v>1013</v>
      </c>
    </row>
    <row r="188" spans="1:4" ht="13.8" x14ac:dyDescent="0.25">
      <c r="A188" s="9" t="s">
        <v>472</v>
      </c>
      <c r="B188" s="16" t="s">
        <v>473</v>
      </c>
      <c r="C188" s="9" t="s">
        <v>14</v>
      </c>
    </row>
    <row r="189" spans="1:4" ht="13.8" x14ac:dyDescent="0.25">
      <c r="A189" s="9" t="s">
        <v>474</v>
      </c>
      <c r="B189" s="16" t="s">
        <v>475</v>
      </c>
      <c r="C189" s="9" t="s">
        <v>19</v>
      </c>
      <c r="D189" s="9" t="s">
        <v>29</v>
      </c>
    </row>
    <row r="190" spans="1:4" ht="27.6" x14ac:dyDescent="0.25">
      <c r="A190" s="9" t="s">
        <v>476</v>
      </c>
      <c r="B190" s="16" t="s">
        <v>477</v>
      </c>
      <c r="C190" s="9" t="s">
        <v>19</v>
      </c>
      <c r="D190" s="9" t="s">
        <v>104</v>
      </c>
    </row>
    <row r="191" spans="1:4" ht="13.8" x14ac:dyDescent="0.25">
      <c r="A191" s="9" t="s">
        <v>478</v>
      </c>
      <c r="B191" s="16" t="s">
        <v>479</v>
      </c>
      <c r="C191" s="9" t="s">
        <v>19</v>
      </c>
      <c r="D191" s="9" t="s">
        <v>104</v>
      </c>
    </row>
    <row r="192" spans="1:4" ht="13.8" x14ac:dyDescent="0.25">
      <c r="A192" s="9" t="s">
        <v>480</v>
      </c>
      <c r="B192" s="16" t="s">
        <v>481</v>
      </c>
      <c r="C192" s="9" t="s">
        <v>19</v>
      </c>
      <c r="D192" s="9" t="s">
        <v>29</v>
      </c>
    </row>
    <row r="193" spans="1:4" ht="13.8" x14ac:dyDescent="0.25">
      <c r="A193" s="9" t="s">
        <v>482</v>
      </c>
      <c r="B193" s="16" t="s">
        <v>483</v>
      </c>
      <c r="C193" s="9" t="s">
        <v>19</v>
      </c>
      <c r="D193" s="9" t="s">
        <v>1028</v>
      </c>
    </row>
    <row r="194" spans="1:4" ht="41.4" x14ac:dyDescent="0.25">
      <c r="A194" s="9" t="s">
        <v>484</v>
      </c>
      <c r="B194" s="19" t="s">
        <v>1152</v>
      </c>
      <c r="C194" s="9" t="s">
        <v>14</v>
      </c>
    </row>
    <row r="195" spans="1:4" ht="13.8" x14ac:dyDescent="0.25">
      <c r="A195" s="9" t="s">
        <v>485</v>
      </c>
      <c r="B195" s="16" t="s">
        <v>486</v>
      </c>
      <c r="C195" s="9" t="s">
        <v>19</v>
      </c>
      <c r="D195" s="9" t="s">
        <v>104</v>
      </c>
    </row>
    <row r="196" spans="1:4" ht="13.8" x14ac:dyDescent="0.25">
      <c r="A196" s="9" t="s">
        <v>489</v>
      </c>
      <c r="B196" s="16" t="s">
        <v>490</v>
      </c>
      <c r="C196" s="9" t="s">
        <v>44</v>
      </c>
      <c r="D196" s="9" t="s">
        <v>1037</v>
      </c>
    </row>
    <row r="197" spans="1:4" ht="13.8" x14ac:dyDescent="0.25">
      <c r="A197" s="9" t="s">
        <v>491</v>
      </c>
      <c r="B197" s="16" t="s">
        <v>492</v>
      </c>
      <c r="C197" s="9" t="s">
        <v>19</v>
      </c>
      <c r="D197" s="9" t="s">
        <v>1038</v>
      </c>
    </row>
    <row r="198" spans="1:4" ht="13.8" x14ac:dyDescent="0.25">
      <c r="A198" s="9" t="s">
        <v>493</v>
      </c>
      <c r="B198" s="16" t="s">
        <v>494</v>
      </c>
      <c r="C198" s="9" t="s">
        <v>19</v>
      </c>
      <c r="D198" s="9" t="s">
        <v>104</v>
      </c>
    </row>
    <row r="199" spans="1:4" ht="13.8" x14ac:dyDescent="0.25">
      <c r="A199" s="9" t="s">
        <v>495</v>
      </c>
      <c r="B199" s="16" t="s">
        <v>496</v>
      </c>
      <c r="C199" s="9" t="s">
        <v>10</v>
      </c>
    </row>
    <row r="200" spans="1:4" ht="13.8" x14ac:dyDescent="0.25">
      <c r="A200" s="9" t="s">
        <v>495</v>
      </c>
      <c r="B200" s="16" t="s">
        <v>497</v>
      </c>
      <c r="C200" s="9" t="s">
        <v>19</v>
      </c>
      <c r="D200" s="9" t="s">
        <v>29</v>
      </c>
    </row>
    <row r="201" spans="1:4" ht="27.6" x14ac:dyDescent="0.25">
      <c r="A201" s="9" t="s">
        <v>498</v>
      </c>
      <c r="B201" s="16" t="s">
        <v>499</v>
      </c>
      <c r="C201" s="9" t="s">
        <v>19</v>
      </c>
      <c r="D201" s="9" t="s">
        <v>29</v>
      </c>
    </row>
    <row r="202" spans="1:4" ht="13.8" x14ac:dyDescent="0.25">
      <c r="A202" s="9" t="s">
        <v>502</v>
      </c>
      <c r="B202" s="16" t="s">
        <v>503</v>
      </c>
      <c r="C202" s="9" t="s">
        <v>19</v>
      </c>
      <c r="D202" s="9" t="s">
        <v>1039</v>
      </c>
    </row>
    <row r="203" spans="1:4" ht="13.8" x14ac:dyDescent="0.25">
      <c r="A203" s="9" t="s">
        <v>502</v>
      </c>
      <c r="B203" s="16" t="s">
        <v>504</v>
      </c>
      <c r="C203" s="9" t="s">
        <v>39</v>
      </c>
      <c r="D203" s="9" t="s">
        <v>1040</v>
      </c>
    </row>
    <row r="204" spans="1:4" ht="13.8" x14ac:dyDescent="0.25">
      <c r="A204" s="24" t="s">
        <v>502</v>
      </c>
      <c r="B204" s="16" t="s">
        <v>505</v>
      </c>
      <c r="C204" s="9" t="s">
        <v>19</v>
      </c>
      <c r="D204" s="9" t="s">
        <v>1041</v>
      </c>
    </row>
    <row r="205" spans="1:4" ht="13.8" x14ac:dyDescent="0.25">
      <c r="A205" s="24" t="s">
        <v>502</v>
      </c>
      <c r="B205" s="16" t="s">
        <v>506</v>
      </c>
      <c r="C205" s="9" t="s">
        <v>59</v>
      </c>
    </row>
    <row r="206" spans="1:4" ht="13.8" x14ac:dyDescent="0.25">
      <c r="A206" s="9" t="s">
        <v>507</v>
      </c>
      <c r="B206" s="16" t="s">
        <v>508</v>
      </c>
      <c r="C206" s="9" t="s">
        <v>14</v>
      </c>
      <c r="D206" s="9" t="s">
        <v>1042</v>
      </c>
    </row>
    <row r="207" spans="1:4" ht="13.8" x14ac:dyDescent="0.25">
      <c r="A207" s="9" t="s">
        <v>509</v>
      </c>
      <c r="B207" s="16" t="s">
        <v>510</v>
      </c>
      <c r="C207" s="9" t="s">
        <v>39</v>
      </c>
    </row>
    <row r="208" spans="1:4" ht="13.8" x14ac:dyDescent="0.25">
      <c r="A208" s="9" t="s">
        <v>513</v>
      </c>
      <c r="B208" s="16" t="s">
        <v>514</v>
      </c>
      <c r="C208" s="9" t="s">
        <v>19</v>
      </c>
      <c r="D208" s="9" t="s">
        <v>29</v>
      </c>
    </row>
    <row r="209" spans="1:25" ht="14.25" customHeight="1" x14ac:dyDescent="0.25">
      <c r="A209" s="9" t="s">
        <v>513</v>
      </c>
      <c r="B209" s="16" t="s">
        <v>515</v>
      </c>
      <c r="C209" s="9" t="s">
        <v>204</v>
      </c>
    </row>
    <row r="210" spans="1:25" ht="27.6" x14ac:dyDescent="0.25">
      <c r="A210" s="9" t="s">
        <v>516</v>
      </c>
      <c r="B210" s="16" t="s">
        <v>517</v>
      </c>
      <c r="C210" s="9" t="s">
        <v>19</v>
      </c>
      <c r="D210" s="9" t="s">
        <v>1010</v>
      </c>
    </row>
    <row r="211" spans="1:25" ht="13.8" x14ac:dyDescent="0.25">
      <c r="A211" s="9" t="s">
        <v>518</v>
      </c>
      <c r="B211" s="16" t="s">
        <v>519</v>
      </c>
      <c r="C211" s="9" t="s">
        <v>19</v>
      </c>
      <c r="D211" s="9" t="s">
        <v>1043</v>
      </c>
    </row>
    <row r="212" spans="1:25" ht="27.6" x14ac:dyDescent="0.25">
      <c r="A212" s="9" t="s">
        <v>521</v>
      </c>
      <c r="B212" s="16" t="s">
        <v>522</v>
      </c>
      <c r="C212" s="9" t="s">
        <v>19</v>
      </c>
      <c r="D212" s="9" t="s">
        <v>29</v>
      </c>
    </row>
    <row r="213" spans="1:25" ht="13.8" x14ac:dyDescent="0.25">
      <c r="A213" s="9" t="s">
        <v>523</v>
      </c>
      <c r="B213" s="16" t="s">
        <v>524</v>
      </c>
      <c r="C213" s="9" t="s">
        <v>19</v>
      </c>
      <c r="D213" s="9" t="s">
        <v>29</v>
      </c>
    </row>
    <row r="214" spans="1:25" ht="13.8" x14ac:dyDescent="0.25">
      <c r="A214" s="9" t="s">
        <v>525</v>
      </c>
      <c r="B214" s="16" t="s">
        <v>526</v>
      </c>
      <c r="C214" s="9" t="s">
        <v>19</v>
      </c>
      <c r="D214" s="9" t="s">
        <v>1044</v>
      </c>
    </row>
    <row r="215" spans="1:25" ht="13.8" x14ac:dyDescent="0.25">
      <c r="A215" s="9" t="s">
        <v>527</v>
      </c>
      <c r="B215" s="16" t="s">
        <v>528</v>
      </c>
      <c r="C215" s="9" t="s">
        <v>39</v>
      </c>
      <c r="D215" s="9" t="s">
        <v>1045</v>
      </c>
    </row>
    <row r="216" spans="1:25" ht="27.6" x14ac:dyDescent="0.25">
      <c r="A216" s="9" t="s">
        <v>529</v>
      </c>
      <c r="B216" s="16" t="s">
        <v>530</v>
      </c>
      <c r="C216" s="9" t="s">
        <v>44</v>
      </c>
      <c r="D216" s="9" t="s">
        <v>1046</v>
      </c>
    </row>
    <row r="217" spans="1:25" ht="13.8" x14ac:dyDescent="0.25">
      <c r="A217" s="9" t="s">
        <v>529</v>
      </c>
      <c r="B217" s="16" t="s">
        <v>532</v>
      </c>
      <c r="C217" s="9" t="s">
        <v>59</v>
      </c>
      <c r="D217" s="9" t="s">
        <v>1047</v>
      </c>
    </row>
    <row r="218" spans="1:25" ht="13.8" x14ac:dyDescent="0.25">
      <c r="A218" s="9" t="s">
        <v>533</v>
      </c>
      <c r="B218" s="16" t="s">
        <v>534</v>
      </c>
      <c r="C218" s="9" t="s">
        <v>19</v>
      </c>
      <c r="D218" s="9" t="s">
        <v>1010</v>
      </c>
    </row>
    <row r="219" spans="1:25" ht="13.8" x14ac:dyDescent="0.25">
      <c r="A219" s="9" t="s">
        <v>535</v>
      </c>
      <c r="B219" s="16" t="s">
        <v>536</v>
      </c>
      <c r="C219" s="9" t="s">
        <v>19</v>
      </c>
      <c r="D219" s="9" t="s">
        <v>29</v>
      </c>
    </row>
    <row r="220" spans="1:25" ht="13.8" x14ac:dyDescent="0.25">
      <c r="A220" s="20" t="s">
        <v>537</v>
      </c>
      <c r="B220" s="21" t="s">
        <v>538</v>
      </c>
      <c r="C220" s="20" t="s">
        <v>19</v>
      </c>
      <c r="D220" s="20" t="s">
        <v>1048</v>
      </c>
      <c r="E220" s="20"/>
      <c r="F220" s="20"/>
      <c r="G220" s="20"/>
      <c r="H220" s="20"/>
      <c r="I220" s="20"/>
      <c r="J220" s="20"/>
      <c r="K220" s="20"/>
      <c r="L220" s="20"/>
      <c r="M220" s="20"/>
      <c r="N220" s="20"/>
      <c r="O220" s="20"/>
      <c r="P220" s="20"/>
      <c r="Q220" s="20"/>
      <c r="R220" s="20"/>
      <c r="S220" s="20"/>
      <c r="T220" s="20"/>
      <c r="U220" s="20"/>
      <c r="V220" s="20"/>
      <c r="W220" s="20"/>
      <c r="X220" s="20"/>
      <c r="Y220" s="20"/>
    </row>
    <row r="221" spans="1:25" ht="13.8" x14ac:dyDescent="0.25">
      <c r="A221" s="9" t="s">
        <v>540</v>
      </c>
      <c r="B221" s="16" t="s">
        <v>541</v>
      </c>
      <c r="C221" s="9" t="s">
        <v>14</v>
      </c>
    </row>
    <row r="222" spans="1:25" ht="13.8" x14ac:dyDescent="0.25">
      <c r="A222" s="22" t="s">
        <v>542</v>
      </c>
      <c r="B222" s="23" t="s">
        <v>543</v>
      </c>
      <c r="C222" s="9" t="s">
        <v>544</v>
      </c>
      <c r="D222" s="22"/>
      <c r="E222" s="22"/>
      <c r="F222" s="22"/>
      <c r="G222" s="22"/>
      <c r="H222" s="22"/>
      <c r="I222" s="22"/>
      <c r="J222" s="22"/>
      <c r="K222" s="22"/>
      <c r="L222" s="22"/>
      <c r="M222" s="22"/>
      <c r="N222" s="22"/>
      <c r="O222" s="22"/>
      <c r="P222" s="22"/>
      <c r="Q222" s="22"/>
      <c r="R222" s="22"/>
      <c r="S222" s="22"/>
      <c r="T222" s="22"/>
      <c r="U222" s="22"/>
      <c r="V222" s="22"/>
      <c r="W222" s="22"/>
      <c r="X222" s="22"/>
      <c r="Y222" s="22"/>
    </row>
    <row r="223" spans="1:25" ht="27.6" x14ac:dyDescent="0.25">
      <c r="A223" s="22" t="s">
        <v>547</v>
      </c>
      <c r="B223" s="23" t="s">
        <v>548</v>
      </c>
      <c r="C223" s="22" t="s">
        <v>19</v>
      </c>
      <c r="D223" s="22" t="s">
        <v>1049</v>
      </c>
      <c r="E223" s="22"/>
      <c r="F223" s="22"/>
      <c r="G223" s="22"/>
      <c r="H223" s="22"/>
      <c r="I223" s="22"/>
      <c r="J223" s="22"/>
      <c r="K223" s="22"/>
      <c r="L223" s="22"/>
      <c r="M223" s="22"/>
      <c r="N223" s="22"/>
      <c r="O223" s="22"/>
      <c r="P223" s="22"/>
      <c r="Q223" s="22"/>
      <c r="R223" s="22"/>
      <c r="S223" s="22"/>
      <c r="T223" s="22"/>
      <c r="U223" s="22"/>
      <c r="V223" s="22"/>
      <c r="W223" s="22"/>
      <c r="X223" s="22"/>
      <c r="Y223" s="22"/>
    </row>
    <row r="224" spans="1:25" ht="27.6" x14ac:dyDescent="0.25">
      <c r="A224" s="9" t="s">
        <v>550</v>
      </c>
      <c r="B224" s="16" t="s">
        <v>551</v>
      </c>
      <c r="C224" s="9" t="s">
        <v>19</v>
      </c>
      <c r="D224" s="9" t="s">
        <v>1049</v>
      </c>
    </row>
    <row r="225" spans="1:4" ht="27.6" x14ac:dyDescent="0.25">
      <c r="A225" s="9" t="s">
        <v>553</v>
      </c>
      <c r="B225" s="16" t="s">
        <v>554</v>
      </c>
      <c r="C225" s="9" t="s">
        <v>19</v>
      </c>
      <c r="D225" s="9" t="s">
        <v>1050</v>
      </c>
    </row>
    <row r="226" spans="1:4" ht="13.8" x14ac:dyDescent="0.25">
      <c r="A226" s="9" t="s">
        <v>557</v>
      </c>
      <c r="B226" s="16" t="s">
        <v>558</v>
      </c>
      <c r="C226" s="9" t="s">
        <v>19</v>
      </c>
      <c r="D226" s="9" t="s">
        <v>1051</v>
      </c>
    </row>
    <row r="227" spans="1:4" ht="13.8" x14ac:dyDescent="0.25">
      <c r="A227" s="9" t="s">
        <v>560</v>
      </c>
      <c r="B227" s="16" t="s">
        <v>561</v>
      </c>
      <c r="C227" s="9" t="s">
        <v>39</v>
      </c>
      <c r="D227" s="9" t="s">
        <v>1052</v>
      </c>
    </row>
    <row r="228" spans="1:4" ht="27.6" x14ac:dyDescent="0.25">
      <c r="A228" s="9" t="s">
        <v>560</v>
      </c>
      <c r="B228" s="16" t="s">
        <v>562</v>
      </c>
      <c r="C228" s="9" t="s">
        <v>19</v>
      </c>
      <c r="D228" s="9" t="s">
        <v>29</v>
      </c>
    </row>
    <row r="229" spans="1:4" ht="27.6" x14ac:dyDescent="0.25">
      <c r="A229" s="9" t="s">
        <v>563</v>
      </c>
      <c r="B229" s="16" t="s">
        <v>564</v>
      </c>
      <c r="C229" s="9" t="s">
        <v>19</v>
      </c>
      <c r="D229" s="9" t="s">
        <v>29</v>
      </c>
    </row>
    <row r="230" spans="1:4" ht="13.8" x14ac:dyDescent="0.25">
      <c r="A230" s="9" t="s">
        <v>565</v>
      </c>
      <c r="B230" s="19" t="s">
        <v>566</v>
      </c>
      <c r="C230" s="9" t="s">
        <v>19</v>
      </c>
      <c r="D230" s="9" t="s">
        <v>1029</v>
      </c>
    </row>
    <row r="231" spans="1:4" ht="27.6" x14ac:dyDescent="0.25">
      <c r="A231" s="9" t="s">
        <v>567</v>
      </c>
      <c r="B231" s="16" t="s">
        <v>568</v>
      </c>
      <c r="C231" s="9" t="s">
        <v>44</v>
      </c>
    </row>
    <row r="232" spans="1:4" ht="27.6" x14ac:dyDescent="0.25">
      <c r="A232" s="9" t="s">
        <v>569</v>
      </c>
      <c r="B232" s="19" t="s">
        <v>1153</v>
      </c>
      <c r="C232" s="9" t="s">
        <v>10</v>
      </c>
    </row>
    <row r="233" spans="1:4" ht="13.8" x14ac:dyDescent="0.25">
      <c r="A233" s="9" t="s">
        <v>571</v>
      </c>
      <c r="B233" s="16" t="s">
        <v>572</v>
      </c>
      <c r="C233" s="9" t="s">
        <v>19</v>
      </c>
      <c r="D233" s="9" t="s">
        <v>29</v>
      </c>
    </row>
    <row r="234" spans="1:4" ht="13.8" x14ac:dyDescent="0.25">
      <c r="A234" s="9" t="s">
        <v>573</v>
      </c>
      <c r="B234" s="16" t="s">
        <v>574</v>
      </c>
      <c r="C234" s="9" t="s">
        <v>39</v>
      </c>
      <c r="D234" s="9" t="s">
        <v>1053</v>
      </c>
    </row>
    <row r="235" spans="1:4" ht="13.8" x14ac:dyDescent="0.25">
      <c r="A235" s="9" t="s">
        <v>576</v>
      </c>
      <c r="B235" s="16" t="s">
        <v>577</v>
      </c>
      <c r="C235" s="9" t="s">
        <v>39</v>
      </c>
      <c r="D235" s="9" t="s">
        <v>1054</v>
      </c>
    </row>
    <row r="236" spans="1:4" ht="13.8" x14ac:dyDescent="0.25">
      <c r="A236" s="9" t="s">
        <v>578</v>
      </c>
      <c r="B236" s="16" t="s">
        <v>579</v>
      </c>
      <c r="C236" s="9" t="s">
        <v>24</v>
      </c>
    </row>
    <row r="237" spans="1:4" ht="13.8" x14ac:dyDescent="0.25">
      <c r="A237" s="9" t="s">
        <v>580</v>
      </c>
      <c r="B237" s="16" t="s">
        <v>581</v>
      </c>
      <c r="C237" s="9" t="s">
        <v>19</v>
      </c>
      <c r="D237" s="9" t="s">
        <v>104</v>
      </c>
    </row>
    <row r="238" spans="1:4" ht="41.4" x14ac:dyDescent="0.25">
      <c r="A238" s="9" t="s">
        <v>582</v>
      </c>
      <c r="B238" s="16" t="s">
        <v>583</v>
      </c>
      <c r="C238" s="9" t="s">
        <v>19</v>
      </c>
      <c r="D238" s="9" t="s">
        <v>29</v>
      </c>
    </row>
    <row r="239" spans="1:4" ht="41.4" x14ac:dyDescent="0.25">
      <c r="A239" s="9" t="s">
        <v>584</v>
      </c>
      <c r="B239" s="16" t="s">
        <v>585</v>
      </c>
      <c r="C239" s="9" t="s">
        <v>19</v>
      </c>
      <c r="D239" s="9" t="s">
        <v>1010</v>
      </c>
    </row>
    <row r="240" spans="1:4" ht="13.8" x14ac:dyDescent="0.25">
      <c r="A240" s="9" t="s">
        <v>587</v>
      </c>
      <c r="B240" s="16" t="s">
        <v>588</v>
      </c>
      <c r="C240" s="9" t="s">
        <v>19</v>
      </c>
      <c r="D240" s="9" t="s">
        <v>1010</v>
      </c>
    </row>
    <row r="241" spans="1:4" ht="27.6" x14ac:dyDescent="0.25">
      <c r="A241" s="9" t="s">
        <v>589</v>
      </c>
      <c r="B241" s="16" t="s">
        <v>590</v>
      </c>
      <c r="C241" s="9" t="s">
        <v>44</v>
      </c>
    </row>
    <row r="242" spans="1:4" ht="41.4" x14ac:dyDescent="0.25">
      <c r="A242" s="9" t="s">
        <v>591</v>
      </c>
      <c r="B242" s="16" t="s">
        <v>1055</v>
      </c>
      <c r="C242" s="9" t="s">
        <v>19</v>
      </c>
      <c r="D242" s="9" t="s">
        <v>1056</v>
      </c>
    </row>
    <row r="243" spans="1:4" ht="13.8" x14ac:dyDescent="0.25">
      <c r="A243" s="9" t="s">
        <v>593</v>
      </c>
      <c r="B243" s="16" t="s">
        <v>594</v>
      </c>
      <c r="C243" s="9" t="s">
        <v>44</v>
      </c>
    </row>
    <row r="244" spans="1:4" ht="27.6" x14ac:dyDescent="0.25">
      <c r="A244" s="9" t="s">
        <v>596</v>
      </c>
      <c r="B244" s="16" t="s">
        <v>597</v>
      </c>
      <c r="C244" s="9" t="s">
        <v>19</v>
      </c>
      <c r="D244" s="9" t="s">
        <v>1057</v>
      </c>
    </row>
    <row r="245" spans="1:4" ht="27.6" x14ac:dyDescent="0.25">
      <c r="A245" s="9" t="s">
        <v>596</v>
      </c>
      <c r="B245" s="16" t="s">
        <v>598</v>
      </c>
      <c r="C245" s="9" t="s">
        <v>19</v>
      </c>
      <c r="D245" s="9" t="s">
        <v>1057</v>
      </c>
    </row>
    <row r="246" spans="1:4" ht="13.8" x14ac:dyDescent="0.25">
      <c r="A246" s="9" t="s">
        <v>599</v>
      </c>
      <c r="B246" s="16" t="s">
        <v>600</v>
      </c>
      <c r="C246" s="9" t="s">
        <v>24</v>
      </c>
    </row>
    <row r="247" spans="1:4" ht="13.8" x14ac:dyDescent="0.25">
      <c r="A247" s="9" t="s">
        <v>599</v>
      </c>
      <c r="B247" s="16" t="s">
        <v>602</v>
      </c>
      <c r="C247" s="9" t="s">
        <v>24</v>
      </c>
    </row>
    <row r="248" spans="1:4" ht="27.6" x14ac:dyDescent="0.25">
      <c r="A248" s="9" t="s">
        <v>603</v>
      </c>
      <c r="B248" s="16" t="s">
        <v>604</v>
      </c>
      <c r="C248" s="9" t="s">
        <v>19</v>
      </c>
      <c r="D248" s="9" t="s">
        <v>104</v>
      </c>
    </row>
    <row r="249" spans="1:4" ht="69" x14ac:dyDescent="0.25">
      <c r="A249" s="9" t="s">
        <v>605</v>
      </c>
      <c r="B249" s="16" t="s">
        <v>606</v>
      </c>
      <c r="C249" s="9" t="s">
        <v>10</v>
      </c>
    </row>
    <row r="250" spans="1:4" ht="82.8" x14ac:dyDescent="0.25">
      <c r="A250" s="9" t="s">
        <v>605</v>
      </c>
      <c r="B250" s="16" t="s">
        <v>607</v>
      </c>
      <c r="C250" s="9" t="s">
        <v>10</v>
      </c>
    </row>
    <row r="251" spans="1:4" ht="41.4" x14ac:dyDescent="0.25">
      <c r="A251" s="9" t="s">
        <v>605</v>
      </c>
      <c r="B251" s="16" t="s">
        <v>608</v>
      </c>
      <c r="C251" s="9" t="s">
        <v>10</v>
      </c>
      <c r="D251" s="9" t="s">
        <v>1058</v>
      </c>
    </row>
    <row r="252" spans="1:4" ht="27.6" x14ac:dyDescent="0.25">
      <c r="A252" s="9" t="s">
        <v>610</v>
      </c>
      <c r="B252" s="16" t="s">
        <v>611</v>
      </c>
      <c r="C252" s="9" t="s">
        <v>19</v>
      </c>
      <c r="D252" s="9" t="s">
        <v>1010</v>
      </c>
    </row>
    <row r="253" spans="1:4" ht="13.8" x14ac:dyDescent="0.25">
      <c r="A253" s="9" t="s">
        <v>612</v>
      </c>
      <c r="B253" s="16" t="s">
        <v>613</v>
      </c>
      <c r="C253" s="9" t="s">
        <v>69</v>
      </c>
      <c r="D253" s="9" t="s">
        <v>1059</v>
      </c>
    </row>
    <row r="254" spans="1:4" ht="27.6" x14ac:dyDescent="0.25">
      <c r="A254" s="9" t="s">
        <v>615</v>
      </c>
      <c r="B254" s="16" t="s">
        <v>616</v>
      </c>
      <c r="C254" s="9" t="s">
        <v>617</v>
      </c>
      <c r="D254" s="9" t="s">
        <v>1060</v>
      </c>
    </row>
    <row r="255" spans="1:4" ht="13.8" x14ac:dyDescent="0.25">
      <c r="A255" s="9" t="s">
        <v>618</v>
      </c>
      <c r="B255" s="16" t="s">
        <v>619</v>
      </c>
      <c r="C255" s="9" t="s">
        <v>19</v>
      </c>
      <c r="D255" s="9" t="s">
        <v>29</v>
      </c>
    </row>
    <row r="256" spans="1:4" ht="27.6" x14ac:dyDescent="0.25">
      <c r="A256" s="9" t="s">
        <v>620</v>
      </c>
      <c r="B256" s="16" t="s">
        <v>621</v>
      </c>
      <c r="C256" s="9" t="s">
        <v>19</v>
      </c>
      <c r="D256" s="9" t="s">
        <v>29</v>
      </c>
    </row>
    <row r="257" spans="1:25" ht="13.8" x14ac:dyDescent="0.25">
      <c r="A257" s="9" t="s">
        <v>622</v>
      </c>
      <c r="B257" s="16" t="s">
        <v>623</v>
      </c>
      <c r="C257" s="9" t="s">
        <v>19</v>
      </c>
      <c r="D257" s="9" t="s">
        <v>104</v>
      </c>
    </row>
    <row r="258" spans="1:25" ht="13.8" x14ac:dyDescent="0.25">
      <c r="A258" s="9" t="s">
        <v>625</v>
      </c>
      <c r="B258" s="16" t="s">
        <v>29</v>
      </c>
      <c r="C258" s="9" t="s">
        <v>19</v>
      </c>
    </row>
    <row r="259" spans="1:25" ht="13.8" x14ac:dyDescent="0.25">
      <c r="A259" s="9" t="s">
        <v>627</v>
      </c>
      <c r="B259" s="16" t="s">
        <v>628</v>
      </c>
      <c r="C259" s="9" t="s">
        <v>14</v>
      </c>
    </row>
    <row r="260" spans="1:25" ht="13.8" x14ac:dyDescent="0.25">
      <c r="A260" s="9" t="s">
        <v>629</v>
      </c>
      <c r="B260" s="16" t="s">
        <v>630</v>
      </c>
      <c r="C260" s="9" t="s">
        <v>19</v>
      </c>
      <c r="D260" s="9" t="s">
        <v>29</v>
      </c>
    </row>
    <row r="261" spans="1:25" ht="13.8" x14ac:dyDescent="0.25">
      <c r="A261" s="9" t="s">
        <v>629</v>
      </c>
      <c r="B261" s="16" t="s">
        <v>631</v>
      </c>
      <c r="C261" s="9" t="s">
        <v>19</v>
      </c>
      <c r="D261" s="9" t="s">
        <v>29</v>
      </c>
    </row>
    <row r="262" spans="1:25" ht="13.8" x14ac:dyDescent="0.25">
      <c r="A262" s="9" t="s">
        <v>632</v>
      </c>
      <c r="B262" s="16" t="s">
        <v>633</v>
      </c>
      <c r="C262" s="9" t="s">
        <v>19</v>
      </c>
      <c r="D262" s="9" t="s">
        <v>104</v>
      </c>
    </row>
    <row r="263" spans="1:25" ht="13.8" x14ac:dyDescent="0.25">
      <c r="A263" s="9" t="s">
        <v>634</v>
      </c>
      <c r="B263" s="16" t="s">
        <v>635</v>
      </c>
      <c r="C263" s="9" t="s">
        <v>64</v>
      </c>
    </row>
    <row r="264" spans="1:25" ht="27.6" x14ac:dyDescent="0.25">
      <c r="A264" s="9" t="s">
        <v>636</v>
      </c>
      <c r="B264" s="16" t="s">
        <v>637</v>
      </c>
      <c r="C264" s="9" t="s">
        <v>14</v>
      </c>
    </row>
    <row r="265" spans="1:25" ht="13.8" x14ac:dyDescent="0.25">
      <c r="A265" s="9" t="s">
        <v>639</v>
      </c>
      <c r="B265" s="16" t="s">
        <v>640</v>
      </c>
      <c r="C265" s="9" t="s">
        <v>14</v>
      </c>
    </row>
    <row r="266" spans="1:25" ht="13.8" x14ac:dyDescent="0.25">
      <c r="A266" s="9" t="s">
        <v>641</v>
      </c>
      <c r="B266" s="16" t="s">
        <v>642</v>
      </c>
      <c r="C266" s="9" t="s">
        <v>19</v>
      </c>
      <c r="D266" s="9" t="s">
        <v>104</v>
      </c>
    </row>
    <row r="267" spans="1:25" ht="13.8" x14ac:dyDescent="0.25">
      <c r="A267" s="9" t="s">
        <v>643</v>
      </c>
      <c r="B267" s="16" t="s">
        <v>644</v>
      </c>
      <c r="C267" s="9" t="s">
        <v>19</v>
      </c>
      <c r="D267" s="9" t="s">
        <v>104</v>
      </c>
    </row>
    <row r="268" spans="1:25" ht="13.8" x14ac:dyDescent="0.25">
      <c r="A268" s="9" t="s">
        <v>646</v>
      </c>
      <c r="B268" s="16" t="s">
        <v>647</v>
      </c>
      <c r="C268" s="9" t="s">
        <v>24</v>
      </c>
    </row>
    <row r="269" spans="1:25" ht="13.8" x14ac:dyDescent="0.25">
      <c r="A269" s="9" t="s">
        <v>648</v>
      </c>
      <c r="B269" s="16" t="s">
        <v>649</v>
      </c>
      <c r="C269" s="9" t="s">
        <v>24</v>
      </c>
    </row>
    <row r="270" spans="1:25" ht="27.6" x14ac:dyDescent="0.25">
      <c r="A270" s="20" t="s">
        <v>651</v>
      </c>
      <c r="B270" s="21" t="s">
        <v>652</v>
      </c>
      <c r="C270" s="21" t="s">
        <v>24</v>
      </c>
      <c r="D270" s="20"/>
      <c r="E270" s="20"/>
      <c r="F270" s="20"/>
      <c r="G270" s="20"/>
      <c r="H270" s="20"/>
      <c r="I270" s="20"/>
      <c r="J270" s="20"/>
      <c r="K270" s="20"/>
      <c r="L270" s="20"/>
      <c r="M270" s="20"/>
      <c r="N270" s="20"/>
      <c r="O270" s="20"/>
      <c r="P270" s="20"/>
      <c r="Q270" s="20"/>
      <c r="R270" s="20"/>
      <c r="S270" s="20"/>
      <c r="T270" s="20"/>
      <c r="U270" s="20"/>
      <c r="V270" s="20"/>
      <c r="W270" s="20"/>
      <c r="X270" s="20"/>
      <c r="Y270" s="20"/>
    </row>
    <row r="271" spans="1:25" ht="13.8" x14ac:dyDescent="0.25">
      <c r="A271" s="22" t="s">
        <v>653</v>
      </c>
      <c r="B271" s="23" t="s">
        <v>654</v>
      </c>
      <c r="C271" s="9" t="s">
        <v>39</v>
      </c>
      <c r="D271" s="22" t="s">
        <v>40</v>
      </c>
      <c r="E271" s="22"/>
      <c r="F271" s="22"/>
      <c r="G271" s="22"/>
      <c r="H271" s="22"/>
      <c r="I271" s="22"/>
      <c r="J271" s="22"/>
      <c r="K271" s="22"/>
      <c r="L271" s="22"/>
      <c r="M271" s="22"/>
      <c r="N271" s="22"/>
      <c r="O271" s="22"/>
      <c r="P271" s="22"/>
      <c r="Q271" s="22"/>
      <c r="R271" s="22"/>
      <c r="S271" s="22"/>
      <c r="T271" s="22"/>
      <c r="U271" s="22"/>
      <c r="V271" s="22"/>
      <c r="W271" s="22"/>
      <c r="X271" s="22"/>
      <c r="Y271" s="22"/>
    </row>
    <row r="272" spans="1:25" ht="13.8" x14ac:dyDescent="0.25">
      <c r="A272" s="22" t="s">
        <v>653</v>
      </c>
      <c r="B272" s="23" t="s">
        <v>655</v>
      </c>
      <c r="C272" s="22" t="s">
        <v>19</v>
      </c>
      <c r="D272" s="22" t="s">
        <v>29</v>
      </c>
      <c r="E272" s="22"/>
      <c r="F272" s="22"/>
      <c r="G272" s="22"/>
      <c r="H272" s="22"/>
      <c r="I272" s="22"/>
      <c r="J272" s="22"/>
      <c r="K272" s="22"/>
      <c r="L272" s="22"/>
      <c r="M272" s="22"/>
      <c r="N272" s="22"/>
      <c r="O272" s="22"/>
      <c r="P272" s="22"/>
      <c r="Q272" s="22"/>
      <c r="R272" s="22"/>
      <c r="S272" s="22"/>
      <c r="T272" s="22"/>
      <c r="U272" s="22"/>
      <c r="V272" s="22"/>
      <c r="W272" s="22"/>
      <c r="X272" s="22"/>
      <c r="Y272" s="22"/>
    </row>
    <row r="273" spans="1:25" ht="13.8" x14ac:dyDescent="0.25">
      <c r="A273" s="22" t="s">
        <v>656</v>
      </c>
      <c r="B273" s="23" t="s">
        <v>657</v>
      </c>
      <c r="C273" s="22" t="s">
        <v>19</v>
      </c>
      <c r="D273" s="22" t="s">
        <v>1061</v>
      </c>
      <c r="E273" s="22"/>
      <c r="F273" s="22"/>
      <c r="G273" s="22"/>
      <c r="H273" s="22"/>
      <c r="I273" s="22"/>
      <c r="J273" s="22"/>
      <c r="K273" s="22"/>
      <c r="L273" s="22"/>
      <c r="M273" s="22"/>
      <c r="N273" s="22"/>
      <c r="O273" s="22"/>
      <c r="P273" s="22"/>
      <c r="Q273" s="22"/>
      <c r="R273" s="22"/>
      <c r="S273" s="22"/>
      <c r="T273" s="22"/>
      <c r="U273" s="22"/>
      <c r="V273" s="22"/>
      <c r="W273" s="22"/>
      <c r="X273" s="22"/>
      <c r="Y273" s="22"/>
    </row>
    <row r="274" spans="1:25" ht="13.8" x14ac:dyDescent="0.25">
      <c r="A274" s="9" t="s">
        <v>658</v>
      </c>
      <c r="B274" s="16" t="s">
        <v>659</v>
      </c>
      <c r="C274" s="9" t="s">
        <v>19</v>
      </c>
      <c r="D274" s="9" t="s">
        <v>29</v>
      </c>
    </row>
    <row r="275" spans="1:25" ht="13.8" x14ac:dyDescent="0.25">
      <c r="A275" s="9" t="s">
        <v>661</v>
      </c>
      <c r="B275" s="16" t="s">
        <v>662</v>
      </c>
      <c r="C275" s="9" t="s">
        <v>39</v>
      </c>
    </row>
    <row r="276" spans="1:25" ht="13.8" x14ac:dyDescent="0.25">
      <c r="A276" s="9" t="s">
        <v>663</v>
      </c>
      <c r="B276" s="16" t="s">
        <v>664</v>
      </c>
      <c r="C276" s="9" t="s">
        <v>19</v>
      </c>
      <c r="D276" s="9" t="s">
        <v>1028</v>
      </c>
    </row>
    <row r="277" spans="1:25" ht="13.8" x14ac:dyDescent="0.25">
      <c r="A277" s="9" t="s">
        <v>665</v>
      </c>
      <c r="B277" s="16" t="s">
        <v>666</v>
      </c>
      <c r="C277" s="9" t="s">
        <v>19</v>
      </c>
      <c r="D277" s="9" t="s">
        <v>104</v>
      </c>
    </row>
    <row r="278" spans="1:25" ht="13.8" x14ac:dyDescent="0.25">
      <c r="A278" s="9" t="s">
        <v>667</v>
      </c>
      <c r="B278" s="16" t="s">
        <v>668</v>
      </c>
      <c r="C278" s="9" t="s">
        <v>19</v>
      </c>
      <c r="D278" s="9" t="s">
        <v>1062</v>
      </c>
    </row>
    <row r="279" spans="1:25" ht="13.8" x14ac:dyDescent="0.25">
      <c r="A279" s="9" t="s">
        <v>671</v>
      </c>
      <c r="B279" s="16" t="s">
        <v>672</v>
      </c>
      <c r="C279" s="9" t="s">
        <v>59</v>
      </c>
    </row>
    <row r="280" spans="1:25" ht="13.8" x14ac:dyDescent="0.25">
      <c r="A280" s="9" t="s">
        <v>673</v>
      </c>
      <c r="B280" s="16" t="s">
        <v>674</v>
      </c>
      <c r="C280" s="9" t="s">
        <v>19</v>
      </c>
      <c r="D280" s="9" t="s">
        <v>1063</v>
      </c>
    </row>
    <row r="281" spans="1:25" ht="13.8" x14ac:dyDescent="0.25">
      <c r="A281" s="9" t="s">
        <v>675</v>
      </c>
      <c r="B281" s="16" t="s">
        <v>676</v>
      </c>
      <c r="C281" s="9" t="s">
        <v>44</v>
      </c>
    </row>
    <row r="282" spans="1:25" ht="13.8" x14ac:dyDescent="0.25">
      <c r="A282" s="9" t="s">
        <v>678</v>
      </c>
      <c r="B282" s="16" t="s">
        <v>679</v>
      </c>
      <c r="C282" s="9" t="s">
        <v>19</v>
      </c>
      <c r="D282" s="9" t="s">
        <v>29</v>
      </c>
    </row>
    <row r="283" spans="1:25" ht="13.8" x14ac:dyDescent="0.25">
      <c r="A283" s="9" t="s">
        <v>681</v>
      </c>
      <c r="B283" s="16" t="s">
        <v>682</v>
      </c>
      <c r="C283" s="9" t="s">
        <v>19</v>
      </c>
      <c r="D283" s="9" t="s">
        <v>1028</v>
      </c>
    </row>
    <row r="284" spans="1:25" ht="13.8" x14ac:dyDescent="0.25">
      <c r="A284" s="9" t="s">
        <v>683</v>
      </c>
      <c r="B284" s="16" t="s">
        <v>684</v>
      </c>
      <c r="C284" s="9" t="s">
        <v>44</v>
      </c>
    </row>
    <row r="285" spans="1:25" ht="13.8" x14ac:dyDescent="0.25">
      <c r="A285" s="9" t="s">
        <v>685</v>
      </c>
      <c r="B285" s="16" t="s">
        <v>686</v>
      </c>
      <c r="C285" s="9" t="s">
        <v>19</v>
      </c>
      <c r="D285" s="9" t="s">
        <v>104</v>
      </c>
    </row>
    <row r="286" spans="1:25" ht="27.6" x14ac:dyDescent="0.25">
      <c r="A286" s="9" t="s">
        <v>689</v>
      </c>
      <c r="B286" s="16" t="s">
        <v>690</v>
      </c>
      <c r="C286" s="9" t="s">
        <v>39</v>
      </c>
      <c r="D286" s="22" t="s">
        <v>1049</v>
      </c>
    </row>
    <row r="287" spans="1:25" ht="13.8" x14ac:dyDescent="0.25">
      <c r="A287" s="9" t="s">
        <v>691</v>
      </c>
      <c r="B287" s="16" t="s">
        <v>692</v>
      </c>
      <c r="C287" s="9" t="s">
        <v>204</v>
      </c>
    </row>
    <row r="288" spans="1:25" ht="13.8" x14ac:dyDescent="0.25">
      <c r="A288" s="9" t="s">
        <v>693</v>
      </c>
      <c r="B288" s="16" t="s">
        <v>694</v>
      </c>
      <c r="C288" s="9" t="s">
        <v>19</v>
      </c>
      <c r="D288" s="9" t="s">
        <v>29</v>
      </c>
    </row>
    <row r="289" spans="1:4" ht="27.6" x14ac:dyDescent="0.25">
      <c r="A289" s="9" t="s">
        <v>695</v>
      </c>
      <c r="B289" s="16" t="s">
        <v>696</v>
      </c>
      <c r="C289" s="9" t="s">
        <v>19</v>
      </c>
      <c r="D289" s="9" t="s">
        <v>1029</v>
      </c>
    </row>
    <row r="290" spans="1:4" ht="27.6" x14ac:dyDescent="0.25">
      <c r="A290" s="9" t="s">
        <v>698</v>
      </c>
      <c r="B290" s="16" t="s">
        <v>699</v>
      </c>
      <c r="C290" s="9" t="s">
        <v>204</v>
      </c>
    </row>
    <row r="291" spans="1:4" ht="13.8" x14ac:dyDescent="0.25">
      <c r="A291" s="9" t="s">
        <v>700</v>
      </c>
      <c r="B291" s="16" t="s">
        <v>701</v>
      </c>
      <c r="C291" s="9" t="s">
        <v>44</v>
      </c>
    </row>
    <row r="292" spans="1:4" ht="13.8" x14ac:dyDescent="0.25">
      <c r="A292" s="9" t="s">
        <v>703</v>
      </c>
      <c r="B292" s="16" t="s">
        <v>704</v>
      </c>
      <c r="C292" s="9" t="s">
        <v>19</v>
      </c>
      <c r="D292" s="9" t="s">
        <v>29</v>
      </c>
    </row>
    <row r="293" spans="1:4" ht="13.8" x14ac:dyDescent="0.25">
      <c r="A293" s="9" t="s">
        <v>706</v>
      </c>
      <c r="B293" s="16" t="s">
        <v>707</v>
      </c>
      <c r="C293" s="9" t="s">
        <v>44</v>
      </c>
    </row>
    <row r="294" spans="1:4" ht="27.6" x14ac:dyDescent="0.25">
      <c r="A294" s="9" t="s">
        <v>708</v>
      </c>
      <c r="B294" s="16" t="s">
        <v>709</v>
      </c>
      <c r="C294" s="9" t="s">
        <v>19</v>
      </c>
      <c r="D294" s="9" t="s">
        <v>29</v>
      </c>
    </row>
    <row r="295" spans="1:4" ht="27.6" x14ac:dyDescent="0.25">
      <c r="A295" s="9" t="s">
        <v>710</v>
      </c>
      <c r="B295" s="16" t="s">
        <v>711</v>
      </c>
      <c r="C295" s="9" t="s">
        <v>19</v>
      </c>
      <c r="D295" s="9" t="s">
        <v>104</v>
      </c>
    </row>
    <row r="296" spans="1:4" ht="13.8" x14ac:dyDescent="0.25">
      <c r="A296" s="9" t="s">
        <v>712</v>
      </c>
      <c r="B296" s="16" t="s">
        <v>713</v>
      </c>
      <c r="C296" s="9" t="s">
        <v>14</v>
      </c>
    </row>
    <row r="297" spans="1:4" ht="13.8" x14ac:dyDescent="0.25">
      <c r="A297" s="9" t="s">
        <v>714</v>
      </c>
      <c r="B297" s="16" t="s">
        <v>715</v>
      </c>
      <c r="C297" s="9" t="s">
        <v>39</v>
      </c>
    </row>
    <row r="298" spans="1:4" ht="13.8" x14ac:dyDescent="0.25">
      <c r="A298" s="9" t="s">
        <v>716</v>
      </c>
      <c r="B298" s="16" t="s">
        <v>717</v>
      </c>
      <c r="C298" s="9" t="s">
        <v>19</v>
      </c>
      <c r="D298" s="9" t="s">
        <v>1028</v>
      </c>
    </row>
    <row r="299" spans="1:4" ht="27.6" x14ac:dyDescent="0.25">
      <c r="A299" s="9" t="s">
        <v>718</v>
      </c>
      <c r="B299" s="16" t="s">
        <v>719</v>
      </c>
      <c r="C299" s="9" t="s">
        <v>10</v>
      </c>
    </row>
    <row r="300" spans="1:4" ht="13.8" x14ac:dyDescent="0.25">
      <c r="A300" s="9" t="s">
        <v>720</v>
      </c>
      <c r="B300" s="16" t="s">
        <v>721</v>
      </c>
      <c r="C300" s="9" t="s">
        <v>19</v>
      </c>
      <c r="D300" s="9" t="s">
        <v>1028</v>
      </c>
    </row>
    <row r="301" spans="1:4" ht="27.6" x14ac:dyDescent="0.25">
      <c r="A301" s="9" t="s">
        <v>722</v>
      </c>
      <c r="B301" s="16" t="s">
        <v>723</v>
      </c>
      <c r="C301" s="9" t="s">
        <v>44</v>
      </c>
    </row>
    <row r="302" spans="1:4" ht="13.8" x14ac:dyDescent="0.25">
      <c r="A302" s="9" t="s">
        <v>722</v>
      </c>
      <c r="B302" s="16" t="s">
        <v>724</v>
      </c>
      <c r="C302" s="9" t="s">
        <v>59</v>
      </c>
    </row>
    <row r="303" spans="1:4" ht="27.6" x14ac:dyDescent="0.25">
      <c r="A303" s="9" t="s">
        <v>725</v>
      </c>
      <c r="B303" s="16" t="s">
        <v>726</v>
      </c>
      <c r="C303" s="9" t="s">
        <v>24</v>
      </c>
    </row>
    <row r="304" spans="1:4" ht="27.6" x14ac:dyDescent="0.25">
      <c r="A304" s="9" t="s">
        <v>727</v>
      </c>
      <c r="B304" s="16" t="s">
        <v>728</v>
      </c>
      <c r="C304" s="9" t="s">
        <v>19</v>
      </c>
      <c r="D304" s="9" t="s">
        <v>1064</v>
      </c>
    </row>
    <row r="305" spans="1:4" ht="27.6" x14ac:dyDescent="0.25">
      <c r="A305" s="9" t="s">
        <v>729</v>
      </c>
      <c r="B305" s="16" t="s">
        <v>730</v>
      </c>
      <c r="C305" s="9" t="s">
        <v>19</v>
      </c>
      <c r="D305" s="9" t="s">
        <v>29</v>
      </c>
    </row>
    <row r="306" spans="1:4" ht="13.8" x14ac:dyDescent="0.25">
      <c r="A306" s="9" t="s">
        <v>731</v>
      </c>
      <c r="B306" s="16" t="s">
        <v>732</v>
      </c>
      <c r="C306" s="9" t="s">
        <v>204</v>
      </c>
    </row>
    <row r="307" spans="1:4" ht="13.8" x14ac:dyDescent="0.25">
      <c r="A307" s="9" t="s">
        <v>733</v>
      </c>
      <c r="B307" s="16" t="s">
        <v>734</v>
      </c>
      <c r="C307" s="9" t="s">
        <v>10</v>
      </c>
    </row>
    <row r="308" spans="1:4" ht="13.8" x14ac:dyDescent="0.25">
      <c r="A308" s="9" t="s">
        <v>735</v>
      </c>
      <c r="D308" s="9" t="s">
        <v>197</v>
      </c>
    </row>
    <row r="309" spans="1:4" ht="27.6" x14ac:dyDescent="0.25">
      <c r="A309" s="9" t="s">
        <v>736</v>
      </c>
      <c r="B309" s="16" t="s">
        <v>737</v>
      </c>
      <c r="C309" s="9" t="s">
        <v>1002</v>
      </c>
    </row>
    <row r="310" spans="1:4" ht="13.8" x14ac:dyDescent="0.25">
      <c r="A310" s="9" t="s">
        <v>738</v>
      </c>
      <c r="B310" s="16" t="s">
        <v>739</v>
      </c>
      <c r="C310" s="9" t="s">
        <v>19</v>
      </c>
      <c r="D310" s="9" t="s">
        <v>1065</v>
      </c>
    </row>
    <row r="311" spans="1:4" ht="13.8" x14ac:dyDescent="0.25">
      <c r="A311" s="9" t="s">
        <v>740</v>
      </c>
      <c r="B311" s="16" t="s">
        <v>741</v>
      </c>
      <c r="C311" s="9" t="s">
        <v>19</v>
      </c>
      <c r="D311" s="9" t="s">
        <v>104</v>
      </c>
    </row>
    <row r="312" spans="1:4" ht="13.8" x14ac:dyDescent="0.25">
      <c r="A312" s="9" t="s">
        <v>743</v>
      </c>
      <c r="B312" s="16" t="s">
        <v>744</v>
      </c>
      <c r="C312" s="9" t="s">
        <v>19</v>
      </c>
      <c r="D312" s="9" t="s">
        <v>1066</v>
      </c>
    </row>
    <row r="313" spans="1:4" ht="27.6" x14ac:dyDescent="0.25">
      <c r="A313" s="9" t="s">
        <v>745</v>
      </c>
      <c r="B313" s="16" t="s">
        <v>746</v>
      </c>
      <c r="C313" s="9" t="s">
        <v>19</v>
      </c>
      <c r="D313" s="9" t="s">
        <v>1067</v>
      </c>
    </row>
    <row r="314" spans="1:4" ht="13.8" x14ac:dyDescent="0.25">
      <c r="A314" s="9" t="s">
        <v>747</v>
      </c>
      <c r="B314" s="16" t="s">
        <v>748</v>
      </c>
      <c r="C314" s="9" t="s">
        <v>19</v>
      </c>
      <c r="D314" s="9" t="s">
        <v>1010</v>
      </c>
    </row>
    <row r="315" spans="1:4" ht="27.6" x14ac:dyDescent="0.25">
      <c r="A315" s="9" t="s">
        <v>749</v>
      </c>
      <c r="B315" s="16" t="s">
        <v>750</v>
      </c>
      <c r="C315" s="9" t="s">
        <v>59</v>
      </c>
    </row>
    <row r="316" spans="1:4" ht="13.8" x14ac:dyDescent="0.25">
      <c r="A316" s="9" t="s">
        <v>751</v>
      </c>
      <c r="B316" s="16" t="s">
        <v>752</v>
      </c>
      <c r="C316" s="9" t="s">
        <v>19</v>
      </c>
      <c r="D316" s="9" t="s">
        <v>1013</v>
      </c>
    </row>
    <row r="317" spans="1:4" ht="13.8" x14ac:dyDescent="0.25">
      <c r="A317" s="9" t="s">
        <v>753</v>
      </c>
      <c r="B317" s="16" t="s">
        <v>754</v>
      </c>
      <c r="C317" s="9" t="s">
        <v>10</v>
      </c>
    </row>
    <row r="318" spans="1:4" ht="13.8" x14ac:dyDescent="0.25">
      <c r="A318" s="9" t="s">
        <v>755</v>
      </c>
      <c r="B318" s="16" t="s">
        <v>756</v>
      </c>
      <c r="C318" s="9" t="s">
        <v>19</v>
      </c>
      <c r="D318" s="9" t="s">
        <v>29</v>
      </c>
    </row>
    <row r="319" spans="1:4" ht="27.6" x14ac:dyDescent="0.25">
      <c r="A319" s="9" t="s">
        <v>758</v>
      </c>
      <c r="B319" s="16" t="s">
        <v>759</v>
      </c>
      <c r="C319" s="9" t="s">
        <v>19</v>
      </c>
      <c r="D319" s="9" t="s">
        <v>487</v>
      </c>
    </row>
    <row r="320" spans="1:4" ht="13.8" x14ac:dyDescent="0.25">
      <c r="A320" s="9" t="s">
        <v>758</v>
      </c>
      <c r="B320" s="16" t="s">
        <v>760</v>
      </c>
      <c r="C320" s="9" t="s">
        <v>19</v>
      </c>
      <c r="D320" s="9" t="s">
        <v>1028</v>
      </c>
    </row>
    <row r="321" spans="1:4" ht="41.4" x14ac:dyDescent="0.25">
      <c r="A321" s="13" t="s">
        <v>761</v>
      </c>
      <c r="B321" s="16" t="s">
        <v>762</v>
      </c>
      <c r="C321" s="9" t="s">
        <v>14</v>
      </c>
    </row>
    <row r="322" spans="1:4" ht="13.8" x14ac:dyDescent="0.25">
      <c r="A322" s="9" t="s">
        <v>764</v>
      </c>
      <c r="B322" s="16" t="s">
        <v>765</v>
      </c>
      <c r="C322" s="9" t="s">
        <v>19</v>
      </c>
      <c r="D322" s="9" t="s">
        <v>29</v>
      </c>
    </row>
    <row r="323" spans="1:4" ht="13.8" x14ac:dyDescent="0.25">
      <c r="A323" s="9" t="s">
        <v>767</v>
      </c>
      <c r="B323" s="16" t="s">
        <v>768</v>
      </c>
      <c r="C323" s="9" t="s">
        <v>19</v>
      </c>
      <c r="D323" s="9" t="s">
        <v>104</v>
      </c>
    </row>
    <row r="324" spans="1:4" ht="13.8" x14ac:dyDescent="0.25">
      <c r="A324" s="24" t="s">
        <v>769</v>
      </c>
      <c r="D324" s="9" t="s">
        <v>197</v>
      </c>
    </row>
    <row r="325" spans="1:4" ht="41.4" x14ac:dyDescent="0.25">
      <c r="A325" s="9" t="s">
        <v>771</v>
      </c>
      <c r="B325" s="16" t="s">
        <v>772</v>
      </c>
      <c r="C325" s="9" t="s">
        <v>39</v>
      </c>
      <c r="D325" s="9" t="s">
        <v>1068</v>
      </c>
    </row>
    <row r="326" spans="1:4" ht="27.6" x14ac:dyDescent="0.25">
      <c r="A326" s="9" t="s">
        <v>771</v>
      </c>
      <c r="B326" s="16" t="s">
        <v>773</v>
      </c>
      <c r="C326" s="9" t="s">
        <v>39</v>
      </c>
    </row>
    <row r="327" spans="1:4" ht="27.6" x14ac:dyDescent="0.25">
      <c r="A327" s="9" t="s">
        <v>771</v>
      </c>
      <c r="B327" s="16" t="s">
        <v>774</v>
      </c>
      <c r="C327" s="9" t="s">
        <v>39</v>
      </c>
    </row>
    <row r="328" spans="1:4" ht="27.6" x14ac:dyDescent="0.25">
      <c r="A328" s="9" t="s">
        <v>771</v>
      </c>
      <c r="B328" s="16" t="s">
        <v>775</v>
      </c>
      <c r="C328" s="9" t="s">
        <v>19</v>
      </c>
      <c r="D328" s="9" t="s">
        <v>1038</v>
      </c>
    </row>
    <row r="329" spans="1:4" ht="13.8" x14ac:dyDescent="0.25">
      <c r="A329" s="9" t="s">
        <v>776</v>
      </c>
      <c r="B329" s="16" t="s">
        <v>777</v>
      </c>
      <c r="C329" s="9" t="s">
        <v>44</v>
      </c>
    </row>
    <row r="330" spans="1:4" ht="13.8" x14ac:dyDescent="0.25">
      <c r="A330" s="9" t="s">
        <v>776</v>
      </c>
      <c r="B330" s="16" t="s">
        <v>778</v>
      </c>
      <c r="C330" s="9" t="s">
        <v>19</v>
      </c>
      <c r="D330" s="9" t="s">
        <v>1028</v>
      </c>
    </row>
    <row r="331" spans="1:4" ht="13.8" x14ac:dyDescent="0.25">
      <c r="A331" s="9" t="s">
        <v>779</v>
      </c>
      <c r="B331" s="16" t="s">
        <v>780</v>
      </c>
      <c r="C331" s="9" t="s">
        <v>19</v>
      </c>
      <c r="D331" s="9" t="s">
        <v>1069</v>
      </c>
    </row>
    <row r="332" spans="1:4" ht="13.8" x14ac:dyDescent="0.25">
      <c r="A332" s="9" t="s">
        <v>781</v>
      </c>
      <c r="B332" s="16" t="s">
        <v>782</v>
      </c>
      <c r="C332" s="9" t="s">
        <v>19</v>
      </c>
      <c r="D332" s="9" t="s">
        <v>1061</v>
      </c>
    </row>
    <row r="333" spans="1:4" ht="13.8" x14ac:dyDescent="0.25">
      <c r="A333" s="9" t="s">
        <v>783</v>
      </c>
      <c r="B333" s="16" t="s">
        <v>784</v>
      </c>
      <c r="C333" s="9" t="s">
        <v>19</v>
      </c>
      <c r="D333" s="9" t="s">
        <v>1061</v>
      </c>
    </row>
    <row r="334" spans="1:4" ht="41.4" x14ac:dyDescent="0.25">
      <c r="A334" s="9" t="s">
        <v>785</v>
      </c>
      <c r="B334" s="16" t="s">
        <v>786</v>
      </c>
      <c r="C334" s="9" t="s">
        <v>19</v>
      </c>
      <c r="D334" s="9" t="s">
        <v>29</v>
      </c>
    </row>
    <row r="335" spans="1:4" ht="27.6" x14ac:dyDescent="0.25">
      <c r="A335" s="9" t="s">
        <v>788</v>
      </c>
      <c r="B335" s="16" t="s">
        <v>789</v>
      </c>
      <c r="C335" s="9" t="s">
        <v>14</v>
      </c>
    </row>
    <row r="336" spans="1:4" ht="27.6" x14ac:dyDescent="0.25">
      <c r="A336" s="9" t="s">
        <v>790</v>
      </c>
      <c r="B336" s="16" t="s">
        <v>791</v>
      </c>
      <c r="C336" s="9" t="s">
        <v>19</v>
      </c>
      <c r="D336" s="9" t="s">
        <v>1070</v>
      </c>
    </row>
    <row r="337" spans="1:4" ht="13.8" x14ac:dyDescent="0.25">
      <c r="A337" s="9" t="s">
        <v>792</v>
      </c>
      <c r="B337" s="16" t="s">
        <v>793</v>
      </c>
      <c r="C337" s="9" t="s">
        <v>19</v>
      </c>
      <c r="D337" s="9" t="s">
        <v>29</v>
      </c>
    </row>
    <row r="338" spans="1:4" ht="13.8" x14ac:dyDescent="0.25">
      <c r="A338" s="9" t="s">
        <v>794</v>
      </c>
      <c r="B338" s="16" t="s">
        <v>795</v>
      </c>
      <c r="C338" s="9" t="s">
        <v>44</v>
      </c>
    </row>
    <row r="339" spans="1:4" ht="27.6" x14ac:dyDescent="0.25">
      <c r="A339" s="9" t="s">
        <v>796</v>
      </c>
      <c r="B339" s="16" t="s">
        <v>797</v>
      </c>
      <c r="C339" s="9" t="s">
        <v>19</v>
      </c>
      <c r="D339" s="9" t="s">
        <v>1071</v>
      </c>
    </row>
    <row r="340" spans="1:4" ht="13.8" x14ac:dyDescent="0.25">
      <c r="A340" s="9" t="s">
        <v>798</v>
      </c>
      <c r="D340" s="9" t="s">
        <v>197</v>
      </c>
    </row>
    <row r="341" spans="1:4" ht="27.6" x14ac:dyDescent="0.25">
      <c r="A341" s="9" t="s">
        <v>799</v>
      </c>
      <c r="B341" s="16" t="s">
        <v>800</v>
      </c>
      <c r="C341" s="9" t="s">
        <v>19</v>
      </c>
      <c r="D341" s="9" t="s">
        <v>29</v>
      </c>
    </row>
    <row r="342" spans="1:4" ht="13.8" x14ac:dyDescent="0.25">
      <c r="A342" s="9" t="s">
        <v>802</v>
      </c>
      <c r="B342" s="16" t="s">
        <v>803</v>
      </c>
      <c r="C342" s="9" t="s">
        <v>19</v>
      </c>
      <c r="D342" s="9" t="s">
        <v>104</v>
      </c>
    </row>
    <row r="343" spans="1:4" ht="13.8" x14ac:dyDescent="0.25">
      <c r="A343" s="9" t="s">
        <v>804</v>
      </c>
      <c r="D343" s="9" t="s">
        <v>197</v>
      </c>
    </row>
    <row r="344" spans="1:4" ht="13.8" x14ac:dyDescent="0.25">
      <c r="A344" s="9" t="s">
        <v>805</v>
      </c>
      <c r="B344" s="16" t="s">
        <v>806</v>
      </c>
      <c r="C344" s="9" t="s">
        <v>19</v>
      </c>
      <c r="D344" s="9" t="s">
        <v>29</v>
      </c>
    </row>
    <row r="345" spans="1:4" ht="27.6" x14ac:dyDescent="0.25">
      <c r="A345" s="9" t="s">
        <v>805</v>
      </c>
      <c r="B345" s="16" t="s">
        <v>807</v>
      </c>
      <c r="C345" s="9" t="s">
        <v>19</v>
      </c>
      <c r="D345" s="9" t="s">
        <v>1072</v>
      </c>
    </row>
    <row r="346" spans="1:4" ht="13.8" x14ac:dyDescent="0.25">
      <c r="A346" s="9" t="s">
        <v>809</v>
      </c>
      <c r="B346" s="16" t="s">
        <v>810</v>
      </c>
      <c r="C346" s="9" t="s">
        <v>19</v>
      </c>
      <c r="D346" s="9" t="s">
        <v>104</v>
      </c>
    </row>
    <row r="347" spans="1:4" ht="13.8" x14ac:dyDescent="0.25">
      <c r="A347" s="9" t="s">
        <v>811</v>
      </c>
      <c r="B347" s="16" t="s">
        <v>812</v>
      </c>
      <c r="C347" s="9" t="s">
        <v>19</v>
      </c>
      <c r="D347" s="9" t="s">
        <v>104</v>
      </c>
    </row>
    <row r="348" spans="1:4" ht="13.8" x14ac:dyDescent="0.25">
      <c r="A348" s="9" t="s">
        <v>813</v>
      </c>
      <c r="B348" s="16" t="s">
        <v>814</v>
      </c>
      <c r="C348" s="9" t="s">
        <v>19</v>
      </c>
      <c r="D348" s="9" t="s">
        <v>1073</v>
      </c>
    </row>
    <row r="349" spans="1:4" ht="27.6" x14ac:dyDescent="0.25">
      <c r="A349" s="9" t="s">
        <v>815</v>
      </c>
      <c r="B349" s="16" t="s">
        <v>816</v>
      </c>
      <c r="C349" s="9" t="s">
        <v>128</v>
      </c>
    </row>
    <row r="350" spans="1:4" ht="41.4" x14ac:dyDescent="0.25">
      <c r="A350" s="9" t="s">
        <v>815</v>
      </c>
      <c r="B350" s="16" t="s">
        <v>818</v>
      </c>
      <c r="C350" s="9" t="s">
        <v>19</v>
      </c>
      <c r="D350" s="9" t="s">
        <v>1006</v>
      </c>
    </row>
    <row r="351" spans="1:4" ht="27.6" x14ac:dyDescent="0.25">
      <c r="A351" s="9" t="s">
        <v>819</v>
      </c>
      <c r="B351" s="16" t="s">
        <v>1074</v>
      </c>
      <c r="C351" s="9" t="s">
        <v>19</v>
      </c>
      <c r="D351" s="9" t="s">
        <v>1075</v>
      </c>
    </row>
    <row r="352" spans="1:4" ht="13.8" x14ac:dyDescent="0.25">
      <c r="A352" s="9" t="s">
        <v>819</v>
      </c>
      <c r="B352" s="16" t="s">
        <v>1076</v>
      </c>
      <c r="C352" s="9" t="s">
        <v>128</v>
      </c>
    </row>
    <row r="353" spans="1:4" ht="27.6" x14ac:dyDescent="0.25">
      <c r="A353" s="9" t="s">
        <v>822</v>
      </c>
      <c r="B353" s="16" t="s">
        <v>823</v>
      </c>
      <c r="C353" s="9" t="s">
        <v>19</v>
      </c>
      <c r="D353" s="9" t="s">
        <v>1028</v>
      </c>
    </row>
    <row r="354" spans="1:4" ht="13.8" x14ac:dyDescent="0.25">
      <c r="A354" s="9" t="s">
        <v>824</v>
      </c>
      <c r="B354" s="16" t="s">
        <v>825</v>
      </c>
      <c r="C354" s="9" t="s">
        <v>39</v>
      </c>
    </row>
    <row r="355" spans="1:4" ht="27.6" x14ac:dyDescent="0.25">
      <c r="A355" s="9" t="s">
        <v>824</v>
      </c>
      <c r="B355" s="16" t="s">
        <v>826</v>
      </c>
      <c r="C355" s="9" t="s">
        <v>19</v>
      </c>
      <c r="D355" s="9" t="s">
        <v>29</v>
      </c>
    </row>
    <row r="356" spans="1:4" ht="27.6" x14ac:dyDescent="0.25">
      <c r="A356" s="9" t="s">
        <v>828</v>
      </c>
      <c r="B356" s="16" t="s">
        <v>829</v>
      </c>
      <c r="C356" s="9" t="s">
        <v>19</v>
      </c>
      <c r="D356" s="9" t="s">
        <v>29</v>
      </c>
    </row>
    <row r="357" spans="1:4" ht="13.8" x14ac:dyDescent="0.25">
      <c r="A357" s="9" t="s">
        <v>831</v>
      </c>
      <c r="B357" s="16" t="s">
        <v>832</v>
      </c>
      <c r="C357" s="9" t="s">
        <v>19</v>
      </c>
      <c r="D357" s="9" t="s">
        <v>1028</v>
      </c>
    </row>
    <row r="358" spans="1:4" ht="13.8" x14ac:dyDescent="0.25">
      <c r="A358" s="9" t="s">
        <v>833</v>
      </c>
      <c r="B358" s="16" t="s">
        <v>834</v>
      </c>
      <c r="C358" s="9" t="s">
        <v>128</v>
      </c>
    </row>
    <row r="359" spans="1:4" ht="27.6" x14ac:dyDescent="0.25">
      <c r="A359" s="9" t="s">
        <v>835</v>
      </c>
      <c r="B359" s="16" t="s">
        <v>836</v>
      </c>
      <c r="C359" s="9" t="s">
        <v>19</v>
      </c>
      <c r="D359" s="9" t="s">
        <v>1010</v>
      </c>
    </row>
    <row r="360" spans="1:4" ht="13.8" x14ac:dyDescent="0.25">
      <c r="A360" s="9" t="s">
        <v>837</v>
      </c>
      <c r="D360" s="9" t="s">
        <v>197</v>
      </c>
    </row>
    <row r="361" spans="1:4" ht="13.8" x14ac:dyDescent="0.25">
      <c r="A361" s="9" t="s">
        <v>838</v>
      </c>
      <c r="B361" s="16" t="s">
        <v>839</v>
      </c>
      <c r="C361" s="9" t="s">
        <v>19</v>
      </c>
      <c r="D361" s="9" t="s">
        <v>1013</v>
      </c>
    </row>
    <row r="362" spans="1:4" ht="13.8" x14ac:dyDescent="0.25">
      <c r="A362" s="9" t="s">
        <v>840</v>
      </c>
      <c r="B362" s="16" t="s">
        <v>841</v>
      </c>
      <c r="C362" s="9" t="s">
        <v>19</v>
      </c>
      <c r="D362" s="9" t="s">
        <v>104</v>
      </c>
    </row>
    <row r="363" spans="1:4" ht="13.8" x14ac:dyDescent="0.25">
      <c r="A363" s="9" t="s">
        <v>842</v>
      </c>
      <c r="B363" s="16" t="s">
        <v>843</v>
      </c>
      <c r="C363" s="9" t="s">
        <v>128</v>
      </c>
      <c r="D363" s="9" t="s">
        <v>1077</v>
      </c>
    </row>
    <row r="364" spans="1:4" ht="27.6" x14ac:dyDescent="0.25">
      <c r="A364" s="9" t="s">
        <v>844</v>
      </c>
      <c r="B364" s="16" t="s">
        <v>845</v>
      </c>
      <c r="C364" s="9" t="s">
        <v>19</v>
      </c>
      <c r="D364" s="9" t="s">
        <v>1078</v>
      </c>
    </row>
    <row r="365" spans="1:4" ht="13.8" x14ac:dyDescent="0.25">
      <c r="A365" s="9" t="s">
        <v>846</v>
      </c>
      <c r="B365" s="16" t="s">
        <v>847</v>
      </c>
      <c r="C365" s="9" t="s">
        <v>204</v>
      </c>
      <c r="D365" s="9" t="s">
        <v>1079</v>
      </c>
    </row>
    <row r="366" spans="1:4" ht="13.8" x14ac:dyDescent="0.25">
      <c r="A366" s="9" t="s">
        <v>848</v>
      </c>
      <c r="D366" s="9" t="s">
        <v>104</v>
      </c>
    </row>
    <row r="367" spans="1:4" ht="13.8" x14ac:dyDescent="0.25">
      <c r="A367" s="9" t="s">
        <v>849</v>
      </c>
      <c r="B367" s="16" t="s">
        <v>850</v>
      </c>
      <c r="C367" s="9" t="s">
        <v>19</v>
      </c>
      <c r="D367" s="9" t="s">
        <v>1061</v>
      </c>
    </row>
    <row r="368" spans="1:4" ht="13.8" x14ac:dyDescent="0.25">
      <c r="A368" s="9" t="s">
        <v>851</v>
      </c>
      <c r="B368" s="16" t="s">
        <v>852</v>
      </c>
      <c r="C368" s="9" t="s">
        <v>19</v>
      </c>
      <c r="D368" s="9" t="s">
        <v>104</v>
      </c>
    </row>
    <row r="369" spans="1:4" ht="13.8" x14ac:dyDescent="0.25">
      <c r="A369" s="9" t="s">
        <v>853</v>
      </c>
      <c r="B369" s="16" t="s">
        <v>854</v>
      </c>
      <c r="C369" s="9" t="s">
        <v>19</v>
      </c>
      <c r="D369" s="9" t="s">
        <v>104</v>
      </c>
    </row>
    <row r="370" spans="1:4" ht="13.8" x14ac:dyDescent="0.25">
      <c r="A370" s="9" t="s">
        <v>855</v>
      </c>
      <c r="B370" s="16" t="s">
        <v>856</v>
      </c>
      <c r="C370" s="9" t="s">
        <v>19</v>
      </c>
      <c r="D370" s="9" t="s">
        <v>1061</v>
      </c>
    </row>
    <row r="371" spans="1:4" ht="13.8" x14ac:dyDescent="0.25">
      <c r="A371" s="9" t="s">
        <v>857</v>
      </c>
      <c r="B371" s="16" t="s">
        <v>858</v>
      </c>
      <c r="C371" s="9" t="s">
        <v>19</v>
      </c>
      <c r="D371" s="9" t="s">
        <v>1061</v>
      </c>
    </row>
    <row r="372" spans="1:4" ht="13.8" x14ac:dyDescent="0.25">
      <c r="A372" s="9" t="s">
        <v>859</v>
      </c>
      <c r="B372" s="16" t="s">
        <v>860</v>
      </c>
      <c r="C372" s="9" t="s">
        <v>19</v>
      </c>
      <c r="D372" s="9" t="s">
        <v>1061</v>
      </c>
    </row>
    <row r="373" spans="1:4" ht="13.8" x14ac:dyDescent="0.25">
      <c r="A373" s="9" t="s">
        <v>861</v>
      </c>
      <c r="D373" s="9" t="s">
        <v>197</v>
      </c>
    </row>
    <row r="374" spans="1:4" ht="27.6" x14ac:dyDescent="0.25">
      <c r="A374" s="9" t="s">
        <v>862</v>
      </c>
      <c r="B374" s="16" t="s">
        <v>863</v>
      </c>
      <c r="C374" s="9" t="s">
        <v>128</v>
      </c>
    </row>
    <row r="375" spans="1:4" ht="13.8" x14ac:dyDescent="0.25">
      <c r="A375" s="9" t="s">
        <v>864</v>
      </c>
      <c r="B375" s="16" t="s">
        <v>865</v>
      </c>
      <c r="C375" s="9" t="s">
        <v>19</v>
      </c>
      <c r="D375" s="9" t="s">
        <v>1080</v>
      </c>
    </row>
    <row r="376" spans="1:4" ht="13.8" x14ac:dyDescent="0.25">
      <c r="A376" s="9" t="s">
        <v>866</v>
      </c>
      <c r="B376" s="16" t="s">
        <v>867</v>
      </c>
      <c r="C376" s="9" t="s">
        <v>19</v>
      </c>
      <c r="D376" s="9" t="s">
        <v>1081</v>
      </c>
    </row>
    <row r="377" spans="1:4" ht="13.8" x14ac:dyDescent="0.25">
      <c r="A377" s="9" t="s">
        <v>869</v>
      </c>
      <c r="B377" s="16" t="s">
        <v>870</v>
      </c>
      <c r="C377" s="9" t="s">
        <v>19</v>
      </c>
      <c r="D377" s="9" t="s">
        <v>1082</v>
      </c>
    </row>
    <row r="378" spans="1:4" ht="27.6" x14ac:dyDescent="0.25">
      <c r="A378" s="9" t="s">
        <v>872</v>
      </c>
      <c r="B378" s="16" t="s">
        <v>873</v>
      </c>
      <c r="C378" s="9" t="s">
        <v>128</v>
      </c>
    </row>
    <row r="379" spans="1:4" ht="13.8" x14ac:dyDescent="0.25">
      <c r="A379" s="9" t="s">
        <v>874</v>
      </c>
      <c r="B379" s="16" t="s">
        <v>875</v>
      </c>
      <c r="C379" s="9" t="s">
        <v>19</v>
      </c>
      <c r="D379" s="9" t="s">
        <v>104</v>
      </c>
    </row>
    <row r="380" spans="1:4" ht="13.8" x14ac:dyDescent="0.25">
      <c r="A380" s="9" t="s">
        <v>874</v>
      </c>
      <c r="B380" s="16" t="s">
        <v>876</v>
      </c>
      <c r="C380" s="9" t="s">
        <v>19</v>
      </c>
      <c r="D380" s="9" t="s">
        <v>1028</v>
      </c>
    </row>
    <row r="381" spans="1:4" ht="13.8" x14ac:dyDescent="0.25">
      <c r="A381" s="9" t="s">
        <v>877</v>
      </c>
      <c r="B381" s="16" t="s">
        <v>878</v>
      </c>
      <c r="C381" s="9" t="s">
        <v>19</v>
      </c>
      <c r="D381" s="9" t="s">
        <v>1028</v>
      </c>
    </row>
    <row r="382" spans="1:4" ht="13.8" x14ac:dyDescent="0.25">
      <c r="A382" s="9" t="s">
        <v>879</v>
      </c>
      <c r="B382" s="16" t="s">
        <v>880</v>
      </c>
      <c r="C382" s="9" t="s">
        <v>19</v>
      </c>
      <c r="D382" s="9" t="s">
        <v>29</v>
      </c>
    </row>
    <row r="383" spans="1:4" ht="13.8" x14ac:dyDescent="0.25">
      <c r="A383" s="9" t="s">
        <v>881</v>
      </c>
      <c r="B383" s="16" t="s">
        <v>882</v>
      </c>
      <c r="C383" s="9" t="s">
        <v>19</v>
      </c>
      <c r="D383" s="9" t="s">
        <v>29</v>
      </c>
    </row>
    <row r="384" spans="1:4" ht="13.8" x14ac:dyDescent="0.25">
      <c r="A384" s="9" t="s">
        <v>883</v>
      </c>
      <c r="B384" s="16" t="s">
        <v>884</v>
      </c>
      <c r="C384" s="9" t="s">
        <v>39</v>
      </c>
      <c r="D384" s="9" t="s">
        <v>1083</v>
      </c>
    </row>
    <row r="385" spans="1:4" ht="13.8" x14ac:dyDescent="0.25">
      <c r="A385" s="9" t="s">
        <v>883</v>
      </c>
      <c r="B385" s="16" t="s">
        <v>885</v>
      </c>
      <c r="C385" s="9" t="s">
        <v>19</v>
      </c>
      <c r="D385" s="9" t="s">
        <v>29</v>
      </c>
    </row>
    <row r="386" spans="1:4" ht="13.8" x14ac:dyDescent="0.25">
      <c r="A386" s="9" t="s">
        <v>886</v>
      </c>
      <c r="B386" s="16" t="s">
        <v>887</v>
      </c>
      <c r="C386" s="9" t="s">
        <v>19</v>
      </c>
      <c r="D386" s="9" t="s">
        <v>1028</v>
      </c>
    </row>
    <row r="387" spans="1:4" ht="13.8" x14ac:dyDescent="0.25">
      <c r="A387" s="9" t="s">
        <v>888</v>
      </c>
      <c r="B387" s="16" t="s">
        <v>889</v>
      </c>
      <c r="C387" s="9" t="s">
        <v>544</v>
      </c>
      <c r="D387" s="9" t="s">
        <v>1084</v>
      </c>
    </row>
    <row r="388" spans="1:4" ht="27.6" x14ac:dyDescent="0.25">
      <c r="A388" s="9" t="s">
        <v>891</v>
      </c>
      <c r="B388" s="16" t="s">
        <v>892</v>
      </c>
      <c r="C388" s="9" t="s">
        <v>10</v>
      </c>
    </row>
    <row r="389" spans="1:4" ht="27.6" x14ac:dyDescent="0.25">
      <c r="A389" s="9" t="s">
        <v>891</v>
      </c>
      <c r="B389" s="16" t="s">
        <v>893</v>
      </c>
      <c r="C389" s="9" t="s">
        <v>19</v>
      </c>
      <c r="D389" s="9" t="s">
        <v>1010</v>
      </c>
    </row>
    <row r="390" spans="1:4" ht="13.8" x14ac:dyDescent="0.25">
      <c r="A390" s="9" t="s">
        <v>894</v>
      </c>
      <c r="B390" s="16" t="s">
        <v>895</v>
      </c>
      <c r="C390" s="9" t="s">
        <v>19</v>
      </c>
      <c r="D390" s="9" t="s">
        <v>104</v>
      </c>
    </row>
    <row r="391" spans="1:4" ht="27.6" x14ac:dyDescent="0.25">
      <c r="A391" s="9" t="s">
        <v>894</v>
      </c>
      <c r="B391" s="16" t="s">
        <v>897</v>
      </c>
      <c r="C391" s="9" t="s">
        <v>19</v>
      </c>
      <c r="D391" s="9" t="s">
        <v>29</v>
      </c>
    </row>
    <row r="392" spans="1:4" ht="27.6" x14ac:dyDescent="0.25">
      <c r="A392" s="9" t="s">
        <v>899</v>
      </c>
      <c r="B392" s="16" t="s">
        <v>900</v>
      </c>
      <c r="C392" s="9" t="s">
        <v>19</v>
      </c>
      <c r="D392" s="9" t="s">
        <v>104</v>
      </c>
    </row>
    <row r="393" spans="1:4" ht="13.8" x14ac:dyDescent="0.25">
      <c r="A393" s="9" t="s">
        <v>899</v>
      </c>
      <c r="B393" s="16" t="s">
        <v>901</v>
      </c>
      <c r="C393" s="9" t="s">
        <v>19</v>
      </c>
      <c r="D393" s="9" t="s">
        <v>1085</v>
      </c>
    </row>
    <row r="394" spans="1:4" ht="13.8" x14ac:dyDescent="0.25">
      <c r="A394" s="9" t="s">
        <v>902</v>
      </c>
      <c r="B394" s="16" t="s">
        <v>903</v>
      </c>
      <c r="C394" s="9" t="s">
        <v>10</v>
      </c>
    </row>
    <row r="395" spans="1:4" ht="13.8" x14ac:dyDescent="0.25">
      <c r="A395" s="9" t="s">
        <v>904</v>
      </c>
      <c r="B395" s="16" t="s">
        <v>905</v>
      </c>
      <c r="C395" s="9" t="s">
        <v>24</v>
      </c>
    </row>
    <row r="396" spans="1:4" ht="13.8" x14ac:dyDescent="0.25">
      <c r="A396" s="9" t="s">
        <v>907</v>
      </c>
      <c r="B396" s="16" t="s">
        <v>908</v>
      </c>
      <c r="C396" s="9" t="s">
        <v>19</v>
      </c>
      <c r="D396" s="9" t="s">
        <v>104</v>
      </c>
    </row>
    <row r="397" spans="1:4" ht="13.8" x14ac:dyDescent="0.25">
      <c r="A397" s="9" t="s">
        <v>909</v>
      </c>
      <c r="B397" s="16" t="s">
        <v>910</v>
      </c>
      <c r="C397" s="9" t="s">
        <v>19</v>
      </c>
      <c r="D397" s="9" t="s">
        <v>29</v>
      </c>
    </row>
    <row r="398" spans="1:4" ht="13.8" x14ac:dyDescent="0.25">
      <c r="A398" s="9" t="s">
        <v>911</v>
      </c>
      <c r="B398" s="16" t="s">
        <v>912</v>
      </c>
      <c r="C398" s="9" t="s">
        <v>14</v>
      </c>
    </row>
    <row r="399" spans="1:4" ht="13.8" x14ac:dyDescent="0.25">
      <c r="A399" s="9" t="s">
        <v>913</v>
      </c>
      <c r="B399" s="16" t="s">
        <v>914</v>
      </c>
      <c r="C399" s="9" t="s">
        <v>19</v>
      </c>
      <c r="D399" s="9" t="s">
        <v>1010</v>
      </c>
    </row>
    <row r="400" spans="1:4" ht="13.8" x14ac:dyDescent="0.25">
      <c r="A400" s="9" t="s">
        <v>915</v>
      </c>
      <c r="B400" s="16" t="s">
        <v>916</v>
      </c>
      <c r="C400" s="9" t="s">
        <v>19</v>
      </c>
      <c r="D400" s="9" t="s">
        <v>104</v>
      </c>
    </row>
    <row r="401" spans="1:4" ht="13.8" x14ac:dyDescent="0.25">
      <c r="A401" s="9" t="s">
        <v>915</v>
      </c>
      <c r="B401" s="16" t="s">
        <v>917</v>
      </c>
      <c r="C401" s="9" t="s">
        <v>19</v>
      </c>
      <c r="D401" s="9" t="s">
        <v>29</v>
      </c>
    </row>
    <row r="402" spans="1:4" ht="13.8" x14ac:dyDescent="0.25">
      <c r="A402" s="9" t="s">
        <v>918</v>
      </c>
      <c r="B402" s="16" t="s">
        <v>919</v>
      </c>
      <c r="C402" s="9" t="s">
        <v>19</v>
      </c>
      <c r="D402" s="9" t="s">
        <v>29</v>
      </c>
    </row>
    <row r="403" spans="1:4" ht="13.8" x14ac:dyDescent="0.25">
      <c r="A403" s="9" t="s">
        <v>921</v>
      </c>
      <c r="B403" s="16" t="s">
        <v>922</v>
      </c>
      <c r="C403" s="9" t="s">
        <v>19</v>
      </c>
      <c r="D403" s="9" t="s">
        <v>29</v>
      </c>
    </row>
    <row r="404" spans="1:4" ht="27.6" x14ac:dyDescent="0.25">
      <c r="A404" s="9" t="s">
        <v>923</v>
      </c>
      <c r="B404" s="16" t="s">
        <v>924</v>
      </c>
      <c r="C404" s="9" t="s">
        <v>39</v>
      </c>
    </row>
    <row r="405" spans="1:4" ht="27.6" x14ac:dyDescent="0.25">
      <c r="A405" s="9" t="s">
        <v>925</v>
      </c>
      <c r="B405" s="16" t="s">
        <v>926</v>
      </c>
      <c r="C405" s="9" t="s">
        <v>19</v>
      </c>
      <c r="D405" s="9" t="s">
        <v>1086</v>
      </c>
    </row>
    <row r="406" spans="1:4" ht="13.8" x14ac:dyDescent="0.25">
      <c r="A406" s="9" t="s">
        <v>928</v>
      </c>
      <c r="B406" s="16" t="s">
        <v>929</v>
      </c>
      <c r="C406" s="9" t="s">
        <v>44</v>
      </c>
    </row>
    <row r="407" spans="1:4" ht="13.8" x14ac:dyDescent="0.25">
      <c r="A407" s="9" t="s">
        <v>930</v>
      </c>
      <c r="B407" s="16" t="s">
        <v>931</v>
      </c>
      <c r="C407" s="9" t="s">
        <v>59</v>
      </c>
    </row>
    <row r="408" spans="1:4" ht="13.8" x14ac:dyDescent="0.25">
      <c r="A408" s="9" t="s">
        <v>932</v>
      </c>
      <c r="B408" s="16" t="s">
        <v>933</v>
      </c>
      <c r="C408" s="9" t="s">
        <v>24</v>
      </c>
    </row>
    <row r="409" spans="1:4" ht="27.6" x14ac:dyDescent="0.25">
      <c r="A409" s="9" t="s">
        <v>934</v>
      </c>
      <c r="B409" s="16" t="s">
        <v>935</v>
      </c>
      <c r="C409" s="9" t="s">
        <v>19</v>
      </c>
      <c r="D409" s="9" t="s">
        <v>104</v>
      </c>
    </row>
    <row r="410" spans="1:4" ht="13.8" x14ac:dyDescent="0.25">
      <c r="A410" s="9" t="s">
        <v>936</v>
      </c>
      <c r="B410" s="16" t="s">
        <v>937</v>
      </c>
      <c r="C410" s="9" t="s">
        <v>24</v>
      </c>
    </row>
    <row r="411" spans="1:4" ht="13.8" x14ac:dyDescent="0.25">
      <c r="A411" s="9" t="s">
        <v>938</v>
      </c>
      <c r="B411" s="16" t="s">
        <v>939</v>
      </c>
      <c r="C411" s="9" t="s">
        <v>24</v>
      </c>
    </row>
    <row r="412" spans="1:4" ht="13.8" x14ac:dyDescent="0.25">
      <c r="A412" s="9" t="s">
        <v>941</v>
      </c>
      <c r="B412" s="16" t="s">
        <v>942</v>
      </c>
      <c r="C412" s="9" t="s">
        <v>19</v>
      </c>
      <c r="D412" s="9" t="s">
        <v>1028</v>
      </c>
    </row>
    <row r="413" spans="1:4" ht="27.6" x14ac:dyDescent="0.25">
      <c r="A413" s="9" t="s">
        <v>943</v>
      </c>
      <c r="B413" s="16" t="s">
        <v>944</v>
      </c>
      <c r="C413" s="9" t="s">
        <v>44</v>
      </c>
    </row>
    <row r="414" spans="1:4" ht="13.8" x14ac:dyDescent="0.25">
      <c r="A414" s="9" t="s">
        <v>945</v>
      </c>
      <c r="B414" s="16" t="s">
        <v>946</v>
      </c>
      <c r="C414" s="9" t="s">
        <v>204</v>
      </c>
    </row>
    <row r="415" spans="1:4" ht="13.8" x14ac:dyDescent="0.25">
      <c r="A415" s="9" t="s">
        <v>945</v>
      </c>
      <c r="B415" s="16" t="s">
        <v>947</v>
      </c>
      <c r="C415" s="9" t="s">
        <v>204</v>
      </c>
    </row>
    <row r="416" spans="1:4" ht="27.6" x14ac:dyDescent="0.25">
      <c r="A416" s="9" t="s">
        <v>948</v>
      </c>
      <c r="B416" s="16" t="s">
        <v>949</v>
      </c>
      <c r="C416" s="9" t="s">
        <v>44</v>
      </c>
    </row>
    <row r="417" spans="1:4" ht="13.8" x14ac:dyDescent="0.25">
      <c r="A417" s="9" t="s">
        <v>950</v>
      </c>
      <c r="B417" s="16" t="s">
        <v>951</v>
      </c>
      <c r="C417" s="9" t="s">
        <v>44</v>
      </c>
    </row>
    <row r="418" spans="1:4" ht="13.8" x14ac:dyDescent="0.25">
      <c r="A418" s="9" t="s">
        <v>952</v>
      </c>
      <c r="B418" s="16" t="s">
        <v>953</v>
      </c>
      <c r="C418" s="9" t="s">
        <v>19</v>
      </c>
      <c r="D418" s="9" t="s">
        <v>104</v>
      </c>
    </row>
    <row r="419" spans="1:4" ht="13.8" x14ac:dyDescent="0.25">
      <c r="A419" s="9" t="s">
        <v>955</v>
      </c>
      <c r="B419" s="16" t="s">
        <v>956</v>
      </c>
      <c r="C419" s="9" t="s">
        <v>19</v>
      </c>
      <c r="D419" s="9" t="s">
        <v>29</v>
      </c>
    </row>
    <row r="420" spans="1:4" ht="13.8" x14ac:dyDescent="0.25">
      <c r="A420" s="9" t="s">
        <v>955</v>
      </c>
      <c r="B420" s="22" t="s">
        <v>957</v>
      </c>
      <c r="C420" s="9" t="s">
        <v>24</v>
      </c>
    </row>
    <row r="421" spans="1:4" ht="13.8" x14ac:dyDescent="0.25">
      <c r="A421" s="9" t="s">
        <v>958</v>
      </c>
      <c r="B421" s="16" t="s">
        <v>959</v>
      </c>
      <c r="C421" s="9" t="s">
        <v>19</v>
      </c>
      <c r="D421" s="9" t="s">
        <v>1087</v>
      </c>
    </row>
    <row r="422" spans="1:4" ht="13.8" x14ac:dyDescent="0.25">
      <c r="A422" s="9" t="s">
        <v>960</v>
      </c>
      <c r="B422" s="16" t="s">
        <v>961</v>
      </c>
      <c r="C422" s="9" t="s">
        <v>19</v>
      </c>
      <c r="D422" s="9" t="s">
        <v>29</v>
      </c>
    </row>
    <row r="423" spans="1:4" ht="13.8" x14ac:dyDescent="0.25">
      <c r="A423" s="9" t="s">
        <v>962</v>
      </c>
      <c r="B423" s="16" t="s">
        <v>963</v>
      </c>
      <c r="C423" s="9" t="s">
        <v>19</v>
      </c>
      <c r="D423" s="9" t="s">
        <v>29</v>
      </c>
    </row>
    <row r="424" spans="1:4" ht="13.8" x14ac:dyDescent="0.25">
      <c r="A424" s="9" t="s">
        <v>964</v>
      </c>
      <c r="B424" s="16" t="s">
        <v>965</v>
      </c>
      <c r="C424" s="9" t="s">
        <v>19</v>
      </c>
      <c r="D424" s="9" t="s">
        <v>104</v>
      </c>
    </row>
    <row r="425" spans="1:4" ht="13.8" x14ac:dyDescent="0.25">
      <c r="A425" s="9" t="s">
        <v>966</v>
      </c>
      <c r="B425" s="16" t="s">
        <v>967</v>
      </c>
      <c r="C425" s="9" t="s">
        <v>128</v>
      </c>
    </row>
    <row r="426" spans="1:4" ht="27.6" x14ac:dyDescent="0.25">
      <c r="A426" s="9" t="s">
        <v>968</v>
      </c>
      <c r="B426" s="16" t="s">
        <v>969</v>
      </c>
      <c r="C426" s="9" t="s">
        <v>19</v>
      </c>
      <c r="D426" s="9" t="s">
        <v>1013</v>
      </c>
    </row>
    <row r="427" spans="1:4" ht="13.8" x14ac:dyDescent="0.25">
      <c r="A427" s="9" t="s">
        <v>970</v>
      </c>
      <c r="B427" s="16" t="s">
        <v>971</v>
      </c>
      <c r="C427" s="9" t="s">
        <v>19</v>
      </c>
      <c r="D427" s="9" t="s">
        <v>29</v>
      </c>
    </row>
    <row r="428" spans="1:4" ht="13.8" x14ac:dyDescent="0.25">
      <c r="A428" s="9" t="s">
        <v>972</v>
      </c>
      <c r="B428" s="16" t="s">
        <v>973</v>
      </c>
      <c r="C428" s="9" t="s">
        <v>44</v>
      </c>
    </row>
    <row r="429" spans="1:4" ht="13.8" x14ac:dyDescent="0.25">
      <c r="A429" s="9" t="s">
        <v>974</v>
      </c>
      <c r="B429" s="16" t="s">
        <v>975</v>
      </c>
      <c r="C429" s="9" t="s">
        <v>44</v>
      </c>
    </row>
    <row r="430" spans="1:4" ht="13.8" x14ac:dyDescent="0.25">
      <c r="A430" s="9" t="s">
        <v>976</v>
      </c>
      <c r="B430" s="16" t="s">
        <v>977</v>
      </c>
      <c r="C430" s="9" t="s">
        <v>19</v>
      </c>
      <c r="D430" s="9" t="s">
        <v>1013</v>
      </c>
    </row>
    <row r="431" spans="1:4" ht="13.8" x14ac:dyDescent="0.25">
      <c r="A431" s="9" t="s">
        <v>978</v>
      </c>
      <c r="B431" s="16" t="s">
        <v>979</v>
      </c>
      <c r="C431" s="9" t="s">
        <v>19</v>
      </c>
      <c r="D431" s="9" t="s">
        <v>104</v>
      </c>
    </row>
    <row r="432" spans="1:4" ht="27.6" x14ac:dyDescent="0.25">
      <c r="A432" s="9" t="s">
        <v>980</v>
      </c>
      <c r="B432" s="16" t="s">
        <v>981</v>
      </c>
      <c r="C432" s="9" t="s">
        <v>19</v>
      </c>
      <c r="D432" s="9" t="s">
        <v>29</v>
      </c>
    </row>
    <row r="433" spans="1:3" ht="13.8" x14ac:dyDescent="0.25">
      <c r="A433" s="9" t="s">
        <v>982</v>
      </c>
      <c r="B433" s="16" t="s">
        <v>983</v>
      </c>
      <c r="C433" s="9" t="s">
        <v>44</v>
      </c>
    </row>
    <row r="434" spans="1:3" ht="13.8" x14ac:dyDescent="0.25"/>
    <row r="435" spans="1:3" ht="13.8" x14ac:dyDescent="0.25"/>
    <row r="436" spans="1:3" ht="13.8" x14ac:dyDescent="0.25"/>
    <row r="437" spans="1:3" ht="13.8" x14ac:dyDescent="0.25"/>
    <row r="438" spans="1:3" ht="13.8" x14ac:dyDescent="0.25"/>
    <row r="439" spans="1:3" ht="13.8" x14ac:dyDescent="0.25"/>
    <row r="440" spans="1:3" ht="13.8" x14ac:dyDescent="0.25"/>
    <row r="441" spans="1:3" ht="13.8" x14ac:dyDescent="0.25"/>
    <row r="442" spans="1:3" ht="13.8" x14ac:dyDescent="0.25"/>
    <row r="443" spans="1:3" ht="13.8" x14ac:dyDescent="0.25"/>
    <row r="444" spans="1:3" ht="13.8" x14ac:dyDescent="0.25"/>
    <row r="445" spans="1:3" ht="13.8" x14ac:dyDescent="0.25"/>
    <row r="446" spans="1:3" ht="13.8" x14ac:dyDescent="0.25"/>
    <row r="447" spans="1:3" ht="13.8" x14ac:dyDescent="0.25"/>
    <row r="448" spans="1:3"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sheetData>
  <conditionalFormatting sqref="C4 C9">
    <cfRule type="expression" dxfId="2" priority="3">
      <formula>INDIRECT("tajkia_labels!C2:C63")&lt;&gt;INDIRECT("balreet_labels!C2:C63")</formula>
    </cfRule>
  </conditionalFormatting>
  <conditionalFormatting sqref="C135">
    <cfRule type="expression" dxfId="1" priority="2">
      <formula>INDIRECT("tajkia_labels!C2:C267")&lt;&gt;INDIRECT("balreet_labels!C2:C166")</formula>
    </cfRule>
  </conditionalFormatting>
  <conditionalFormatting sqref="C209">
    <cfRule type="expression" dxfId="0" priority="1">
      <formula>INDIRECT("tajkia_labels!C2:C267")&lt;&gt;INDIRECT("balreet_labels!C2:C267")</formula>
    </cfRule>
  </conditionalFormatting>
  <hyperlinks>
    <hyperlink ref="B96" r:id="rId1" xr:uid="{00000000-0004-0000-0100-000000000000}"/>
    <hyperlink ref="B194" r:id="rId2" xr:uid="{00000000-0004-0000-0100-000001000000}"/>
    <hyperlink ref="A204" r:id="rId3" xr:uid="{00000000-0004-0000-0100-000002000000}"/>
    <hyperlink ref="A205" r:id="rId4" xr:uid="{00000000-0004-0000-0100-000003000000}"/>
    <hyperlink ref="B230" r:id="rId5" xr:uid="{00000000-0004-0000-0100-000004000000}"/>
    <hyperlink ref="B232" r:id="rId6" xr:uid="{00000000-0004-0000-0100-000005000000}"/>
    <hyperlink ref="A321" r:id="rId7" xr:uid="{00000000-0004-0000-0100-000006000000}"/>
    <hyperlink ref="A324" r:id="rId8" xr:uid="{00000000-0004-0000-0100-000007000000}"/>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74"/>
  <sheetViews>
    <sheetView tabSelected="1" workbookViewId="0">
      <selection activeCell="F3" sqref="F3"/>
    </sheetView>
  </sheetViews>
  <sheetFormatPr defaultColWidth="12.6640625" defaultRowHeight="15" customHeight="1" x14ac:dyDescent="0.3"/>
  <cols>
    <col min="1" max="1" width="86.77734375" customWidth="1"/>
    <col min="3" max="3" width="36" customWidth="1"/>
    <col min="4" max="4" width="25.6640625" customWidth="1"/>
    <col min="5" max="5" width="43.21875" customWidth="1"/>
  </cols>
  <sheetData>
    <row r="1" spans="1:6" x14ac:dyDescent="0.3">
      <c r="A1" s="5"/>
      <c r="B1" s="5">
        <f ca="1">SUM(B3:B1002)</f>
        <v>419</v>
      </c>
      <c r="C1" s="5"/>
      <c r="D1" s="5">
        <f ca="1">SUM(D3:D20)</f>
        <v>419</v>
      </c>
      <c r="E1" s="5"/>
      <c r="F1" s="5">
        <f ca="1">SUM(F3:F1002)</f>
        <v>404</v>
      </c>
    </row>
    <row r="2" spans="1:6" x14ac:dyDescent="0.3">
      <c r="A2" s="5" t="s">
        <v>1088</v>
      </c>
      <c r="B2" s="5" t="s">
        <v>1089</v>
      </c>
      <c r="C2" s="5" t="s">
        <v>1090</v>
      </c>
      <c r="D2" s="5" t="s">
        <v>1089</v>
      </c>
      <c r="E2" s="5" t="s">
        <v>1091</v>
      </c>
      <c r="F2" s="5" t="s">
        <v>1089</v>
      </c>
    </row>
    <row r="3" spans="1:6" x14ac:dyDescent="0.3">
      <c r="A3" s="6" t="str">
        <f ca="1">IFERROR(__xludf.DUMMYFUNCTION("UNIQUE(author1_labels!A2:A433)"),"https://huggingface.co/01-ai/Yi-34B/discussions/6")</f>
        <v>https://huggingface.co/01-ai/Yi-34B/discussions/6</v>
      </c>
      <c r="B3" s="1">
        <f ca="1">COUNTIFS(author1_labels!$A$2:$A$433,A3,author1_labels!$B$2:$B$433,"&lt;&gt;")</f>
        <v>2</v>
      </c>
      <c r="C3" s="7" t="str">
        <f ca="1">IFERROR(__xludf.DUMMYFUNCTION("UNIQUE(author1_labels!D2:D433)"),"Model Details/License")</f>
        <v>Model Details/License</v>
      </c>
      <c r="D3" s="1">
        <f ca="1">COUNTIF(author1_labels!D$2:D$433,C3)</f>
        <v>21</v>
      </c>
      <c r="E3" s="1" t="str">
        <f ca="1">IFERROR(__xludf.DUMMYFUNCTION("UNIQUE(author1_labels!G2:G433)"),"license")</f>
        <v>license</v>
      </c>
      <c r="F3" s="1">
        <f ca="1">COUNTIF(author1_labels!G2:G433,E3)</f>
        <v>2</v>
      </c>
    </row>
    <row r="4" spans="1:6" x14ac:dyDescent="0.3">
      <c r="A4" s="6" t="str">
        <f ca="1">IFERROR(__xludf.DUMMYFUNCTION("""COMPUTED_VALUE"""),"https://huggingface.co/01-ai/Yi-34B/discussions/8")</f>
        <v>https://huggingface.co/01-ai/Yi-34B/discussions/8</v>
      </c>
      <c r="B4" s="1">
        <f ca="1">COUNTIFS(author1_labels!$A$2:$A$433,A4,author1_labels!$B$2:$B$433,"&lt;&gt;")</f>
        <v>1</v>
      </c>
      <c r="C4" s="1" t="str">
        <f ca="1">IFERROR(__xludf.DUMMYFUNCTION("""COMPUTED_VALUE"""),"Model Details/Model type")</f>
        <v>Model Details/Model type</v>
      </c>
      <c r="D4" s="1">
        <f ca="1">COUNTIF(author1_labels!D$2:D$433,C4)</f>
        <v>16</v>
      </c>
      <c r="E4" s="1" t="str">
        <f ca="1">IFERROR(__xludf.DUMMYFUNCTION("""COMPUTED_VALUE"""),"current context length support")</f>
        <v>current context length support</v>
      </c>
      <c r="F4" s="1">
        <f ca="1">COUNTIF(author1_labels!G3:G434,E4)</f>
        <v>5</v>
      </c>
    </row>
    <row r="5" spans="1:6" x14ac:dyDescent="0.3">
      <c r="A5" s="6" t="str">
        <f ca="1">IFERROR(__xludf.DUMMYFUNCTION("""COMPUTED_VALUE"""),"https://huggingface.co/Abirate/gpt_3_finetuned_multi_x_science/discussions/1")</f>
        <v>https://huggingface.co/Abirate/gpt_3_finetuned_multi_x_science/discussions/1</v>
      </c>
      <c r="B5" s="1">
        <f ca="1">COUNTIFS(author1_labels!$A$2:$A$433,A5,author1_labels!$B$2:$B$433,"&lt;&gt;")</f>
        <v>1</v>
      </c>
      <c r="C5" s="1" t="str">
        <f ca="1">IFERROR(__xludf.DUMMYFUNCTION("""COMPUTED_VALUE"""),"Unmapped")</f>
        <v>Unmapped</v>
      </c>
      <c r="D5" s="1">
        <f ca="1">COUNTIF(author1_labels!D$2:D$433,C5)</f>
        <v>241</v>
      </c>
      <c r="E5" s="1" t="str">
        <f ca="1">IFERROR(__xludf.DUMMYFUNCTION("""COMPUTED_VALUE"""),"model variant/model type")</f>
        <v>model variant/model type</v>
      </c>
      <c r="F5" s="1">
        <f ca="1">COUNTIF(author1_labels!G4:G435,E5)</f>
        <v>3</v>
      </c>
    </row>
    <row r="6" spans="1:6" x14ac:dyDescent="0.3">
      <c r="A6" s="6" t="str">
        <f ca="1">IFERROR(__xludf.DUMMYFUNCTION("""COMPUTED_VALUE"""),"https://huggingface.co/adept/fuyu-8b/discussions/35")</f>
        <v>https://huggingface.co/adept/fuyu-8b/discussions/35</v>
      </c>
      <c r="B6" s="1">
        <f ca="1">COUNTIFS(author1_labels!$A$2:$A$433,A6,author1_labels!$B$2:$B$433,"&lt;&gt;")</f>
        <v>1</v>
      </c>
      <c r="C6" s="1" t="str">
        <f ca="1">IFERROR(__xludf.DUMMYFUNCTION("""COMPUTED_VALUE"""),"Model Details/Paper or other resource")</f>
        <v>Model Details/Paper or other resource</v>
      </c>
      <c r="D6" s="1">
        <f ca="1">COUNTIF(author1_labels!D$2:D$433,C6)</f>
        <v>22</v>
      </c>
      <c r="E6" s="1" t="str">
        <f ca="1">IFERROR(__xludf.DUMMYFUNCTION("""COMPUTED_VALUE"""),"script/inference script request")</f>
        <v>script/inference script request</v>
      </c>
      <c r="F6" s="1">
        <f ca="1">COUNTIF(author1_labels!G5:G436,E6)</f>
        <v>1</v>
      </c>
    </row>
    <row r="7" spans="1:6" x14ac:dyDescent="0.3">
      <c r="A7" s="6" t="str">
        <f ca="1">IFERROR(__xludf.DUMMYFUNCTION("""COMPUTED_VALUE"""),"https://huggingface.co/adept/fuyu-8b/discussions/46")</f>
        <v>https://huggingface.co/adept/fuyu-8b/discussions/46</v>
      </c>
      <c r="B7" s="1">
        <f ca="1">COUNTIFS(author1_labels!$A$2:$A$433,A7,author1_labels!$B$2:$B$433,"&lt;&gt;")</f>
        <v>2</v>
      </c>
      <c r="C7" s="1" t="str">
        <f ca="1">IFERROR(__xludf.DUMMYFUNCTION("""COMPUTED_VALUE"""),"Intended Use/Primary intended uses")</f>
        <v>Intended Use/Primary intended uses</v>
      </c>
      <c r="D7" s="1">
        <f ca="1">COUNTIF(author1_labels!D$2:D$433,C7)</f>
        <v>28</v>
      </c>
      <c r="E7" s="1" t="str">
        <f ca="1">IFERROR(__xludf.DUMMYFUNCTION("""COMPUTED_VALUE"""),"model use")</f>
        <v>model use</v>
      </c>
      <c r="F7" s="1">
        <f ca="1">COUNTIF(author1_labels!G6:G437,E7)</f>
        <v>9</v>
      </c>
    </row>
    <row r="8" spans="1:6" x14ac:dyDescent="0.3">
      <c r="A8" s="6" t="str">
        <f ca="1">IFERROR(__xludf.DUMMYFUNCTION("""COMPUTED_VALUE"""),"https://huggingface.co/ahmedrachid/FinancialBERT-Sentiment-Analysis/discussions/4")</f>
        <v>https://huggingface.co/ahmedrachid/FinancialBERT-Sentiment-Analysis/discussions/4</v>
      </c>
      <c r="B8" s="1">
        <f ca="1">COUNTIFS(author1_labels!$A$2:$A$433,A8,author1_labels!$B$2:$B$433,"&lt;&gt;")</f>
        <v>1</v>
      </c>
      <c r="C8" s="1" t="str">
        <f ca="1">IFERROR(__xludf.DUMMYFUNCTION("""COMPUTED_VALUE"""),"Model Details/Training detail")</f>
        <v>Model Details/Training detail</v>
      </c>
      <c r="D8" s="1">
        <f ca="1">COUNTIF(author1_labels!D$2:D$433,C8)</f>
        <v>28</v>
      </c>
      <c r="E8" s="1" t="str">
        <f ca="1">IFERROR(__xludf.DUMMYFUNCTION("""COMPUTED_VALUE"""),"code/model use code request")</f>
        <v>code/model use code request</v>
      </c>
      <c r="F8" s="1">
        <f ca="1">COUNTIF(author1_labels!G7:G438,E8)</f>
        <v>2</v>
      </c>
    </row>
    <row r="9" spans="1:6" x14ac:dyDescent="0.3">
      <c r="A9" s="6" t="str">
        <f ca="1">IFERROR(__xludf.DUMMYFUNCTION("""COMPUTED_VALUE"""),"https://huggingface.co/ai4bharat/indic-bert/discussions/2")</f>
        <v>https://huggingface.co/ai4bharat/indic-bert/discussions/2</v>
      </c>
      <c r="B9" s="1">
        <f ca="1">COUNTIFS(author1_labels!$A$2:$A$433,A9,author1_labels!$B$2:$B$433,"&lt;&gt;")</f>
        <v>1</v>
      </c>
      <c r="C9" s="1" t="str">
        <f ca="1">IFERROR(__xludf.DUMMYFUNCTION("""COMPUTED_VALUE"""),"Training Data/Datasets")</f>
        <v>Training Data/Datasets</v>
      </c>
      <c r="D9" s="1">
        <f ca="1">COUNTIF(author1_labels!D$2:D$433,C9)</f>
        <v>20</v>
      </c>
      <c r="E9" s="1" t="str">
        <f ca="1">IFERROR(__xludf.DUMMYFUNCTION("""COMPUTED_VALUE"""),"model use/os")</f>
        <v>model use/os</v>
      </c>
      <c r="F9" s="1">
        <f ca="1">COUNTIF(author1_labels!G8:G439,E9)</f>
        <v>2</v>
      </c>
    </row>
    <row r="10" spans="1:6" x14ac:dyDescent="0.3">
      <c r="A10" s="6" t="str">
        <f ca="1">IFERROR(__xludf.DUMMYFUNCTION("""COMPUTED_VALUE"""),"https://huggingface.co/anon8231489123/gpt4-x-alpaca-13b-native-4bit-128g/discussions/12")</f>
        <v>https://huggingface.co/anon8231489123/gpt4-x-alpaca-13b-native-4bit-128g/discussions/12</v>
      </c>
      <c r="B10" s="1">
        <f ca="1">COUNTIFS(author1_labels!$A$2:$A$433,A10,author1_labels!$B$2:$B$433,"&lt;&gt;")</f>
        <v>1</v>
      </c>
      <c r="C10" s="1" t="str">
        <f ca="1">IFERROR(__xludf.DUMMYFUNCTION("""COMPUTED_VALUE"""),"Evaluation Data/Datasets")</f>
        <v>Evaluation Data/Datasets</v>
      </c>
      <c r="D10" s="1">
        <f ca="1">COUNTIF(author1_labels!D$2:D$433,C10)</f>
        <v>2</v>
      </c>
      <c r="E10" s="1" t="str">
        <f ca="1">IFERROR(__xludf.DUMMYFUNCTION("""COMPUTED_VALUE"""),"feature support inquiry")</f>
        <v>feature support inquiry</v>
      </c>
      <c r="F10" s="1">
        <f ca="1">COUNTIF(author1_labels!G9:G440,E10)</f>
        <v>6</v>
      </c>
    </row>
    <row r="11" spans="1:6" x14ac:dyDescent="0.3">
      <c r="A11" s="6" t="str">
        <f ca="1">IFERROR(__xludf.DUMMYFUNCTION("""COMPUTED_VALUE"""),"https://huggingface.co/anon8231489123/gpt4-x-alpaca-13b-native-4bit-128g/discussions/36")</f>
        <v>https://huggingface.co/anon8231489123/gpt4-x-alpaca-13b-native-4bit-128g/discussions/36</v>
      </c>
      <c r="B11" s="1">
        <f ca="1">COUNTIFS(author1_labels!$A$2:$A$433,A11,author1_labels!$B$2:$B$433,"&lt;&gt;")</f>
        <v>1</v>
      </c>
      <c r="C11" s="1" t="str">
        <f ca="1">IFERROR(__xludf.DUMMYFUNCTION("""COMPUTED_VALUE"""),"Metrics/Variation approaches")</f>
        <v>Metrics/Variation approaches</v>
      </c>
      <c r="D11" s="1">
        <f ca="1">COUNTIF(author1_labels!D$2:D$433,C11)</f>
        <v>3</v>
      </c>
      <c r="E11" s="1" t="str">
        <f ca="1">IFERROR(__xludf.DUMMYFUNCTION("""COMPUTED_VALUE"""),"model use/tokenizer behaviour")</f>
        <v>model use/tokenizer behaviour</v>
      </c>
      <c r="F11" s="1">
        <f ca="1">COUNTIF(author1_labels!G10:G441,E11)</f>
        <v>2</v>
      </c>
    </row>
    <row r="12" spans="1:6" x14ac:dyDescent="0.3">
      <c r="A12" s="6" t="str">
        <f ca="1">IFERROR(__xludf.DUMMYFUNCTION("""COMPUTED_VALUE"""),"https://huggingface.co/anon8231489123/vicuna-13b-GPTQ-4bit-128g/discussions/47")</f>
        <v>https://huggingface.co/anon8231489123/vicuna-13b-GPTQ-4bit-128g/discussions/47</v>
      </c>
      <c r="B12" s="1">
        <f ca="1">COUNTIFS(author1_labels!$A$2:$A$433,A12,author1_labels!$B$2:$B$433,"&lt;&gt;")</f>
        <v>1</v>
      </c>
      <c r="C12" s="1" t="str">
        <f ca="1">IFERROR(__xludf.DUMMYFUNCTION("""COMPUTED_VALUE"""),"Intended Use/Out-of-scope use cases")</f>
        <v>Intended Use/Out-of-scope use cases</v>
      </c>
      <c r="D12" s="1">
        <f ca="1">COUNTIF(author1_labels!D$2:D$433,C12)</f>
        <v>10</v>
      </c>
      <c r="E12" s="1" t="str">
        <f ca="1">IFERROR(__xludf.DUMMYFUNCTION("""COMPUTED_VALUE"""),"training detail")</f>
        <v>training detail</v>
      </c>
      <c r="F12" s="1">
        <f ca="1">COUNTIF(author1_labels!G11:G442,E12)</f>
        <v>8</v>
      </c>
    </row>
    <row r="13" spans="1:6" x14ac:dyDescent="0.3">
      <c r="A13" s="6" t="str">
        <f ca="1">IFERROR(__xludf.DUMMYFUNCTION("""COMPUTED_VALUE"""),"https://huggingface.co/artificialguybr/OpenHermesV2-PTBR/discussions/2")</f>
        <v>https://huggingface.co/artificialguybr/OpenHermesV2-PTBR/discussions/2</v>
      </c>
      <c r="B13" s="1">
        <f ca="1">COUNTIFS(author1_labels!$A$2:$A$433,A13,author1_labels!$B$2:$B$433,"&lt;&gt;")</f>
        <v>1</v>
      </c>
      <c r="C13" s="1" t="str">
        <f ca="1">IFERROR(__xludf.DUMMYFUNCTION("""COMPUTED_VALUE"""),"Training Data/Preprocessing")</f>
        <v>Training Data/Preprocessing</v>
      </c>
      <c r="D13" s="1">
        <f ca="1">COUNTIF(author1_labels!D$2:D$433,C13)</f>
        <v>5</v>
      </c>
      <c r="E13" s="1" t="str">
        <f ca="1">IFERROR(__xludf.DUMMYFUNCTION("""COMPUTED_VALUE"""),"dataset/preprocessing code request")</f>
        <v>dataset/preprocessing code request</v>
      </c>
      <c r="F13" s="1">
        <f ca="1">COUNTIF(author1_labels!G12:G443,E13)</f>
        <v>4</v>
      </c>
    </row>
    <row r="14" spans="1:6" x14ac:dyDescent="0.3">
      <c r="A14" s="6" t="str">
        <f ca="1">IFERROR(__xludf.DUMMYFUNCTION("""COMPUTED_VALUE"""),"https://huggingface.co/athirdpath/Iambe-20b-DARE/discussions/1")</f>
        <v>https://huggingface.co/athirdpath/Iambe-20b-DARE/discussions/1</v>
      </c>
      <c r="B14" s="1">
        <f ca="1">COUNTIFS(author1_labels!$A$2:$A$433,A14,author1_labels!$B$2:$B$433,"&lt;&gt;")</f>
        <v>1</v>
      </c>
      <c r="C14" s="1" t="str">
        <f ca="1">IFERROR(__xludf.DUMMYFUNCTION("""COMPUTED_VALUE"""),"Training Data/Motivation")</f>
        <v>Training Data/Motivation</v>
      </c>
      <c r="D14" s="1">
        <f ca="1">COUNTIF(author1_labels!D$2:D$433,C14)</f>
        <v>2</v>
      </c>
      <c r="E14" s="1" t="str">
        <f ca="1">IFERROR(__xludf.DUMMYFUNCTION("""COMPUTED_VALUE"""),"finetuning possibilities")</f>
        <v>finetuning possibilities</v>
      </c>
      <c r="F14" s="1">
        <f ca="1">COUNTIF(author1_labels!G13:G444,E14)</f>
        <v>4</v>
      </c>
    </row>
    <row r="15" spans="1:6" x14ac:dyDescent="0.3">
      <c r="A15" s="6" t="str">
        <f ca="1">IFERROR(__xludf.DUMMYFUNCTION("""COMPUTED_VALUE"""),"https://huggingface.co/BAAI/bge-reranker-large/discussions/7")</f>
        <v>https://huggingface.co/BAAI/bge-reranker-large/discussions/7</v>
      </c>
      <c r="B15" s="1">
        <f ca="1">COUNTIFS(author1_labels!$A$2:$A$433,A15,author1_labels!$B$2:$B$433,"&lt;&gt;")</f>
        <v>2</v>
      </c>
      <c r="C15" s="1"/>
      <c r="D15" s="1">
        <f>COUNTIF(author1_labels!D$2:D$433,C15)</f>
        <v>0</v>
      </c>
      <c r="E15" s="1" t="str">
        <f ca="1">IFERROR(__xludf.DUMMYFUNCTION("""COMPUTED_VALUE"""),"dataset/training data source")</f>
        <v>dataset/training data source</v>
      </c>
      <c r="F15" s="1">
        <f ca="1">COUNTIF(author1_labels!G14:G445,E15)</f>
        <v>11</v>
      </c>
    </row>
    <row r="16" spans="1:6" x14ac:dyDescent="0.3">
      <c r="A16" s="6" t="str">
        <f ca="1">IFERROR(__xludf.DUMMYFUNCTION("""COMPUTED_VALUE"""),"https://huggingface.co/baichuan-inc/Baichuan2-13B-Chat/discussions/26")</f>
        <v>https://huggingface.co/baichuan-inc/Baichuan2-13B-Chat/discussions/26</v>
      </c>
      <c r="B16" s="1">
        <f ca="1">COUNTIFS(author1_labels!$A$2:$A$433,A16,author1_labels!$B$2:$B$433,"&lt;&gt;")</f>
        <v>1</v>
      </c>
      <c r="C16" s="1" t="str">
        <f ca="1">IFERROR(__xludf.DUMMYFUNCTION("""COMPUTED_VALUE"""),"Quantitative Analyses/Unitary results")</f>
        <v>Quantitative Analyses/Unitary results</v>
      </c>
      <c r="D16" s="1">
        <f ca="1">COUNTIF(author1_labels!D$2:D$433,C16)</f>
        <v>12</v>
      </c>
      <c r="E16" s="1"/>
      <c r="F16" s="1">
        <f>COUNTIF(author1_labels!G15:G446,E16)</f>
        <v>0</v>
      </c>
    </row>
    <row r="17" spans="1:6" x14ac:dyDescent="0.3">
      <c r="A17" s="6" t="str">
        <f ca="1">IFERROR(__xludf.DUMMYFUNCTION("""COMPUTED_VALUE"""),"https://huggingface.co/benjamin/roberta-base-wechsel-german/discussions/1")</f>
        <v>https://huggingface.co/benjamin/roberta-base-wechsel-german/discussions/1</v>
      </c>
      <c r="B17" s="1">
        <f ca="1">COUNTIFS(author1_labels!$A$2:$A$433,A17,author1_labels!$B$2:$B$433,"&lt;&gt;")</f>
        <v>2</v>
      </c>
      <c r="C17" s="1" t="str">
        <f ca="1">IFERROR(__xludf.DUMMYFUNCTION("""COMPUTED_VALUE"""),"Evaluation Data/Preprocessing")</f>
        <v>Evaluation Data/Preprocessing</v>
      </c>
      <c r="D17" s="1">
        <f ca="1">COUNTIF(author1_labels!D$2:D$433,C17)</f>
        <v>6</v>
      </c>
      <c r="E17" s="1" t="str">
        <f ca="1">IFERROR(__xludf.DUMMYFUNCTION("""COMPUTED_VALUE"""),"feature support inquiry/model output")</f>
        <v>feature support inquiry/model output</v>
      </c>
      <c r="F17" s="1">
        <f ca="1">COUNTIF(author1_labels!G16:G447,E17)</f>
        <v>12</v>
      </c>
    </row>
    <row r="18" spans="1:6" x14ac:dyDescent="0.3">
      <c r="A18" s="6" t="str">
        <f ca="1">IFERROR(__xludf.DUMMYFUNCTION("""COMPUTED_VALUE"""),"https://huggingface.co/berkeley-nest/Starling-LM-7B-alpha/discussions/26")</f>
        <v>https://huggingface.co/berkeley-nest/Starling-LM-7B-alpha/discussions/26</v>
      </c>
      <c r="B18" s="1">
        <f ca="1">COUNTIFS(author1_labels!$A$2:$A$433,A18,author1_labels!$B$2:$B$433,"&lt;&gt;")</f>
        <v>1</v>
      </c>
      <c r="C18" s="1" t="str">
        <f ca="1">IFERROR(__xludf.DUMMYFUNCTION("""COMPUTED_VALUE"""),"Quantitative Analyses/Intersectional results")</f>
        <v>Quantitative Analyses/Intersectional results</v>
      </c>
      <c r="D18" s="1">
        <f ca="1">COUNTIF(author1_labels!D$2:D$433,C18)</f>
        <v>1</v>
      </c>
      <c r="E18" s="1" t="str">
        <f ca="1">IFERROR(__xludf.DUMMYFUNCTION("""COMPUTED_VALUE"""),"model architecture")</f>
        <v>model architecture</v>
      </c>
      <c r="F18" s="1">
        <f ca="1">COUNTIF(author1_labels!G17:G448,E18)</f>
        <v>3</v>
      </c>
    </row>
    <row r="19" spans="1:6" x14ac:dyDescent="0.3">
      <c r="A19" s="6" t="str">
        <f ca="1">IFERROR(__xludf.DUMMYFUNCTION("""COMPUTED_VALUE"""),"https://huggingface.co/berker/vicuna-13B-1.1-GPTQ-3bit-128g-v2/discussions/1")</f>
        <v>https://huggingface.co/berker/vicuna-13B-1.1-GPTQ-3bit-128g-v2/discussions/1</v>
      </c>
      <c r="B19" s="1">
        <f ca="1">COUNTIFS(author1_labels!$A$2:$A$433,A19,author1_labels!$B$2:$B$433,"&lt;&gt;")</f>
        <v>1</v>
      </c>
      <c r="C19" s="1" t="str">
        <f ca="1">IFERROR(__xludf.DUMMYFUNCTION("""COMPUTED_VALUE"""),"Model Details/Citation details")</f>
        <v>Model Details/Citation details</v>
      </c>
      <c r="D19" s="1">
        <f ca="1">COUNTIF(author1_labels!D$2:D$433,C19)</f>
        <v>1</v>
      </c>
      <c r="E19" s="1" t="str">
        <f ca="1">IFERROR(__xludf.DUMMYFUNCTION("""COMPUTED_VALUE"""),"model variant/quantization")</f>
        <v>model variant/quantization</v>
      </c>
      <c r="F19" s="1">
        <f ca="1">COUNTIF(author1_labels!G18:G449,E19)</f>
        <v>9</v>
      </c>
    </row>
    <row r="20" spans="1:6" x14ac:dyDescent="0.3">
      <c r="A20" s="6" t="str">
        <f ca="1">IFERROR(__xludf.DUMMYFUNCTION("""COMPUTED_VALUE"""),"https://huggingface.co/bert-base-uncased/discussions/6")</f>
        <v>https://huggingface.co/bert-base-uncased/discussions/6</v>
      </c>
      <c r="B20" s="1">
        <f ca="1">COUNTIFS(author1_labels!$A$2:$A$433,A20,author1_labels!$B$2:$B$433,"&lt;&gt;")</f>
        <v>1</v>
      </c>
      <c r="C20" s="1" t="str">
        <f ca="1">IFERROR(__xludf.DUMMYFUNCTION("""COMPUTED_VALUE"""),"Metrics/Model performance measures")</f>
        <v>Metrics/Model performance measures</v>
      </c>
      <c r="D20" s="1">
        <f ca="1">COUNTIF(author1_labels!D$2:D$433,C20)</f>
        <v>1</v>
      </c>
      <c r="E20" s="1" t="str">
        <f ca="1">IFERROR(__xludf.DUMMYFUNCTION("""COMPUTED_VALUE"""),"script/training script request")</f>
        <v>script/training script request</v>
      </c>
      <c r="F20" s="1">
        <f ca="1">COUNTIF(author1_labels!G19:G450,E20)</f>
        <v>2</v>
      </c>
    </row>
    <row r="21" spans="1:6" x14ac:dyDescent="0.3">
      <c r="A21" s="6" t="str">
        <f ca="1">IFERROR(__xludf.DUMMYFUNCTION("""COMPUTED_VALUE"""),"https://huggingface.co/BertChristiaens/controlnet-seg-room/discussions/5")</f>
        <v>https://huggingface.co/BertChristiaens/controlnet-seg-room/discussions/5</v>
      </c>
      <c r="B21" s="1">
        <f ca="1">COUNTIFS(author1_labels!$A$2:$A$433,A21,author1_labels!$B$2:$B$433,"&lt;&gt;")</f>
        <v>1</v>
      </c>
      <c r="E21" s="1" t="str">
        <f ca="1">IFERROR(__xludf.DUMMYFUNCTION("""COMPUTED_VALUE"""),"code")</f>
        <v>code</v>
      </c>
      <c r="F21" s="1">
        <f ca="1">COUNTIF(author1_labels!G20:G451,E21)</f>
        <v>1</v>
      </c>
    </row>
    <row r="22" spans="1:6" x14ac:dyDescent="0.3">
      <c r="A22" s="6" t="str">
        <f ca="1">IFERROR(__xludf.DUMMYFUNCTION("""COMPUTED_VALUE"""),"https://huggingface.co/bhenrym14/airoboros-33b-gpt4-1.4.1-PI-8192-GPTQ/discussions/2")</f>
        <v>https://huggingface.co/bhenrym14/airoboros-33b-gpt4-1.4.1-PI-8192-GPTQ/discussions/2</v>
      </c>
      <c r="B22" s="1">
        <f ca="1">COUNTIFS(author1_labels!$A$2:$A$433,A22,author1_labels!$B$2:$B$433,"&lt;&gt;")</f>
        <v>1</v>
      </c>
      <c r="C22" s="2" t="s">
        <v>1092</v>
      </c>
      <c r="D22" s="1">
        <f ca="1">D1-D5</f>
        <v>178</v>
      </c>
      <c r="E22" s="1" t="str">
        <f ca="1">IFERROR(__xludf.DUMMYFUNCTION("""COMPUTED_VALUE"""),"memory_hardware requirement/model use")</f>
        <v>memory_hardware requirement/model use</v>
      </c>
      <c r="F22" s="1">
        <f ca="1">COUNTIF(author1_labels!G21:G452,E22)</f>
        <v>14</v>
      </c>
    </row>
    <row r="23" spans="1:6" x14ac:dyDescent="0.3">
      <c r="A23" s="6" t="str">
        <f ca="1">IFERROR(__xludf.DUMMYFUNCTION("""COMPUTED_VALUE"""),"https://huggingface.co/bigcode/santacoder/discussions/10")</f>
        <v>https://huggingface.co/bigcode/santacoder/discussions/10</v>
      </c>
      <c r="B23" s="1">
        <f ca="1">COUNTIFS(author1_labels!$A$2:$A$433,A23,author1_labels!$B$2:$B$433,"&lt;&gt;")</f>
        <v>1</v>
      </c>
      <c r="E23" s="1" t="str">
        <f ca="1">IFERROR(__xludf.DUMMYFUNCTION("""COMPUTED_VALUE"""),"training detail/parameter settings")</f>
        <v>training detail/parameter settings</v>
      </c>
      <c r="F23" s="1">
        <f ca="1">COUNTIF(author1_labels!G22:G453,E23)</f>
        <v>2</v>
      </c>
    </row>
    <row r="24" spans="1:6" x14ac:dyDescent="0.3">
      <c r="A24" s="6" t="str">
        <f ca="1">IFERROR(__xludf.DUMMYFUNCTION("""COMPUTED_VALUE"""),"https://huggingface.co/bigcode/starcoder/discussions/102")</f>
        <v>https://huggingface.co/bigcode/starcoder/discussions/102</v>
      </c>
      <c r="B24" s="1">
        <f ca="1">COUNTIFS(author1_labels!$A$2:$A$433,A24,author1_labels!$B$2:$B$433,"&lt;&gt;")</f>
        <v>1</v>
      </c>
      <c r="E24" s="1" t="str">
        <f ca="1">IFERROR(__xludf.DUMMYFUNCTION("""COMPUTED_VALUE"""),"model use with other model")</f>
        <v>model use with other model</v>
      </c>
      <c r="F24" s="1">
        <f ca="1">COUNTIF(author1_labels!G23:G454,E24)</f>
        <v>3</v>
      </c>
    </row>
    <row r="25" spans="1:6" x14ac:dyDescent="0.3">
      <c r="A25" s="6" t="str">
        <f ca="1">IFERROR(__xludf.DUMMYFUNCTION("""COMPUTED_VALUE"""),"https://huggingface.co/bigcode/starcoder/discussions/43")</f>
        <v>https://huggingface.co/bigcode/starcoder/discussions/43</v>
      </c>
      <c r="B25" s="1">
        <f ca="1">COUNTIFS(author1_labels!$A$2:$A$433,A25,author1_labels!$B$2:$B$433,"&lt;&gt;")</f>
        <v>2</v>
      </c>
      <c r="E25" s="1" t="str">
        <f ca="1">IFERROR(__xludf.DUMMYFUNCTION("""COMPUTED_VALUE"""),"model variant/parameters")</f>
        <v>model variant/parameters</v>
      </c>
      <c r="F25" s="1">
        <f ca="1">COUNTIF(author1_labels!G24:G455,E25)</f>
        <v>7</v>
      </c>
    </row>
    <row r="26" spans="1:6" x14ac:dyDescent="0.3">
      <c r="A26" s="6" t="str">
        <f ca="1">IFERROR(__xludf.DUMMYFUNCTION("""COMPUTED_VALUE"""),"https://huggingface.co/bigcode/starcoder/discussions/49")</f>
        <v>https://huggingface.co/bigcode/starcoder/discussions/49</v>
      </c>
      <c r="B26" s="1">
        <f ca="1">COUNTIFS(author1_labels!$A$2:$A$433,A26,author1_labels!$B$2:$B$433,"&lt;&gt;")</f>
        <v>1</v>
      </c>
      <c r="E26" s="1" t="str">
        <f ca="1">IFERROR(__xludf.DUMMYFUNCTION("""COMPUTED_VALUE"""),"model input/prompt")</f>
        <v>model input/prompt</v>
      </c>
      <c r="F26" s="1">
        <f ca="1">COUNTIF(author1_labels!G25:G456,E26)</f>
        <v>9</v>
      </c>
    </row>
    <row r="27" spans="1:6" x14ac:dyDescent="0.3">
      <c r="A27" s="6" t="str">
        <f ca="1">IFERROR(__xludf.DUMMYFUNCTION("""COMPUTED_VALUE"""),"https://huggingface.co/bigcode/starcoder/discussions/74")</f>
        <v>https://huggingface.co/bigcode/starcoder/discussions/74</v>
      </c>
      <c r="B27" s="1">
        <f ca="1">COUNTIFS(author1_labels!$A$2:$A$433,A27,author1_labels!$B$2:$B$433,"&lt;&gt;")</f>
        <v>1</v>
      </c>
      <c r="E27" s="1" t="str">
        <f ca="1">IFERROR(__xludf.DUMMYFUNCTION("""COMPUTED_VALUE"""),"error/model load")</f>
        <v>error/model load</v>
      </c>
      <c r="F27" s="1">
        <f ca="1">COUNTIF(author1_labels!G26:G457,E27)</f>
        <v>12</v>
      </c>
    </row>
    <row r="28" spans="1:6" x14ac:dyDescent="0.3">
      <c r="A28" s="6" t="str">
        <f ca="1">IFERROR(__xludf.DUMMYFUNCTION("""COMPUTED_VALUE"""),"https://huggingface.co/bigcode/starcoder/discussions/79")</f>
        <v>https://huggingface.co/bigcode/starcoder/discussions/79</v>
      </c>
      <c r="B28" s="1">
        <f ca="1">COUNTIFS(author1_labels!$A$2:$A$433,A28,author1_labels!$B$2:$B$433,"&lt;&gt;")</f>
        <v>1</v>
      </c>
      <c r="E28" s="1" t="str">
        <f ca="1">IFERROR(__xludf.DUMMYFUNCTION("""COMPUTED_VALUE"""),"model load instruction request")</f>
        <v>model load instruction request</v>
      </c>
      <c r="F28" s="1">
        <f ca="1">COUNTIF(author1_labels!G27:G458,E28)</f>
        <v>8</v>
      </c>
    </row>
    <row r="29" spans="1:6" x14ac:dyDescent="0.3">
      <c r="A29" s="6" t="str">
        <f ca="1">IFERROR(__xludf.DUMMYFUNCTION("""COMPUTED_VALUE"""),"https://huggingface.co/bigcode/starcoder/discussions/80")</f>
        <v>https://huggingface.co/bigcode/starcoder/discussions/80</v>
      </c>
      <c r="B29" s="1">
        <f ca="1">COUNTIFS(author1_labels!$A$2:$A$433,A29,author1_labels!$B$2:$B$433,"&lt;&gt;")</f>
        <v>1</v>
      </c>
      <c r="E29" s="1" t="str">
        <f ca="1">IFERROR(__xludf.DUMMYFUNCTION("""COMPUTED_VALUE"""),"model output")</f>
        <v>model output</v>
      </c>
      <c r="F29" s="1">
        <f ca="1">COUNTIF(author1_labels!G28:G459,E29)</f>
        <v>16</v>
      </c>
    </row>
    <row r="30" spans="1:6" x14ac:dyDescent="0.3">
      <c r="A30" s="6" t="str">
        <f ca="1">IFERROR(__xludf.DUMMYFUNCTION("""COMPUTED_VALUE"""),"https://huggingface.co/bigcode/starcoderbase/discussions/10")</f>
        <v>https://huggingface.co/bigcode/starcoderbase/discussions/10</v>
      </c>
      <c r="B30" s="1">
        <f ca="1">COUNTIFS(author1_labels!$A$2:$A$433,A30,author1_labels!$B$2:$B$433,"&lt;&gt;")</f>
        <v>1</v>
      </c>
      <c r="E30" s="1" t="str">
        <f ca="1">IFERROR(__xludf.DUMMYFUNCTION("""COMPUTED_VALUE"""),"model performance and evaluation")</f>
        <v>model performance and evaluation</v>
      </c>
      <c r="F30" s="1">
        <f ca="1">COUNTIF(author1_labels!G29:G460,E30)</f>
        <v>21</v>
      </c>
    </row>
    <row r="31" spans="1:6" x14ac:dyDescent="0.3">
      <c r="A31" s="6" t="str">
        <f ca="1">IFERROR(__xludf.DUMMYFUNCTION("""COMPUTED_VALUE"""),"https://huggingface.co/bigscience/bloom-1b7/discussions/37")</f>
        <v>https://huggingface.co/bigscience/bloom-1b7/discussions/37</v>
      </c>
      <c r="B31" s="1">
        <f ca="1">COUNTIFS(author1_labels!$A$2:$A$433,A31,author1_labels!$B$2:$B$433,"&lt;&gt;")</f>
        <v>1</v>
      </c>
      <c r="E31" s="1" t="str">
        <f ca="1">IFERROR(__xludf.DUMMYFUNCTION("""COMPUTED_VALUE"""),"finetuning instruction/finetune with different dataset")</f>
        <v>finetuning instruction/finetune with different dataset</v>
      </c>
      <c r="F31" s="1">
        <f ca="1">COUNTIF(author1_labels!G30:G461,E31)</f>
        <v>2</v>
      </c>
    </row>
    <row r="32" spans="1:6" x14ac:dyDescent="0.3">
      <c r="A32" s="6" t="str">
        <f ca="1">IFERROR(__xludf.DUMMYFUNCTION("""COMPUTED_VALUE"""),"https://huggingface.co/bigscience/bloom-560m/discussions/13")</f>
        <v>https://huggingface.co/bigscience/bloom-560m/discussions/13</v>
      </c>
      <c r="B32" s="1">
        <f ca="1">COUNTIFS(author1_labels!$A$2:$A$433,A32,author1_labels!$B$2:$B$433,"&lt;&gt;")</f>
        <v>1</v>
      </c>
      <c r="E32" s="1" t="str">
        <f ca="1">IFERROR(__xludf.DUMMYFUNCTION("""COMPUTED_VALUE"""),"model use instruction request")</f>
        <v>model use instruction request</v>
      </c>
      <c r="F32" s="1">
        <f ca="1">COUNTIF(author1_labels!G31:G462,E32)</f>
        <v>14</v>
      </c>
    </row>
    <row r="33" spans="1:6" x14ac:dyDescent="0.3">
      <c r="A33" s="6" t="str">
        <f ca="1">IFERROR(__xludf.DUMMYFUNCTION("""COMPUTED_VALUE"""),"https://huggingface.co/bigscience/bloom/discussions/209")</f>
        <v>https://huggingface.co/bigscience/bloom/discussions/209</v>
      </c>
      <c r="B33" s="1">
        <f ca="1">COUNTIFS(author1_labels!$A$2:$A$433,A33,author1_labels!$B$2:$B$433,"&lt;&gt;")</f>
        <v>1</v>
      </c>
      <c r="E33" s="1" t="str">
        <f ca="1">IFERROR(__xludf.DUMMYFUNCTION("""COMPUTED_VALUE"""),"memory_hardware requirement/finetuning")</f>
        <v>memory_hardware requirement/finetuning</v>
      </c>
      <c r="F33" s="1">
        <f ca="1">COUNTIF(author1_labels!G32:G463,E33)</f>
        <v>3</v>
      </c>
    </row>
    <row r="34" spans="1:6" x14ac:dyDescent="0.3">
      <c r="A34" s="6" t="str">
        <f ca="1">IFERROR(__xludf.DUMMYFUNCTION("""COMPUTED_VALUE"""),"https://huggingface.co/bigscience/bloom/discussions/80")</f>
        <v>https://huggingface.co/bigscience/bloom/discussions/80</v>
      </c>
      <c r="B34" s="1">
        <f ca="1">COUNTIFS(author1_labels!$A$2:$A$433,A34,author1_labels!$B$2:$B$433,"&lt;&gt;")</f>
        <v>1</v>
      </c>
      <c r="E34" s="1" t="str">
        <f ca="1">IFERROR(__xludf.DUMMYFUNCTION("""COMPUTED_VALUE"""),"model difference")</f>
        <v>model difference</v>
      </c>
      <c r="F34" s="1">
        <f ca="1">COUNTIF(author1_labels!G33:G464,E34)</f>
        <v>7</v>
      </c>
    </row>
    <row r="35" spans="1:6" x14ac:dyDescent="0.3">
      <c r="A35" s="6" t="str">
        <f ca="1">IFERROR(__xludf.DUMMYFUNCTION("""COMPUTED_VALUE"""),"https://huggingface.co/bigscience/bloom/discussions/83")</f>
        <v>https://huggingface.co/bigscience/bloom/discussions/83</v>
      </c>
      <c r="B35" s="1">
        <f ca="1">COUNTIFS(author1_labels!$A$2:$A$433,A35,author1_labels!$B$2:$B$433,"&lt;&gt;")</f>
        <v>1</v>
      </c>
      <c r="E35" s="1" t="str">
        <f ca="1">IFERROR(__xludf.DUMMYFUNCTION("""COMPUTED_VALUE"""),"error")</f>
        <v>error</v>
      </c>
      <c r="F35" s="1">
        <f ca="1">COUNTIF(author1_labels!G34:G465,E35)</f>
        <v>2</v>
      </c>
    </row>
    <row r="36" spans="1:6" x14ac:dyDescent="0.3">
      <c r="A36" s="6" t="str">
        <f ca="1">IFERROR(__xludf.DUMMYFUNCTION("""COMPUTED_VALUE"""),"https://huggingface.co/bigscience/bloom/discussions/91")</f>
        <v>https://huggingface.co/bigscience/bloom/discussions/91</v>
      </c>
      <c r="B36" s="1">
        <f ca="1">COUNTIFS(author1_labels!$A$2:$A$433,A36,author1_labels!$B$2:$B$433,"&lt;&gt;")</f>
        <v>1</v>
      </c>
      <c r="E36" s="1" t="str">
        <f ca="1">IFERROR(__xludf.DUMMYFUNCTION("""COMPUTED_VALUE"""),"model download")</f>
        <v>model download</v>
      </c>
      <c r="F36" s="1">
        <f ca="1">COUNTIF(author1_labels!G35:G466,E36)</f>
        <v>2</v>
      </c>
    </row>
    <row r="37" spans="1:6" x14ac:dyDescent="0.3">
      <c r="A37" s="6" t="str">
        <f ca="1">IFERROR(__xludf.DUMMYFUNCTION("""COMPUTED_VALUE"""),"https://huggingface.co/bigscience/bloomz/discussions/38")</f>
        <v>https://huggingface.co/bigscience/bloomz/discussions/38</v>
      </c>
      <c r="B37" s="1">
        <f ca="1">COUNTIFS(author1_labels!$A$2:$A$433,A37,author1_labels!$B$2:$B$433,"&lt;&gt;")</f>
        <v>1</v>
      </c>
      <c r="E37" s="1" t="str">
        <f ca="1">IFERROR(__xludf.DUMMYFUNCTION("""COMPUTED_VALUE"""),"error/model use")</f>
        <v>error/model use</v>
      </c>
      <c r="F37" s="1">
        <f ca="1">COUNTIF(author1_labels!G36:G467,E37)</f>
        <v>14</v>
      </c>
    </row>
    <row r="38" spans="1:6" x14ac:dyDescent="0.3">
      <c r="A38" s="6" t="str">
        <f ca="1">IFERROR(__xludf.DUMMYFUNCTION("""COMPUTED_VALUE"""),"https://huggingface.co/bigscience/bloomz/discussions/42")</f>
        <v>https://huggingface.co/bigscience/bloomz/discussions/42</v>
      </c>
      <c r="B38" s="1">
        <f ca="1">COUNTIFS(author1_labels!$A$2:$A$433,A38,author1_labels!$B$2:$B$433,"&lt;&gt;")</f>
        <v>1</v>
      </c>
      <c r="E38" s="1" t="str">
        <f ca="1">IFERROR(__xludf.DUMMYFUNCTION("""COMPUTED_VALUE"""),"dataset/training data structure")</f>
        <v>dataset/training data structure</v>
      </c>
      <c r="F38" s="1">
        <f ca="1">COUNTIF(author1_labels!G37:G468,E38)</f>
        <v>2</v>
      </c>
    </row>
    <row r="39" spans="1:6" x14ac:dyDescent="0.3">
      <c r="A39" s="6" t="str">
        <f ca="1">IFERROR(__xludf.DUMMYFUNCTION("""COMPUTED_VALUE"""),"https://huggingface.co/bigscience/bloomz/discussions/44")</f>
        <v>https://huggingface.co/bigscience/bloomz/discussions/44</v>
      </c>
      <c r="B39" s="1">
        <f ca="1">COUNTIFS(author1_labels!$A$2:$A$433,A39,author1_labels!$B$2:$B$433,"&lt;&gt;")</f>
        <v>1</v>
      </c>
      <c r="E39" s="1" t="str">
        <f ca="1">IFERROR(__xludf.DUMMYFUNCTION("""COMPUTED_VALUE"""),"license/commercial use")</f>
        <v>license/commercial use</v>
      </c>
      <c r="F39" s="1">
        <f ca="1">COUNTIF(author1_labels!G38:G469,E39)</f>
        <v>11</v>
      </c>
    </row>
    <row r="40" spans="1:6" x14ac:dyDescent="0.3">
      <c r="A40" s="6" t="str">
        <f ca="1">IFERROR(__xludf.DUMMYFUNCTION("""COMPUTED_VALUE"""),"https://huggingface.co/bigscience/mt0-small/discussions/5")</f>
        <v>https://huggingface.co/bigscience/mt0-small/discussions/5</v>
      </c>
      <c r="B40" s="1">
        <f ca="1">COUNTIFS(author1_labels!$A$2:$A$433,A40,author1_labels!$B$2:$B$433,"&lt;&gt;")</f>
        <v>1</v>
      </c>
      <c r="E40" s="1" t="str">
        <f ca="1">IFERROR(__xludf.DUMMYFUNCTION("""COMPUTED_VALUE"""),"error/unexpected behaviour")</f>
        <v>error/unexpected behaviour</v>
      </c>
      <c r="F40" s="1">
        <f ca="1">COUNTIF(author1_labels!G39:G470,E40)</f>
        <v>1</v>
      </c>
    </row>
    <row r="41" spans="1:6" x14ac:dyDescent="0.3">
      <c r="A41" s="6" t="str">
        <f ca="1">IFERROR(__xludf.DUMMYFUNCTION("""COMPUTED_VALUE"""),"https://huggingface.co/camenduru/potat1/discussions/6")</f>
        <v>https://huggingface.co/camenduru/potat1/discussions/6</v>
      </c>
      <c r="B41" s="1">
        <f ca="1">COUNTIFS(author1_labels!$A$2:$A$433,A41,author1_labels!$B$2:$B$433,"&lt;&gt;")</f>
        <v>1</v>
      </c>
      <c r="E41" s="1" t="str">
        <f ca="1">IFERROR(__xludf.DUMMYFUNCTION("""COMPUTED_VALUE"""),"model download/local")</f>
        <v>model download/local</v>
      </c>
      <c r="F41" s="1">
        <f ca="1">COUNTIF(author1_labels!G40:G471,E41)</f>
        <v>1</v>
      </c>
    </row>
    <row r="42" spans="1:6" x14ac:dyDescent="0.3">
      <c r="A42" s="6" t="str">
        <f ca="1">IFERROR(__xludf.DUMMYFUNCTION("""COMPUTED_VALUE"""),"https://huggingface.co/CausalLM/72B-preview-llamafied-qwen-llamafy/discussions/1")</f>
        <v>https://huggingface.co/CausalLM/72B-preview-llamafied-qwen-llamafy/discussions/1</v>
      </c>
      <c r="B42" s="1">
        <f ca="1">COUNTIFS(author1_labels!$A$2:$A$433,A42,author1_labels!$B$2:$B$433,"&lt;&gt;")</f>
        <v>3</v>
      </c>
      <c r="E42" s="1" t="str">
        <f ca="1">IFERROR(__xludf.DUMMYFUNCTION("""COMPUTED_VALUE"""),"dataset/training data detail")</f>
        <v>dataset/training data detail</v>
      </c>
      <c r="F42" s="1">
        <f ca="1">COUNTIF(author1_labels!G41:G472,E42)</f>
        <v>6</v>
      </c>
    </row>
    <row r="43" spans="1:6" x14ac:dyDescent="0.3">
      <c r="A43" s="6" t="str">
        <f ca="1">IFERROR(__xludf.DUMMYFUNCTION("""COMPUTED_VALUE"""),"https://huggingface.co/cerspense/zeroscope_v2_576w/discussions/3")</f>
        <v>https://huggingface.co/cerspense/zeroscope_v2_576w/discussions/3</v>
      </c>
      <c r="B43" s="1">
        <f ca="1">COUNTIFS(author1_labels!$A$2:$A$433,A43,author1_labels!$B$2:$B$433,"&lt;&gt;")</f>
        <v>1</v>
      </c>
      <c r="E43" s="1" t="str">
        <f ca="1">IFERROR(__xludf.DUMMYFUNCTION("""COMPUTED_VALUE"""),"finetune")</f>
        <v>finetune</v>
      </c>
      <c r="F43" s="1">
        <f ca="1">COUNTIF(author1_labels!G42:G473,E43)</f>
        <v>2</v>
      </c>
    </row>
    <row r="44" spans="1:6" x14ac:dyDescent="0.3">
      <c r="A44" s="6" t="str">
        <f ca="1">IFERROR(__xludf.DUMMYFUNCTION("""COMPUTED_VALUE"""),"https://huggingface.co/cerspense/zeroscope_v2_XL/discussions/11")</f>
        <v>https://huggingface.co/cerspense/zeroscope_v2_XL/discussions/11</v>
      </c>
      <c r="B44" s="1">
        <f ca="1">COUNTIFS(author1_labels!$A$2:$A$433,A44,author1_labels!$B$2:$B$433,"&lt;&gt;")</f>
        <v>1</v>
      </c>
      <c r="E44" s="1" t="str">
        <f ca="1">IFERROR(__xludf.DUMMYFUNCTION("""COMPUTED_VALUE"""),"model name")</f>
        <v>model name</v>
      </c>
      <c r="F44" s="1">
        <f ca="1">COUNTIF(author1_labels!G43:G474,E44)</f>
        <v>1</v>
      </c>
    </row>
    <row r="45" spans="1:6" x14ac:dyDescent="0.3">
      <c r="A45" s="6" t="str">
        <f ca="1">IFERROR(__xludf.DUMMYFUNCTION("""COMPUTED_VALUE"""),"https://huggingface.co/cloudyu/Mixtral_7Bx4_MOE_24B/discussions/1")</f>
        <v>https://huggingface.co/cloudyu/Mixtral_7Bx4_MOE_24B/discussions/1</v>
      </c>
      <c r="B45" s="1">
        <f ca="1">COUNTIFS(author1_labels!$A$2:$A$433,A45,author1_labels!$B$2:$B$433,"&lt;&gt;")</f>
        <v>1</v>
      </c>
      <c r="E45" s="1" t="str">
        <f ca="1">IFERROR(__xludf.DUMMYFUNCTION("""COMPUTED_VALUE"""),"model use with ui/inference/api")</f>
        <v>model use with ui/inference/api</v>
      </c>
      <c r="F45" s="1">
        <f ca="1">COUNTIF(author1_labels!G44:G475,E45)</f>
        <v>3</v>
      </c>
    </row>
    <row r="46" spans="1:6" x14ac:dyDescent="0.3">
      <c r="A46" s="6" t="str">
        <f ca="1">IFERROR(__xludf.DUMMYFUNCTION("""COMPUTED_VALUE"""),"https://huggingface.co/CobraMamba/mamba-gpt-3b-v3/discussions/4")</f>
        <v>https://huggingface.co/CobraMamba/mamba-gpt-3b-v3/discussions/4</v>
      </c>
      <c r="B46" s="1">
        <f ca="1">COUNTIFS(author1_labels!$A$2:$A$433,A46,author1_labels!$B$2:$B$433,"&lt;&gt;")</f>
        <v>1</v>
      </c>
      <c r="E46" s="1" t="str">
        <f ca="1">IFERROR(__xludf.DUMMYFUNCTION("""COMPUTED_VALUE"""),"model variant/context length")</f>
        <v>model variant/context length</v>
      </c>
      <c r="F46" s="1">
        <f ca="1">COUNTIF(author1_labels!G45:G476,E46)</f>
        <v>3</v>
      </c>
    </row>
    <row r="47" spans="1:6" x14ac:dyDescent="0.3">
      <c r="A47" s="6" t="str">
        <f ca="1">IFERROR(__xludf.DUMMYFUNCTION("""COMPUTED_VALUE"""),"https://huggingface.co/codellama/CodeLlama-34b-Instruct-hf/discussions/12")</f>
        <v>https://huggingface.co/codellama/CodeLlama-34b-Instruct-hf/discussions/12</v>
      </c>
      <c r="B47" s="1">
        <f ca="1">COUNTIFS(author1_labels!$A$2:$A$433,A47,author1_labels!$B$2:$B$433,"&lt;&gt;")</f>
        <v>1</v>
      </c>
      <c r="E47" s="1" t="str">
        <f ca="1">IFERROR(__xludf.DUMMYFUNCTION("""COMPUTED_VALUE"""),"model variant/language support")</f>
        <v>model variant/language support</v>
      </c>
      <c r="F47" s="1">
        <f ca="1">COUNTIF(author1_labels!G46:G477,E47)</f>
        <v>1</v>
      </c>
    </row>
    <row r="48" spans="1:6" x14ac:dyDescent="0.3">
      <c r="A48" s="6" t="str">
        <f ca="1">IFERROR(__xludf.DUMMYFUNCTION("""COMPUTED_VALUE"""),"https://huggingface.co/codellama/CodeLlama-34b-Instruct-hf/discussions/16")</f>
        <v>https://huggingface.co/codellama/CodeLlama-34b-Instruct-hf/discussions/16</v>
      </c>
      <c r="B48" s="1">
        <f ca="1">COUNTIFS(author1_labels!$A$2:$A$433,A48,author1_labels!$B$2:$B$433,"&lt;&gt;")</f>
        <v>1</v>
      </c>
      <c r="E48" s="1" t="str">
        <f ca="1">IFERROR(__xludf.DUMMYFUNCTION("""COMPUTED_VALUE"""),"training instruction/train with different dataset")</f>
        <v>training instruction/train with different dataset</v>
      </c>
      <c r="F48" s="1">
        <f ca="1">COUNTIF(author1_labels!G47:G478,E48)</f>
        <v>6</v>
      </c>
    </row>
    <row r="49" spans="1:6" x14ac:dyDescent="0.3">
      <c r="A49" s="6" t="str">
        <f ca="1">IFERROR(__xludf.DUMMYFUNCTION("""COMPUTED_VALUE"""),"https://huggingface.co/CodeNLP/pdn2_v08_kpwr_ner_n82/discussions/1")</f>
        <v>https://huggingface.co/CodeNLP/pdn2_v08_kpwr_ner_n82/discussions/1</v>
      </c>
      <c r="B49" s="1">
        <f ca="1">COUNTIFS(author1_labels!$A$2:$A$433,A49,author1_labels!$B$2:$B$433,"&lt;&gt;")</f>
        <v>1</v>
      </c>
      <c r="E49" s="1" t="str">
        <f ca="1">IFERROR(__xludf.DUMMYFUNCTION("""COMPUTED_VALUE"""),"training instruction")</f>
        <v>training instruction</v>
      </c>
      <c r="F49" s="1">
        <f ca="1">COUNTIF(author1_labels!G48:G479,E49)</f>
        <v>3</v>
      </c>
    </row>
    <row r="50" spans="1:6" x14ac:dyDescent="0.3">
      <c r="A50" s="6" t="str">
        <f ca="1">IFERROR(__xludf.DUMMYFUNCTION("""COMPUTED_VALUE"""),"https://huggingface.co/cognitivecomputations/dolphin-2.2-mistral-7b/discussions/1")</f>
        <v>https://huggingface.co/cognitivecomputations/dolphin-2.2-mistral-7b/discussions/1</v>
      </c>
      <c r="B50" s="1">
        <f ca="1">COUNTIFS(author1_labels!$A$2:$A$433,A50,author1_labels!$B$2:$B$433,"&lt;&gt;")</f>
        <v>1</v>
      </c>
      <c r="E50" s="1" t="str">
        <f ca="1">IFERROR(__xludf.DUMMYFUNCTION("""COMPUTED_VALUE"""),"model use/available arguments")</f>
        <v>model use/available arguments</v>
      </c>
      <c r="F50" s="1">
        <f ca="1">COUNTIF(author1_labels!G49:G480,E50)</f>
        <v>1</v>
      </c>
    </row>
    <row r="51" spans="1:6" x14ac:dyDescent="0.3">
      <c r="A51" s="6" t="str">
        <f ca="1">IFERROR(__xludf.DUMMYFUNCTION("""COMPUTED_VALUE"""),"https://huggingface.co/cognitivecomputations/dolphin-2.5-mixtral-8x7b/discussions/10")</f>
        <v>https://huggingface.co/cognitivecomputations/dolphin-2.5-mixtral-8x7b/discussions/10</v>
      </c>
      <c r="B51" s="1">
        <f ca="1">COUNTIFS(author1_labels!$A$2:$A$433,A51,author1_labels!$B$2:$B$433,"&lt;&gt;")</f>
        <v>1</v>
      </c>
      <c r="E51" s="1" t="str">
        <f ca="1">IFERROR(__xludf.DUMMYFUNCTION("""COMPUTED_VALUE"""),"model file")</f>
        <v>model file</v>
      </c>
      <c r="F51" s="1">
        <f ca="1">COUNTIF(author1_labels!G50:G481,E51)</f>
        <v>7</v>
      </c>
    </row>
    <row r="52" spans="1:6" x14ac:dyDescent="0.3">
      <c r="A52" s="6" t="str">
        <f ca="1">IFERROR(__xludf.DUMMYFUNCTION("""COMPUTED_VALUE"""),"https://huggingface.co/cognitivecomputations/WizardLM-7B-Uncensored/discussions/15")</f>
        <v>https://huggingface.co/cognitivecomputations/WizardLM-7B-Uncensored/discussions/15</v>
      </c>
      <c r="B52" s="1">
        <f ca="1">COUNTIFS(author1_labels!$A$2:$A$433,A52,author1_labels!$B$2:$B$433,"&lt;&gt;")</f>
        <v>1</v>
      </c>
      <c r="E52" s="1" t="str">
        <f ca="1">IFERROR(__xludf.DUMMYFUNCTION("""COMPUTED_VALUE"""),"error/model load/local")</f>
        <v>error/model load/local</v>
      </c>
      <c r="F52" s="1">
        <f ca="1">COUNTIF(author1_labels!G51:G482,E52)</f>
        <v>1</v>
      </c>
    </row>
    <row r="53" spans="1:6" x14ac:dyDescent="0.3">
      <c r="A53" s="6" t="str">
        <f ca="1">IFERROR(__xludf.DUMMYFUNCTION("""COMPUTED_VALUE"""),"https://huggingface.co/CompVis/stable-diffusion-v1-4/discussions/19")</f>
        <v>https://huggingface.co/CompVis/stable-diffusion-v1-4/discussions/19</v>
      </c>
      <c r="B53" s="1">
        <f ca="1">COUNTIFS(author1_labels!$A$2:$A$433,A53,author1_labels!$B$2:$B$433,"&lt;&gt;")</f>
        <v>1</v>
      </c>
      <c r="E53" s="1" t="str">
        <f ca="1">IFERROR(__xludf.DUMMYFUNCTION("""COMPUTED_VALUE"""),"model algorithm")</f>
        <v>model algorithm</v>
      </c>
      <c r="F53" s="1">
        <f ca="1">COUNTIF(author1_labels!G52:G483,E53)</f>
        <v>3</v>
      </c>
    </row>
    <row r="54" spans="1:6" x14ac:dyDescent="0.3">
      <c r="A54" s="6" t="str">
        <f ca="1">IFERROR(__xludf.DUMMYFUNCTION("""COMPUTED_VALUE"""),"https://huggingface.co/CompVis/stable-diffusion-v1-4/discussions/26")</f>
        <v>https://huggingface.co/CompVis/stable-diffusion-v1-4/discussions/26</v>
      </c>
      <c r="B54" s="1">
        <f ca="1">COUNTIFS(author1_labels!$A$2:$A$433,A54,author1_labels!$B$2:$B$433,"&lt;&gt;")</f>
        <v>1</v>
      </c>
      <c r="E54" s="1" t="str">
        <f ca="1">IFERROR(__xludf.DUMMYFUNCTION("""COMPUTED_VALUE"""),"error/dataset processing")</f>
        <v>error/dataset processing</v>
      </c>
      <c r="F54" s="1">
        <f ca="1">COUNTIF(author1_labels!G53:G484,E54)</f>
        <v>1</v>
      </c>
    </row>
    <row r="55" spans="1:6" x14ac:dyDescent="0.3">
      <c r="A55" s="6" t="str">
        <f ca="1">IFERROR(__xludf.DUMMYFUNCTION("""COMPUTED_VALUE"""),"https://huggingface.co/CompVis/stable-diffusion-v1-4/discussions/86")</f>
        <v>https://huggingface.co/CompVis/stable-diffusion-v1-4/discussions/86</v>
      </c>
      <c r="B55" s="1">
        <f ca="1">COUNTIFS(author1_labels!$A$2:$A$433,A55,author1_labels!$B$2:$B$433,"&lt;&gt;")</f>
        <v>1</v>
      </c>
      <c r="E55" s="1" t="str">
        <f ca="1">IFERROR(__xludf.DUMMYFUNCTION("""COMPUTED_VALUE"""),"code/preprocessing code request")</f>
        <v>code/preprocessing code request</v>
      </c>
      <c r="F55" s="1">
        <f ca="1">COUNTIF(author1_labels!G54:G485,E55)</f>
        <v>1</v>
      </c>
    </row>
    <row r="56" spans="1:6" x14ac:dyDescent="0.3">
      <c r="A56" s="6" t="str">
        <f ca="1">IFERROR(__xludf.DUMMYFUNCTION("""COMPUTED_VALUE"""),"https://huggingface.co/coqui/XTTS-v2/discussions/27")</f>
        <v>https://huggingface.co/coqui/XTTS-v2/discussions/27</v>
      </c>
      <c r="B56" s="1">
        <f ca="1">COUNTIFS(author1_labels!$A$2:$A$433,A56,author1_labels!$B$2:$B$433,"&lt;&gt;")</f>
        <v>0</v>
      </c>
      <c r="E56" s="1" t="str">
        <f ca="1">IFERROR(__xludf.DUMMYFUNCTION("""COMPUTED_VALUE"""),"dataset/preprocessing for training")</f>
        <v>dataset/preprocessing for training</v>
      </c>
      <c r="F56" s="1">
        <f ca="1">COUNTIF(author1_labels!G55:G486,E56)</f>
        <v>3</v>
      </c>
    </row>
    <row r="57" spans="1:6" x14ac:dyDescent="0.3">
      <c r="A57" s="6" t="str">
        <f ca="1">IFERROR(__xludf.DUMMYFUNCTION("""COMPUTED_VALUE"""),"https://huggingface.co/core42/jais-13b-chat/discussions/11")</f>
        <v>https://huggingface.co/core42/jais-13b-chat/discussions/11</v>
      </c>
      <c r="B57" s="1">
        <f ca="1">COUNTIFS(author1_labels!$A$2:$A$433,A57,author1_labels!$B$2:$B$433,"&lt;&gt;")</f>
        <v>1</v>
      </c>
      <c r="E57" s="1" t="str">
        <f ca="1">IFERROR(__xludf.DUMMYFUNCTION("""COMPUTED_VALUE"""),"finetuning instruction request")</f>
        <v>finetuning instruction request</v>
      </c>
      <c r="F57" s="1">
        <f ca="1">COUNTIF(author1_labels!G56:G487,E57)</f>
        <v>7</v>
      </c>
    </row>
    <row r="58" spans="1:6" x14ac:dyDescent="0.3">
      <c r="A58" s="6" t="str">
        <f ca="1">IFERROR(__xludf.DUMMYFUNCTION("""COMPUTED_VALUE"""),"https://huggingface.co/coreml-projects/Llama-2-7b-chat-coreml/discussions/6")</f>
        <v>https://huggingface.co/coreml-projects/Llama-2-7b-chat-coreml/discussions/6</v>
      </c>
      <c r="B58" s="1">
        <f ca="1">COUNTIFS(author1_labels!$A$2:$A$433,A58,author1_labels!$B$2:$B$433,"&lt;&gt;")</f>
        <v>1</v>
      </c>
      <c r="E58" s="1" t="str">
        <f ca="1">IFERROR(__xludf.DUMMYFUNCTION("""COMPUTED_VALUE"""),"training or finetuning ")</f>
        <v xml:space="preserve">training or finetuning </v>
      </c>
      <c r="F58" s="1">
        <f ca="1">COUNTIF(author1_labels!G57:G488,E58)</f>
        <v>2</v>
      </c>
    </row>
    <row r="59" spans="1:6" x14ac:dyDescent="0.3">
      <c r="A59" s="6" t="str">
        <f ca="1">IFERROR(__xludf.DUMMYFUNCTION("""COMPUTED_VALUE"""),"https://huggingface.co/ctheodoris/Geneformer/discussions/101")</f>
        <v>https://huggingface.co/ctheodoris/Geneformer/discussions/101</v>
      </c>
      <c r="B59" s="1">
        <f ca="1">COUNTIFS(author1_labels!$A$2:$A$433,A59,author1_labels!$B$2:$B$433,"&lt;&gt;")</f>
        <v>4</v>
      </c>
      <c r="E59" s="1" t="str">
        <f ca="1">IFERROR(__xludf.DUMMYFUNCTION("""COMPUTED_VALUE"""),"model input/change data size")</f>
        <v>model input/change data size</v>
      </c>
      <c r="F59" s="1">
        <f ca="1">COUNTIF(author1_labels!G58:G489,E59)</f>
        <v>1</v>
      </c>
    </row>
    <row r="60" spans="1:6" x14ac:dyDescent="0.3">
      <c r="A60" s="6" t="str">
        <f ca="1">IFERROR(__xludf.DUMMYFUNCTION("""COMPUTED_VALUE"""),"https://huggingface.co/ctheodoris/Geneformer/discussions/207")</f>
        <v>https://huggingface.co/ctheodoris/Geneformer/discussions/207</v>
      </c>
      <c r="B60" s="1">
        <f ca="1">COUNTIFS(author1_labels!$A$2:$A$433,A60,author1_labels!$B$2:$B$433,"&lt;&gt;")</f>
        <v>1</v>
      </c>
      <c r="E60" s="1" t="str">
        <f ca="1">IFERROR(__xludf.DUMMYFUNCTION("""COMPUTED_VALUE"""),"license/detail")</f>
        <v>license/detail</v>
      </c>
      <c r="F60" s="1">
        <f ca="1">COUNTIF(author1_labels!G59:G490,E60)</f>
        <v>5</v>
      </c>
    </row>
    <row r="61" spans="1:6" x14ac:dyDescent="0.3">
      <c r="A61" s="6" t="str">
        <f ca="1">IFERROR(__xludf.DUMMYFUNCTION("""COMPUTED_VALUE"""),"https://huggingface.co/ctheodoris/Geneformer/discussions/232")</f>
        <v>https://huggingface.co/ctheodoris/Geneformer/discussions/232</v>
      </c>
      <c r="B61" s="1">
        <f ca="1">COUNTIFS(author1_labels!$A$2:$A$433,A61,author1_labels!$B$2:$B$433,"&lt;&gt;")</f>
        <v>1</v>
      </c>
      <c r="E61" s="1" t="str">
        <f ca="1">IFERROR(__xludf.DUMMYFUNCTION("""COMPUTED_VALUE"""),"model use with ui")</f>
        <v>model use with ui</v>
      </c>
      <c r="F61" s="1">
        <f ca="1">COUNTIF(author1_labels!G60:G491,E61)</f>
        <v>3</v>
      </c>
    </row>
    <row r="62" spans="1:6" x14ac:dyDescent="0.3">
      <c r="A62" s="6" t="str">
        <f ca="1">IFERROR(__xludf.DUMMYFUNCTION("""COMPUTED_VALUE"""),"https://huggingface.co/ctheodoris/Geneformer/discussions/25")</f>
        <v>https://huggingface.co/ctheodoris/Geneformer/discussions/25</v>
      </c>
      <c r="B62" s="1">
        <f ca="1">COUNTIFS(author1_labels!$A$2:$A$433,A62,author1_labels!$B$2:$B$433,"&lt;&gt;")</f>
        <v>2</v>
      </c>
      <c r="E62" s="1" t="str">
        <f ca="1">IFERROR(__xludf.DUMMYFUNCTION("""COMPUTED_VALUE"""),"optimization instruction")</f>
        <v>optimization instruction</v>
      </c>
      <c r="F62" s="1">
        <f ca="1">COUNTIF(author1_labels!G61:G492,E62)</f>
        <v>1</v>
      </c>
    </row>
    <row r="63" spans="1:6" x14ac:dyDescent="0.3">
      <c r="A63" s="6" t="str">
        <f ca="1">IFERROR(__xludf.DUMMYFUNCTION("""COMPUTED_VALUE"""),"https://huggingface.co/ctheodoris/Geneformer/discussions/35")</f>
        <v>https://huggingface.co/ctheodoris/Geneformer/discussions/35</v>
      </c>
      <c r="B63" s="1">
        <f ca="1">COUNTIFS(author1_labels!$A$2:$A$433,A63,author1_labels!$B$2:$B$433,"&lt;&gt;")</f>
        <v>1</v>
      </c>
      <c r="E63" s="1" t="str">
        <f ca="1">IFERROR(__xludf.DUMMYFUNCTION("""COMPUTED_VALUE"""),"model card")</f>
        <v>model card</v>
      </c>
      <c r="F63" s="1">
        <f ca="1">COUNTIF(author1_labels!G62:G493,E63)</f>
        <v>3</v>
      </c>
    </row>
    <row r="64" spans="1:6" x14ac:dyDescent="0.3">
      <c r="A64" s="6" t="str">
        <f ca="1">IFERROR(__xludf.DUMMYFUNCTION("""COMPUTED_VALUE"""),"https://huggingface.co/ctheodoris/Geneformer/discussions/59")</f>
        <v>https://huggingface.co/ctheodoris/Geneformer/discussions/59</v>
      </c>
      <c r="B64" s="1">
        <f ca="1">COUNTIFS(author1_labels!$A$2:$A$433,A64,author1_labels!$B$2:$B$433,"&lt;&gt;")</f>
        <v>1</v>
      </c>
      <c r="E64" s="1" t="str">
        <f ca="1">IFERROR(__xludf.DUMMYFUNCTION("""COMPUTED_VALUE"""),"training detail/base model")</f>
        <v>training detail/base model</v>
      </c>
      <c r="F64" s="1">
        <f ca="1">COUNTIF(author1_labels!G63:G494,E64)</f>
        <v>2</v>
      </c>
    </row>
    <row r="65" spans="1:6" x14ac:dyDescent="0.3">
      <c r="A65" s="6" t="str">
        <f ca="1">IFERROR(__xludf.DUMMYFUNCTION("""COMPUTED_VALUE"""),"https://huggingface.co/ctheodoris/Geneformer/discussions/91")</f>
        <v>https://huggingface.co/ctheodoris/Geneformer/discussions/91</v>
      </c>
      <c r="B65" s="1">
        <f ca="1">COUNTIFS(author1_labels!$A$2:$A$433,A65,author1_labels!$B$2:$B$433,"&lt;&gt;")</f>
        <v>3</v>
      </c>
      <c r="E65" s="1" t="str">
        <f ca="1">IFERROR(__xludf.DUMMYFUNCTION("""COMPUTED_VALUE"""),"finetuning possibilities/finetune with different dataset")</f>
        <v>finetuning possibilities/finetune with different dataset</v>
      </c>
      <c r="F65" s="1">
        <f ca="1">COUNTIF(author1_labels!G64:G495,E65)</f>
        <v>3</v>
      </c>
    </row>
    <row r="66" spans="1:6" x14ac:dyDescent="0.3">
      <c r="A66" s="6" t="str">
        <f ca="1">IFERROR(__xludf.DUMMYFUNCTION("""COMPUTED_VALUE"""),"https://huggingface.co/d4data/biomedical-ner-all/discussions/6")</f>
        <v>https://huggingface.co/d4data/biomedical-ner-all/discussions/6</v>
      </c>
      <c r="B66" s="1">
        <f ca="1">COUNTIFS(author1_labels!$A$2:$A$433,A66,author1_labels!$B$2:$B$433,"&lt;&gt;")</f>
        <v>1</v>
      </c>
      <c r="E66" s="1" t="str">
        <f ca="1">IFERROR(__xludf.DUMMYFUNCTION("""COMPUTED_VALUE"""),"model use/oobabooga settings")</f>
        <v>model use/oobabooga settings</v>
      </c>
      <c r="F66" s="1">
        <f ca="1">COUNTIF(author1_labels!G65:G496,E66)</f>
        <v>1</v>
      </c>
    </row>
    <row r="67" spans="1:6" x14ac:dyDescent="0.3">
      <c r="A67" s="6" t="str">
        <f ca="1">IFERROR(__xludf.DUMMYFUNCTION("""COMPUTED_VALUE"""),"https://huggingface.co/dandelin/vilt-b32-finetuned-nlvr2/discussions/1")</f>
        <v>https://huggingface.co/dandelin/vilt-b32-finetuned-nlvr2/discussions/1</v>
      </c>
      <c r="B67" s="1">
        <f ca="1">COUNTIFS(author1_labels!$A$2:$A$433,A67,author1_labels!$B$2:$B$433,"&lt;&gt;")</f>
        <v>1</v>
      </c>
      <c r="E67" s="1" t="str">
        <f ca="1">IFERROR(__xludf.DUMMYFUNCTION("""COMPUTED_VALUE"""),"model development/model deploy")</f>
        <v>model development/model deploy</v>
      </c>
      <c r="F67" s="1">
        <f ca="1">COUNTIF(author1_labels!G66:G497,E67)</f>
        <v>3</v>
      </c>
    </row>
    <row r="68" spans="1:6" x14ac:dyDescent="0.3">
      <c r="A68" s="6" t="str">
        <f ca="1">IFERROR(__xludf.DUMMYFUNCTION("""COMPUTED_VALUE"""),"https://huggingface.co/darkstorm2150/Protogen_v2.2_Official_Release/discussions/14")</f>
        <v>https://huggingface.co/darkstorm2150/Protogen_v2.2_Official_Release/discussions/14</v>
      </c>
      <c r="B68" s="1">
        <f ca="1">COUNTIFS(author1_labels!$A$2:$A$433,A68,author1_labels!$B$2:$B$433,"&lt;&gt;")</f>
        <v>1</v>
      </c>
      <c r="E68" s="1" t="str">
        <f ca="1">IFERROR(__xludf.DUMMYFUNCTION("""COMPUTED_VALUE"""),"model use/reproducibility")</f>
        <v>model use/reproducibility</v>
      </c>
      <c r="F68" s="1">
        <f ca="1">COUNTIF(author1_labels!G67:G498,E68)</f>
        <v>1</v>
      </c>
    </row>
    <row r="69" spans="1:6" x14ac:dyDescent="0.3">
      <c r="A69" s="6" t="str">
        <f ca="1">IFERROR(__xludf.DUMMYFUNCTION("""COMPUTED_VALUE"""),"https://huggingface.co/darkstorm2150/Protogen_x3.4_Official_Release/discussions/13")</f>
        <v>https://huggingface.co/darkstorm2150/Protogen_x3.4_Official_Release/discussions/13</v>
      </c>
      <c r="B69" s="1">
        <f ca="1">COUNTIFS(author1_labels!$A$2:$A$433,A69,author1_labels!$B$2:$B$433,"&lt;&gt;")</f>
        <v>1</v>
      </c>
      <c r="E69" s="1" t="str">
        <f ca="1">IFERROR(__xludf.DUMMYFUNCTION("""COMPUTED_VALUE"""),"error/model conversion")</f>
        <v>error/model conversion</v>
      </c>
      <c r="F69" s="1">
        <f ca="1">COUNTIF(author1_labels!G68:G499,E69)</f>
        <v>2</v>
      </c>
    </row>
    <row r="70" spans="1:6" x14ac:dyDescent="0.3">
      <c r="A70" s="6" t="str">
        <f ca="1">IFERROR(__xludf.DUMMYFUNCTION("""COMPUTED_VALUE"""),"https://huggingface.co/databricks/dolly-v2-12b/discussions/24")</f>
        <v>https://huggingface.co/databricks/dolly-v2-12b/discussions/24</v>
      </c>
      <c r="B70" s="1">
        <f ca="1">COUNTIFS(author1_labels!$A$2:$A$433,A70,author1_labels!$B$2:$B$433,"&lt;&gt;")</f>
        <v>2</v>
      </c>
      <c r="E70" s="1" t="str">
        <f ca="1">IFERROR(__xludf.DUMMYFUNCTION("""COMPUTED_VALUE"""),"model variant/architecture")</f>
        <v>model variant/architecture</v>
      </c>
      <c r="F70" s="1">
        <f ca="1">COUNTIF(author1_labels!G69:G500,E70)</f>
        <v>7</v>
      </c>
    </row>
    <row r="71" spans="1:6" x14ac:dyDescent="0.3">
      <c r="A71" s="6" t="str">
        <f ca="1">IFERROR(__xludf.DUMMYFUNCTION("""COMPUTED_VALUE"""),"https://huggingface.co/databricks/dolly-v2-3b/discussions/15")</f>
        <v>https://huggingface.co/databricks/dolly-v2-3b/discussions/15</v>
      </c>
      <c r="B71" s="1">
        <f ca="1">COUNTIFS(author1_labels!$A$2:$A$433,A71,author1_labels!$B$2:$B$433,"&lt;&gt;")</f>
        <v>1</v>
      </c>
      <c r="E71" s="1" t="str">
        <f ca="1">IFERROR(__xludf.DUMMYFUNCTION("""COMPUTED_VALUE"""),"model architecture selection reasoning")</f>
        <v>model architecture selection reasoning</v>
      </c>
      <c r="F71" s="1">
        <f ca="1">COUNTIF(author1_labels!G70:G501,E71)</f>
        <v>2</v>
      </c>
    </row>
    <row r="72" spans="1:6" x14ac:dyDescent="0.3">
      <c r="A72" s="6" t="str">
        <f ca="1">IFERROR(__xludf.DUMMYFUNCTION("""COMPUTED_VALUE"""),"https://huggingface.co/databricks/dolly-v2-7b/discussions/5")</f>
        <v>https://huggingface.co/databricks/dolly-v2-7b/discussions/5</v>
      </c>
      <c r="B72" s="1">
        <f ca="1">COUNTIFS(author1_labels!$A$2:$A$433,A72,author1_labels!$B$2:$B$433,"&lt;&gt;")</f>
        <v>1</v>
      </c>
      <c r="E72" s="1" t="str">
        <f ca="1">IFERROR(__xludf.DUMMYFUNCTION("""COMPUTED_VALUE"""),"error/memory error")</f>
        <v>error/memory error</v>
      </c>
      <c r="F72" s="1">
        <f ca="1">COUNTIF(author1_labels!G71:G502,E72)</f>
        <v>1</v>
      </c>
    </row>
    <row r="73" spans="1:6" x14ac:dyDescent="0.3">
      <c r="A73" s="6" t="str">
        <f ca="1">IFERROR(__xludf.DUMMYFUNCTION("""COMPUTED_VALUE"""),"https://huggingface.co/davidkim205/komt-mistral-7b-v1-dpo/discussions/2")</f>
        <v>https://huggingface.co/davidkim205/komt-mistral-7b-v1-dpo/discussions/2</v>
      </c>
      <c r="B73" s="1">
        <f ca="1">COUNTIFS(author1_labels!$A$2:$A$433,A73,author1_labels!$B$2:$B$433,"&lt;&gt;")</f>
        <v>1</v>
      </c>
      <c r="E73" s="1" t="str">
        <f ca="1">IFERROR(__xludf.DUMMYFUNCTION("""COMPUTED_VALUE"""),"model use in console")</f>
        <v>model use in console</v>
      </c>
      <c r="F73" s="1">
        <f ca="1">COUNTIF(author1_labels!G72:G503,E73)</f>
        <v>1</v>
      </c>
    </row>
    <row r="74" spans="1:6" x14ac:dyDescent="0.3">
      <c r="A74" s="6" t="str">
        <f ca="1">IFERROR(__xludf.DUMMYFUNCTION("""COMPUTED_VALUE"""),"https://huggingface.co/Davlan/bert-base-multilingual-cased-ner-hrl/discussions/4")</f>
        <v>https://huggingface.co/Davlan/bert-base-multilingual-cased-ner-hrl/discussions/4</v>
      </c>
      <c r="B74" s="1">
        <f ca="1">COUNTIFS(author1_labels!$A$2:$A$433,A74,author1_labels!$B$2:$B$433,"&lt;&gt;")</f>
        <v>1</v>
      </c>
      <c r="E74" s="1" t="str">
        <f ca="1">IFERROR(__xludf.DUMMYFUNCTION("""COMPUTED_VALUE"""),"model input/instruction format")</f>
        <v>model input/instruction format</v>
      </c>
      <c r="F74" s="1">
        <f ca="1">COUNTIF(author1_labels!G73:G504,E74)</f>
        <v>4</v>
      </c>
    </row>
    <row r="75" spans="1:6" x14ac:dyDescent="0.3">
      <c r="A75" s="6" t="str">
        <f ca="1">IFERROR(__xludf.DUMMYFUNCTION("""COMPUTED_VALUE"""),"https://huggingface.co/deepseek-ai/deepseek-coder-33b-instruct/discussions/4")</f>
        <v>https://huggingface.co/deepseek-ai/deepseek-coder-33b-instruct/discussions/4</v>
      </c>
      <c r="B75" s="1">
        <f ca="1">COUNTIFS(author1_labels!$A$2:$A$433,A75,author1_labels!$B$2:$B$433,"&lt;&gt;")</f>
        <v>1</v>
      </c>
      <c r="E75" s="1" t="str">
        <f ca="1">IFERROR(__xludf.DUMMYFUNCTION("""COMPUTED_VALUE"""),"model development/model deploy/local")</f>
        <v>model development/model deploy/local</v>
      </c>
      <c r="F75" s="1">
        <f ca="1">COUNTIF(author1_labels!G74:G505,E75)</f>
        <v>1</v>
      </c>
    </row>
    <row r="76" spans="1:6" x14ac:dyDescent="0.3">
      <c r="A76" s="6" t="str">
        <f ca="1">IFERROR(__xludf.DUMMYFUNCTION("""COMPUTED_VALUE"""),"https://huggingface.co/deepseek-ai/deepseek-llm-67b-chat/discussions/3")</f>
        <v>https://huggingface.co/deepseek-ai/deepseek-llm-67b-chat/discussions/3</v>
      </c>
      <c r="B76" s="1">
        <f ca="1">COUNTIFS(author1_labels!$A$2:$A$433,A76,author1_labels!$B$2:$B$433,"&lt;&gt;")</f>
        <v>2</v>
      </c>
      <c r="E76" s="1" t="str">
        <f ca="1">IFERROR(__xludf.DUMMYFUNCTION("""COMPUTED_VALUE"""),"model variant/model performance")</f>
        <v>model variant/model performance</v>
      </c>
      <c r="F76" s="1">
        <f ca="1">COUNTIF(author1_labels!G75:G506,E76)</f>
        <v>2</v>
      </c>
    </row>
    <row r="77" spans="1:6" x14ac:dyDescent="0.3">
      <c r="A77" s="6" t="str">
        <f ca="1">IFERROR(__xludf.DUMMYFUNCTION("""COMPUTED_VALUE"""),"https://huggingface.co/deepset/xlm-roberta-large-squad2/discussions/6")</f>
        <v>https://huggingface.co/deepset/xlm-roberta-large-squad2/discussions/6</v>
      </c>
      <c r="B77" s="1">
        <f ca="1">COUNTIFS(author1_labels!$A$2:$A$433,A77,author1_labels!$B$2:$B$433,"&lt;&gt;")</f>
        <v>1</v>
      </c>
      <c r="E77" s="1" t="str">
        <f ca="1">IFERROR(__xludf.DUMMYFUNCTION("""COMPUTED_VALUE"""),"code/training code request")</f>
        <v>code/training code request</v>
      </c>
      <c r="F77" s="1">
        <f ca="1">COUNTIF(author1_labels!G76:G507,E77)</f>
        <v>2</v>
      </c>
    </row>
    <row r="78" spans="1:6" x14ac:dyDescent="0.3">
      <c r="A78" s="6" t="str">
        <f ca="1">IFERROR(__xludf.DUMMYFUNCTION("""COMPUTED_VALUE"""),"https://huggingface.co/dennlinger/bert-wiki-paragraphs/discussions/1")</f>
        <v>https://huggingface.co/dennlinger/bert-wiki-paragraphs/discussions/1</v>
      </c>
      <c r="B78" s="1">
        <f ca="1">COUNTIFS(author1_labels!$A$2:$A$433,A78,author1_labels!$B$2:$B$433,"&lt;&gt;")</f>
        <v>2</v>
      </c>
      <c r="E78" s="1" t="str">
        <f ca="1">IFERROR(__xludf.DUMMYFUNCTION("""COMPUTED_VALUE"""),"quantization detail")</f>
        <v>quantization detail</v>
      </c>
      <c r="F78" s="1">
        <f ca="1">COUNTIF(author1_labels!G78:G508,E78)</f>
        <v>2</v>
      </c>
    </row>
    <row r="79" spans="1:6" x14ac:dyDescent="0.3">
      <c r="A79" s="6" t="str">
        <f ca="1">IFERROR(__xludf.DUMMYFUNCTION("""COMPUTED_VALUE"""),"https://huggingface.co/diffusers/controlnet-canny-sdxl-1.0/discussions/21")</f>
        <v>https://huggingface.co/diffusers/controlnet-canny-sdxl-1.0/discussions/21</v>
      </c>
      <c r="B79" s="1">
        <f ca="1">COUNTIFS(author1_labels!$A$2:$A$433,A79,author1_labels!$B$2:$B$433,"&lt;&gt;")</f>
        <v>1</v>
      </c>
      <c r="E79" s="1" t="str">
        <f ca="1">IFERROR(__xludf.DUMMYFUNCTION("""COMPUTED_VALUE"""),"error/model deploy")</f>
        <v>error/model deploy</v>
      </c>
      <c r="F79" s="1">
        <f ca="1">COUNTIF(author1_labels!G79:G509,E79)</f>
        <v>2</v>
      </c>
    </row>
    <row r="80" spans="1:6" x14ac:dyDescent="0.3">
      <c r="A80" s="6" t="str">
        <f ca="1">IFERROR(__xludf.DUMMYFUNCTION("""COMPUTED_VALUE"""),"https://huggingface.co/diffusers/controlnet-canny-sdxl-1.0/discussions/30")</f>
        <v>https://huggingface.co/diffusers/controlnet-canny-sdxl-1.0/discussions/30</v>
      </c>
      <c r="B80" s="1">
        <f ca="1">COUNTIFS(author1_labels!$A$2:$A$433,A80,author1_labels!$B$2:$B$433,"&lt;&gt;")</f>
        <v>1</v>
      </c>
      <c r="E80" s="1" t="str">
        <f ca="1">IFERROR(__xludf.DUMMYFUNCTION("""COMPUTED_VALUE"""),"model development")</f>
        <v>model development</v>
      </c>
      <c r="F80" s="1">
        <f ca="1">COUNTIF(author1_labels!G80:G510,E80)</f>
        <v>3</v>
      </c>
    </row>
    <row r="81" spans="1:6" x14ac:dyDescent="0.3">
      <c r="A81" s="6" t="str">
        <f ca="1">IFERROR(__xludf.DUMMYFUNCTION("""COMPUTED_VALUE"""),"https://huggingface.co/distilbert-base-uncased/discussions/2")</f>
        <v>https://huggingface.co/distilbert-base-uncased/discussions/2</v>
      </c>
      <c r="B81" s="1">
        <f ca="1">COUNTIFS(author1_labels!$A$2:$A$433,A81,author1_labels!$B$2:$B$433,"&lt;&gt;")</f>
        <v>1</v>
      </c>
      <c r="E81" s="1" t="str">
        <f ca="1">IFERROR(__xludf.DUMMYFUNCTION("""COMPUTED_VALUE"""),"code/quantization code request")</f>
        <v>code/quantization code request</v>
      </c>
      <c r="F81" s="1">
        <f ca="1">COUNTIF(author1_labels!G81:G511,E81)</f>
        <v>1</v>
      </c>
    </row>
    <row r="82" spans="1:6" x14ac:dyDescent="0.3">
      <c r="A82" s="6" t="str">
        <f ca="1">IFERROR(__xludf.DUMMYFUNCTION("""COMPUTED_VALUE"""),"https://huggingface.co/dmis-lab/biobert-v1.1/discussions/6")</f>
        <v>https://huggingface.co/dmis-lab/biobert-v1.1/discussions/6</v>
      </c>
      <c r="B82" s="1">
        <f ca="1">COUNTIFS(author1_labels!$A$2:$A$433,A82,author1_labels!$B$2:$B$433,"&lt;&gt;")</f>
        <v>1</v>
      </c>
      <c r="E82" s="1" t="str">
        <f ca="1">IFERROR(__xludf.DUMMYFUNCTION("""COMPUTED_VALUE"""),"code/finetuning code request")</f>
        <v>code/finetuning code request</v>
      </c>
      <c r="F82" s="1">
        <f ca="1">COUNTIF(author1_labels!G82:G512,E82)</f>
        <v>1</v>
      </c>
    </row>
    <row r="83" spans="1:6" x14ac:dyDescent="0.3">
      <c r="A83" s="6" t="str">
        <f ca="1">IFERROR(__xludf.DUMMYFUNCTION("""COMPUTED_VALUE"""),"https://huggingface.co/dominguesm/positive-reframing-ptbr/discussions/1")</f>
        <v>https://huggingface.co/dominguesm/positive-reframing-ptbr/discussions/1</v>
      </c>
      <c r="B83" s="1">
        <f ca="1">COUNTIFS(author1_labels!$A$2:$A$433,A83,author1_labels!$B$2:$B$433,"&lt;&gt;")</f>
        <v>1</v>
      </c>
      <c r="E83" s="1" t="str">
        <f ca="1">IFERROR(__xludf.DUMMYFUNCTION("""COMPUTED_VALUE"""),"different model")</f>
        <v>different model</v>
      </c>
      <c r="F83" s="1">
        <f ca="1">COUNTIF(author1_labels!G83:G513,E83)</f>
        <v>2</v>
      </c>
    </row>
    <row r="84" spans="1:6" x14ac:dyDescent="0.3">
      <c r="A84" s="6" t="str">
        <f ca="1">IFERROR(__xludf.DUMMYFUNCTION("""COMPUTED_VALUE"""),"https://huggingface.co/DucHaiten/DucHaitenAIart/discussions/15")</f>
        <v>https://huggingface.co/DucHaiten/DucHaitenAIart/discussions/15</v>
      </c>
      <c r="B84" s="1">
        <f ca="1">COUNTIFS(author1_labels!$A$2:$A$433,A84,author1_labels!$B$2:$B$433,"&lt;&gt;")</f>
        <v>1</v>
      </c>
      <c r="E84" s="1" t="str">
        <f ca="1">IFERROR(__xludf.DUMMYFUNCTION("""COMPUTED_VALUE"""),"model type")</f>
        <v>model type</v>
      </c>
      <c r="F84" s="1">
        <f ca="1">COUNTIF(author1_labels!G84:G514,E84)</f>
        <v>4</v>
      </c>
    </row>
    <row r="85" spans="1:6" x14ac:dyDescent="0.3">
      <c r="A85" s="6" t="str">
        <f ca="1">IFERROR(__xludf.DUMMYFUNCTION("""COMPUTED_VALUE"""),"https://huggingface.co/Edresson/wav2vec2-large-xlsr-coraa-portuguese/discussions/1")</f>
        <v>https://huggingface.co/Edresson/wav2vec2-large-xlsr-coraa-portuguese/discussions/1</v>
      </c>
      <c r="B85" s="1">
        <f ca="1">COUNTIFS(author1_labels!$A$2:$A$433,A85,author1_labels!$B$2:$B$433,"&lt;&gt;")</f>
        <v>1</v>
      </c>
      <c r="E85" s="1" t="str">
        <f ca="1">IFERROR(__xludf.DUMMYFUNCTION("""COMPUTED_VALUE"""),"model development/library version")</f>
        <v>model development/library version</v>
      </c>
      <c r="F85" s="1">
        <f ca="1">COUNTIF(author1_labels!G85:G515,E85)</f>
        <v>1</v>
      </c>
    </row>
    <row r="86" spans="1:6" x14ac:dyDescent="0.3">
      <c r="A86" s="6" t="str">
        <f ca="1">IFERROR(__xludf.DUMMYFUNCTION("""COMPUTED_VALUE"""),"https://huggingface.co/ehcalabres/wav2vec2-lg-xlsr-en-speech-emotion-recognition/discussions/4")</f>
        <v>https://huggingface.co/ehcalabres/wav2vec2-lg-xlsr-en-speech-emotion-recognition/discussions/4</v>
      </c>
      <c r="B86" s="1">
        <f ca="1">COUNTIFS(author1_labels!$A$2:$A$433,A86,author1_labels!$B$2:$B$433,"&lt;&gt;")</f>
        <v>1</v>
      </c>
      <c r="E86" s="1" t="str">
        <f ca="1">IFERROR(__xludf.DUMMYFUNCTION("""COMPUTED_VALUE"""),"dataset/finetuning data source")</f>
        <v>dataset/finetuning data source</v>
      </c>
      <c r="F86" s="1">
        <f ca="1">COUNTIF(author1_labels!G86:G516,E86)</f>
        <v>2</v>
      </c>
    </row>
    <row r="87" spans="1:6" x14ac:dyDescent="0.3">
      <c r="A87" s="6" t="str">
        <f ca="1">IFERROR(__xludf.DUMMYFUNCTION("""COMPUTED_VALUE"""),"https://huggingface.co/EleutherAI/gpt-neox-20b/discussions/11")</f>
        <v>https://huggingface.co/EleutherAI/gpt-neox-20b/discussions/11</v>
      </c>
      <c r="B87" s="1">
        <f ca="1">COUNTIFS(author1_labels!$A$2:$A$433,A87,author1_labels!$B$2:$B$433,"&lt;&gt;")</f>
        <v>1</v>
      </c>
      <c r="E87" s="1" t="str">
        <f ca="1">IFERROR(__xludf.DUMMYFUNCTION("""COMPUTED_VALUE"""),"memory_hardware requirement/model deployment")</f>
        <v>memory_hardware requirement/model deployment</v>
      </c>
      <c r="F87" s="1">
        <f ca="1">COUNTIF(author1_labels!G87:G517,E87)</f>
        <v>1</v>
      </c>
    </row>
    <row r="88" spans="1:6" x14ac:dyDescent="0.3">
      <c r="A88" s="6" t="str">
        <f ca="1">IFERROR(__xludf.DUMMYFUNCTION("""COMPUTED_VALUE"""),"https://huggingface.co/EleutherAI/gpt-neox-20b/discussions/15")</f>
        <v>https://huggingface.co/EleutherAI/gpt-neox-20b/discussions/15</v>
      </c>
      <c r="B88" s="1">
        <f ca="1">COUNTIFS(author1_labels!$A$2:$A$433,A88,author1_labels!$B$2:$B$433,"&lt;&gt;")</f>
        <v>0</v>
      </c>
      <c r="E88" s="1" t="str">
        <f ca="1">IFERROR(__xludf.DUMMYFUNCTION("""COMPUTED_VALUE"""),"context length")</f>
        <v>context length</v>
      </c>
      <c r="F88" s="1">
        <f ca="1">COUNTIF(author1_labels!G88:G518,E88)</f>
        <v>1</v>
      </c>
    </row>
    <row r="89" spans="1:6" x14ac:dyDescent="0.3">
      <c r="A89" s="6" t="str">
        <f ca="1">IFERROR(__xludf.DUMMYFUNCTION("""COMPUTED_VALUE"""),"https://huggingface.co/EleutherAI/polyglot-ko-1.3b/discussions/2")</f>
        <v>https://huggingface.co/EleutherAI/polyglot-ko-1.3b/discussions/2</v>
      </c>
      <c r="B89" s="1">
        <f ca="1">COUNTIFS(author1_labels!$A$2:$A$433,A89,author1_labels!$B$2:$B$433,"&lt;&gt;")</f>
        <v>1</v>
      </c>
      <c r="E89" s="1" t="str">
        <f ca="1">IFERROR(__xludf.DUMMYFUNCTION("""COMPUTED_VALUE"""),"model use/gpu")</f>
        <v>model use/gpu</v>
      </c>
      <c r="F89" s="1">
        <f ca="1">COUNTIF(author1_labels!G89:G519,E89)</f>
        <v>4</v>
      </c>
    </row>
    <row r="90" spans="1:6" x14ac:dyDescent="0.3">
      <c r="A90" s="6" t="str">
        <f ca="1">IFERROR(__xludf.DUMMYFUNCTION("""COMPUTED_VALUE"""),"https://huggingface.co/elinas/chronos-13b-v2/discussions/2")</f>
        <v>https://huggingface.co/elinas/chronos-13b-v2/discussions/2</v>
      </c>
      <c r="B90" s="1">
        <f ca="1">COUNTIFS(author1_labels!$A$2:$A$433,A90,author1_labels!$B$2:$B$433,"&lt;&gt;")</f>
        <v>1</v>
      </c>
      <c r="E90" s="1" t="str">
        <f ca="1">IFERROR(__xludf.DUMMYFUNCTION("""COMPUTED_VALUE"""),"quantization instruction")</f>
        <v>quantization instruction</v>
      </c>
      <c r="F90" s="1">
        <f ca="1">COUNTIF(author1_labels!G90:G520,E90)</f>
        <v>2</v>
      </c>
    </row>
    <row r="91" spans="1:6" x14ac:dyDescent="0.3">
      <c r="A91" s="6" t="str">
        <f ca="1">IFERROR(__xludf.DUMMYFUNCTION("""COMPUTED_VALUE"""),"https://huggingface.co/emre/llama-2-13b-code-122k/discussions/1")</f>
        <v>https://huggingface.co/emre/llama-2-13b-code-122k/discussions/1</v>
      </c>
      <c r="B91" s="1">
        <f ca="1">COUNTIFS(author1_labels!$A$2:$A$433,A91,author1_labels!$B$2:$B$433,"&lt;&gt;")</f>
        <v>1</v>
      </c>
      <c r="E91" s="1" t="str">
        <f ca="1">IFERROR(__xludf.DUMMYFUNCTION("""COMPUTED_VALUE"""),"training detail/trainer")</f>
        <v>training detail/trainer</v>
      </c>
      <c r="F91" s="1">
        <f ca="1">COUNTIF(author1_labels!G91:G521,E91)</f>
        <v>1</v>
      </c>
    </row>
    <row r="92" spans="1:6" x14ac:dyDescent="0.3">
      <c r="A92" s="6" t="str">
        <f ca="1">IFERROR(__xludf.DUMMYFUNCTION("""COMPUTED_VALUE"""),"https://huggingface.co/emre/whisper-medium-turkish-2/discussions/5")</f>
        <v>https://huggingface.co/emre/whisper-medium-turkish-2/discussions/5</v>
      </c>
      <c r="B92" s="1">
        <f ca="1">COUNTIFS(author1_labels!$A$2:$A$433,A92,author1_labels!$B$2:$B$433,"&lt;&gt;")</f>
        <v>1</v>
      </c>
      <c r="E92" s="1" t="str">
        <f ca="1">IFERROR(__xludf.DUMMYFUNCTION("""COMPUTED_VALUE"""),"model variant/development")</f>
        <v>model variant/development</v>
      </c>
      <c r="F92" s="1">
        <f ca="1">COUNTIF(author1_labels!G92:G522,E92)</f>
        <v>1</v>
      </c>
    </row>
    <row r="93" spans="1:6" x14ac:dyDescent="0.3">
      <c r="A93" s="6" t="str">
        <f ca="1">IFERROR(__xludf.DUMMYFUNCTION("""COMPUTED_VALUE"""),"https://huggingface.co/facebook/bart-large-mnli/discussions/1")</f>
        <v>https://huggingface.co/facebook/bart-large-mnli/discussions/1</v>
      </c>
      <c r="B93" s="1">
        <f ca="1">COUNTIFS(author1_labels!$A$2:$A$433,A93,author1_labels!$B$2:$B$433,"&lt;&gt;")</f>
        <v>1</v>
      </c>
      <c r="E93" s="1" t="str">
        <f ca="1">IFERROR(__xludf.DUMMYFUNCTION("""COMPUTED_VALUE"""),"citation")</f>
        <v>citation</v>
      </c>
      <c r="F93" s="1">
        <f ca="1">COUNTIF(author1_labels!G93:G523,E93)</f>
        <v>2</v>
      </c>
    </row>
    <row r="94" spans="1:6" x14ac:dyDescent="0.3">
      <c r="A94" s="6" t="str">
        <f ca="1">IFERROR(__xludf.DUMMYFUNCTION("""COMPUTED_VALUE"""),"https://huggingface.co/facebook/encodec_48khz/discussions/3")</f>
        <v>https://huggingface.co/facebook/encodec_48khz/discussions/3</v>
      </c>
      <c r="B94" s="1">
        <f ca="1">COUNTIFS(author1_labels!$A$2:$A$433,A94,author1_labels!$B$2:$B$433,"&lt;&gt;")</f>
        <v>1</v>
      </c>
      <c r="E94" s="1" t="str">
        <f ca="1">IFERROR(__xludf.DUMMYFUNCTION("""COMPUTED_VALUE"""),"model use with other model/inference")</f>
        <v>model use with other model/inference</v>
      </c>
      <c r="F94" s="1">
        <f ca="1">COUNTIF(author1_labels!G94:G524,E94)</f>
        <v>1</v>
      </c>
    </row>
    <row r="95" spans="1:6" x14ac:dyDescent="0.3">
      <c r="A95" s="6" t="str">
        <f ca="1">IFERROR(__xludf.DUMMYFUNCTION("""COMPUTED_VALUE"""),"https://huggingface.co/facebook/fastspeech2-en-ljspeech/discussions/18")</f>
        <v>https://huggingface.co/facebook/fastspeech2-en-ljspeech/discussions/18</v>
      </c>
      <c r="B95" s="1">
        <f ca="1">COUNTIFS(author1_labels!$A$2:$A$433,A95,author1_labels!$B$2:$B$433,"&lt;&gt;")</f>
        <v>1</v>
      </c>
      <c r="E95" s="1" t="str">
        <f ca="1">IFERROR(__xludf.DUMMYFUNCTION("""COMPUTED_VALUE"""),"feature support inquiry/model use")</f>
        <v>feature support inquiry/model use</v>
      </c>
      <c r="F95" s="1">
        <f ca="1">COUNTIF(author1_labels!G95:G525,E95)</f>
        <v>2</v>
      </c>
    </row>
    <row r="96" spans="1:6" x14ac:dyDescent="0.3">
      <c r="A96" s="6" t="str">
        <f ca="1">IFERROR(__xludf.DUMMYFUNCTION("""COMPUTED_VALUE"""),"https://huggingface.co/facebook/galactica-30b/discussions/9")</f>
        <v>https://huggingface.co/facebook/galactica-30b/discussions/9</v>
      </c>
      <c r="B96" s="1">
        <f ca="1">COUNTIFS(author1_labels!$A$2:$A$433,A96,author1_labels!$B$2:$B$433,"&lt;&gt;")</f>
        <v>1</v>
      </c>
      <c r="E96" s="1" t="str">
        <f ca="1">IFERROR(__xludf.DUMMYFUNCTION("""COMPUTED_VALUE"""),"collaboration proposal")</f>
        <v>collaboration proposal</v>
      </c>
      <c r="F96" s="1">
        <f ca="1">COUNTIF(author1_labels!G95:G526,E96)</f>
        <v>1</v>
      </c>
    </row>
    <row r="97" spans="1:6" x14ac:dyDescent="0.3">
      <c r="A97" s="6" t="str">
        <f ca="1">IFERROR(__xludf.DUMMYFUNCTION("""COMPUTED_VALUE"""),"https://huggingface.co/facebook/galactica-6.7b/discussions/6")</f>
        <v>https://huggingface.co/facebook/galactica-6.7b/discussions/6</v>
      </c>
      <c r="B97" s="1">
        <f ca="1">COUNTIFS(author1_labels!$A$2:$A$433,A97,author1_labels!$B$2:$B$433,"&lt;&gt;")</f>
        <v>1</v>
      </c>
      <c r="E97" s="1" t="str">
        <f ca="1">IFERROR(__xludf.DUMMYFUNCTION("""COMPUTED_VALUE"""),"train with different dataset")</f>
        <v>train with different dataset</v>
      </c>
      <c r="F97" s="1">
        <f ca="1">COUNTIF(author1_labels!G96:G527,E97)</f>
        <v>1</v>
      </c>
    </row>
    <row r="98" spans="1:6" x14ac:dyDescent="0.3">
      <c r="A98" s="6" t="str">
        <f ca="1">IFERROR(__xludf.DUMMYFUNCTION("""COMPUTED_VALUE"""),"https://huggingface.co/facebook/maskformer-swin-large-coco/discussions/1")</f>
        <v>https://huggingface.co/facebook/maskformer-swin-large-coco/discussions/1</v>
      </c>
      <c r="B98" s="1">
        <f ca="1">COUNTIFS(author1_labels!$A$2:$A$433,A98,author1_labels!$B$2:$B$433,"&lt;&gt;")</f>
        <v>1</v>
      </c>
      <c r="E98" s="1" t="str">
        <f ca="1">IFERROR(__xludf.DUMMYFUNCTION("""COMPUTED_VALUE"""),"license/redistribution license")</f>
        <v>license/redistribution license</v>
      </c>
      <c r="F98" s="1">
        <f ca="1">COUNTIF(author1_labels!G97:G528,E98)</f>
        <v>3</v>
      </c>
    </row>
    <row r="99" spans="1:6" x14ac:dyDescent="0.3">
      <c r="A99" s="6" t="str">
        <f ca="1">IFERROR(__xludf.DUMMYFUNCTION("""COMPUTED_VALUE"""),"https://huggingface.co/facebook/mms-1b-all/discussions/4")</f>
        <v>https://huggingface.co/facebook/mms-1b-all/discussions/4</v>
      </c>
      <c r="B99" s="1">
        <f ca="1">COUNTIFS(author1_labels!$A$2:$A$433,A99,author1_labels!$B$2:$B$433,"&lt;&gt;")</f>
        <v>1</v>
      </c>
      <c r="E99" s="1" t="str">
        <f ca="1">IFERROR(__xludf.DUMMYFUNCTION("""COMPUTED_VALUE"""),"finetuning possibilities/finetuning instruction request")</f>
        <v>finetuning possibilities/finetuning instruction request</v>
      </c>
      <c r="F99" s="1">
        <f ca="1">COUNTIF(author1_labels!G98:G529,E99)</f>
        <v>1</v>
      </c>
    </row>
    <row r="100" spans="1:6" x14ac:dyDescent="0.3">
      <c r="A100" s="6" t="str">
        <f ca="1">IFERROR(__xludf.DUMMYFUNCTION("""COMPUTED_VALUE"""),"https://huggingface.co/facebook/rag-token-nq/discussions/2")</f>
        <v>https://huggingface.co/facebook/rag-token-nq/discussions/2</v>
      </c>
      <c r="B100" s="1">
        <f ca="1">COUNTIFS(author1_labels!$A$2:$A$433,A100,author1_labels!$B$2:$B$433,"&lt;&gt;")</f>
        <v>1</v>
      </c>
      <c r="E100" s="1" t="str">
        <f ca="1">IFERROR(__xludf.DUMMYFUNCTION("""COMPUTED_VALUE"""),"training detail/model layer")</f>
        <v>training detail/model layer</v>
      </c>
      <c r="F100" s="1">
        <f ca="1">COUNTIF(author1_labels!G99:G530,E100)</f>
        <v>3</v>
      </c>
    </row>
    <row r="101" spans="1:6" x14ac:dyDescent="0.3">
      <c r="A101" s="6" t="str">
        <f ca="1">IFERROR(__xludf.DUMMYFUNCTION("""COMPUTED_VALUE"""),"https://huggingface.co/facebook/roberta-hate-speech-dynabench-r4-target/discussions/2")</f>
        <v>https://huggingface.co/facebook/roberta-hate-speech-dynabench-r4-target/discussions/2</v>
      </c>
      <c r="B101" s="1">
        <f ca="1">COUNTIFS(author1_labels!$A$2:$A$433,A101,author1_labels!$B$2:$B$433,"&lt;&gt;")</f>
        <v>1</v>
      </c>
      <c r="E101" s="1" t="str">
        <f ca="1">IFERROR(__xludf.DUMMYFUNCTION("""COMPUTED_VALUE"""),"script/finetuning script request")</f>
        <v>script/finetuning script request</v>
      </c>
      <c r="F101" s="1">
        <f ca="1">COUNTIF(author1_labels!G100:G531,E101)</f>
        <v>2</v>
      </c>
    </row>
    <row r="102" spans="1:6" x14ac:dyDescent="0.3">
      <c r="A102" s="6" t="str">
        <f ca="1">IFERROR(__xludf.DUMMYFUNCTION("""COMPUTED_VALUE"""),"https://huggingface.co/facebook/xm_transformer_s2ut_hk-en/discussions/1")</f>
        <v>https://huggingface.co/facebook/xm_transformer_s2ut_hk-en/discussions/1</v>
      </c>
      <c r="B102" s="1">
        <f ca="1">COUNTIFS(author1_labels!$A$2:$A$433,A102,author1_labels!$B$2:$B$433,"&lt;&gt;")</f>
        <v>1</v>
      </c>
      <c r="E102" s="1" t="str">
        <f ca="1">IFERROR(__xludf.DUMMYFUNCTION("""COMPUTED_VALUE"""),"training detail/loss")</f>
        <v>training detail/loss</v>
      </c>
      <c r="F102" s="1">
        <f ca="1">COUNTIF(author1_labels!G101:G532,E102)</f>
        <v>1</v>
      </c>
    </row>
    <row r="103" spans="1:6" x14ac:dyDescent="0.3">
      <c r="A103" s="6" t="str">
        <f ca="1">IFERROR(__xludf.DUMMYFUNCTION("""COMPUTED_VALUE"""),"https://huggingface.co/FlagAlpha/Llama2-Chinese-13b-Chat/discussions/5")</f>
        <v>https://huggingface.co/FlagAlpha/Llama2-Chinese-13b-Chat/discussions/5</v>
      </c>
      <c r="B103" s="1">
        <f ca="1">COUNTIFS(author1_labels!$A$2:$A$433,A103,author1_labels!$B$2:$B$433,"&lt;&gt;")</f>
        <v>1</v>
      </c>
      <c r="E103" s="1" t="str">
        <f ca="1">IFERROR(__xludf.DUMMYFUNCTION("""COMPUTED_VALUE"""),"error/dataset download")</f>
        <v>error/dataset download</v>
      </c>
      <c r="F103" s="1">
        <f ca="1">COUNTIF(author1_labels!G102:G533,E103)</f>
        <v>1</v>
      </c>
    </row>
    <row r="104" spans="1:6" x14ac:dyDescent="0.3">
      <c r="A104" s="6" t="str">
        <f ca="1">IFERROR(__xludf.DUMMYFUNCTION("""COMPUTED_VALUE"""),"https://huggingface.co/flashvenom/Airoboros-13B-SuperHOT-8K-4bit-GPTQ/discussions/2")</f>
        <v>https://huggingface.co/flashvenom/Airoboros-13B-SuperHOT-8K-4bit-GPTQ/discussions/2</v>
      </c>
      <c r="B104" s="1">
        <f ca="1">COUNTIFS(author1_labels!$A$2:$A$433,A104,author1_labels!$B$2:$B$433,"&lt;&gt;")</f>
        <v>1</v>
      </c>
      <c r="E104" s="1" t="str">
        <f ca="1">IFERROR(__xludf.DUMMYFUNCTION("""COMPUTED_VALUE"""),"license/base model")</f>
        <v>license/base model</v>
      </c>
      <c r="F104" s="1">
        <f ca="1">COUNTIF(author1_labels!G103:G534,E104)</f>
        <v>1</v>
      </c>
    </row>
    <row r="105" spans="1:6" x14ac:dyDescent="0.3">
      <c r="A105" s="6" t="str">
        <f ca="1">IFERROR(__xludf.DUMMYFUNCTION("""COMPUTED_VALUE"""),"https://huggingface.co/flax-community/papuGaPT2/discussions/2")</f>
        <v>https://huggingface.co/flax-community/papuGaPT2/discussions/2</v>
      </c>
      <c r="B105" s="1">
        <f ca="1">COUNTIFS(author1_labels!$A$2:$A$433,A105,author1_labels!$B$2:$B$433,"&lt;&gt;")</f>
        <v>1</v>
      </c>
      <c r="E105" s="1" t="str">
        <f ca="1">IFERROR(__xludf.DUMMYFUNCTION("""COMPUTED_VALUE"""),"error/model use with other model")</f>
        <v>error/model use with other model</v>
      </c>
      <c r="F105" s="1">
        <f ca="1">COUNTIF(author1_labels!G104:G535,E105)</f>
        <v>1</v>
      </c>
    </row>
    <row r="106" spans="1:6" x14ac:dyDescent="0.3">
      <c r="A106" s="6" t="str">
        <f ca="1">IFERROR(__xludf.DUMMYFUNCTION("""COMPUTED_VALUE"""),"https://huggingface.co/flax-community/t5-recipe-generation/discussions/2")</f>
        <v>https://huggingface.co/flax-community/t5-recipe-generation/discussions/2</v>
      </c>
      <c r="B106" s="1">
        <f ca="1">COUNTIFS(author1_labels!$A$2:$A$433,A106,author1_labels!$B$2:$B$433,"&lt;&gt;")</f>
        <v>1</v>
      </c>
      <c r="E106" s="1" t="str">
        <f ca="1">IFERROR(__xludf.DUMMYFUNCTION("""COMPUTED_VALUE"""),"model variant/dataset")</f>
        <v>model variant/dataset</v>
      </c>
      <c r="F106" s="1">
        <f ca="1">COUNTIF(author1_labels!G105:G536,E106)</f>
        <v>1</v>
      </c>
    </row>
    <row r="107" spans="1:6" x14ac:dyDescent="0.3">
      <c r="A107" s="6" t="str">
        <f ca="1">IFERROR(__xludf.DUMMYFUNCTION("""COMPUTED_VALUE"""),"https://huggingface.co/FredZhang7/distilgpt2-stable-diffusion-v2/discussions/2")</f>
        <v>https://huggingface.co/FredZhang7/distilgpt2-stable-diffusion-v2/discussions/2</v>
      </c>
      <c r="B107" s="1">
        <f ca="1">COUNTIFS(author1_labels!$A$2:$A$433,A107,author1_labels!$B$2:$B$433,"&lt;&gt;")</f>
        <v>1</v>
      </c>
      <c r="E107" s="1" t="str">
        <f ca="1">IFERROR(__xludf.DUMMYFUNCTION("""COMPUTED_VALUE"""),"model use instruction request/safetensor/local")</f>
        <v>model use instruction request/safetensor/local</v>
      </c>
      <c r="F107" s="1">
        <f ca="1">COUNTIF(author1_labels!G106:G537,E107)</f>
        <v>1</v>
      </c>
    </row>
    <row r="108" spans="1:6" x14ac:dyDescent="0.3">
      <c r="A108" s="6" t="str">
        <f ca="1">IFERROR(__xludf.DUMMYFUNCTION("""COMPUTED_VALUE"""),"https://huggingface.co/google/ddpm-ema-bedroom-256/discussions/3")</f>
        <v>https://huggingface.co/google/ddpm-ema-bedroom-256/discussions/3</v>
      </c>
      <c r="B108" s="1">
        <f ca="1">COUNTIFS(author1_labels!$A$2:$A$433,A108,author1_labels!$B$2:$B$433,"&lt;&gt;")</f>
        <v>1</v>
      </c>
      <c r="E108" s="1" t="str">
        <f ca="1">IFERROR(__xludf.DUMMYFUNCTION("""COMPUTED_VALUE"""),"code/training code explanation request")</f>
        <v>code/training code explanation request</v>
      </c>
      <c r="F108" s="1">
        <f ca="1">COUNTIF(author1_labels!G108:G538,E108)</f>
        <v>1</v>
      </c>
    </row>
    <row r="109" spans="1:6" x14ac:dyDescent="0.3">
      <c r="A109" s="6" t="str">
        <f ca="1">IFERROR(__xludf.DUMMYFUNCTION("""COMPUTED_VALUE"""),"https://huggingface.co/google/deplot/discussions/12")</f>
        <v>https://huggingface.co/google/deplot/discussions/12</v>
      </c>
      <c r="B109" s="1">
        <f ca="1">COUNTIFS(author1_labels!$A$2:$A$433,A109,author1_labels!$B$2:$B$433,"&lt;&gt;")</f>
        <v>2</v>
      </c>
      <c r="E109" s="1" t="str">
        <f ca="1">IFERROR(__xludf.DUMMYFUNCTION("""COMPUTED_VALUE"""),"training detail/model merge")</f>
        <v>training detail/model merge</v>
      </c>
      <c r="F109" s="1">
        <f ca="1">COUNTIF(author1_labels!G109:G539,E109)</f>
        <v>2</v>
      </c>
    </row>
    <row r="110" spans="1:6" x14ac:dyDescent="0.3">
      <c r="A110" s="6" t="str">
        <f ca="1">IFERROR(__xludf.DUMMYFUNCTION("""COMPUTED_VALUE"""),"https://huggingface.co/google/flan-t5-large/discussions/16")</f>
        <v>https://huggingface.co/google/flan-t5-large/discussions/16</v>
      </c>
      <c r="B110" s="1">
        <f ca="1">COUNTIFS(author1_labels!$A$2:$A$433,A110,author1_labels!$B$2:$B$433,"&lt;&gt;")</f>
        <v>1</v>
      </c>
      <c r="E110" s="1" t="str">
        <f ca="1">IFERROR(__xludf.DUMMYFUNCTION("""COMPUTED_VALUE"""),"model use instruction request/safetensor")</f>
        <v>model use instruction request/safetensor</v>
      </c>
      <c r="F110" s="1">
        <f ca="1">COUNTIF(author1_labels!G110:G540,E110)</f>
        <v>1</v>
      </c>
    </row>
    <row r="111" spans="1:6" x14ac:dyDescent="0.3">
      <c r="A111" s="6" t="str">
        <f ca="1">IFERROR(__xludf.DUMMYFUNCTION("""COMPUTED_VALUE"""),"https://huggingface.co/google/flan-t5-xl/discussions/14")</f>
        <v>https://huggingface.co/google/flan-t5-xl/discussions/14</v>
      </c>
      <c r="B111" s="1">
        <f ca="1">COUNTIFS(author1_labels!$A$2:$A$433,A111,author1_labels!$B$2:$B$433,"&lt;&gt;")</f>
        <v>7</v>
      </c>
      <c r="E111" s="1" t="str">
        <f ca="1">IFERROR(__xludf.DUMMYFUNCTION("""COMPUTED_VALUE"""),"general question")</f>
        <v>general question</v>
      </c>
      <c r="F111" s="1">
        <f ca="1">COUNTIF(author1_labels!G111:G541,E111)</f>
        <v>2</v>
      </c>
    </row>
    <row r="112" spans="1:6" x14ac:dyDescent="0.3">
      <c r="A112" s="6" t="str">
        <f ca="1">IFERROR(__xludf.DUMMYFUNCTION("""COMPUTED_VALUE"""),"https://huggingface.co/google/flan-t5-xxl/discussions/67")</f>
        <v>https://huggingface.co/google/flan-t5-xxl/discussions/67</v>
      </c>
      <c r="B112" s="1">
        <f ca="1">COUNTIFS(author1_labels!$A$2:$A$433,A112,author1_labels!$B$2:$B$433,"&lt;&gt;")</f>
        <v>1</v>
      </c>
      <c r="E112" s="1" t="str">
        <f ca="1">IFERROR(__xludf.DUMMYFUNCTION("""COMPUTED_VALUE"""),"HF use")</f>
        <v>HF use</v>
      </c>
      <c r="F112" s="1">
        <f ca="1">COUNTIF(author1_labels!G112:G542,E112)</f>
        <v>1</v>
      </c>
    </row>
    <row r="113" spans="1:6" x14ac:dyDescent="0.3">
      <c r="A113" s="6" t="str">
        <f ca="1">IFERROR(__xludf.DUMMYFUNCTION("""COMPUTED_VALUE"""),"https://huggingface.co/google/pix2struct-docvqa-base/discussions/1")</f>
        <v>https://huggingface.co/google/pix2struct-docvqa-base/discussions/1</v>
      </c>
      <c r="B113" s="1">
        <f ca="1">COUNTIFS(author1_labels!$A$2:$A$433,A113,author1_labels!$B$2:$B$433,"&lt;&gt;")</f>
        <v>2</v>
      </c>
      <c r="E113" s="1" t="str">
        <f ca="1">IFERROR(__xludf.DUMMYFUNCTION("""COMPUTED_VALUE"""),"training detail/training environment")</f>
        <v>training detail/training environment</v>
      </c>
      <c r="F113" s="1">
        <f ca="1">COUNTIF(author1_labels!G113:G543,E113)</f>
        <v>1</v>
      </c>
    </row>
    <row r="114" spans="1:6" x14ac:dyDescent="0.3">
      <c r="A114" s="6" t="str">
        <f ca="1">IFERROR(__xludf.DUMMYFUNCTION("""COMPUTED_VALUE"""),"https://huggingface.co/google/tapas-base-finetuned-wtq/discussions/4")</f>
        <v>https://huggingface.co/google/tapas-base-finetuned-wtq/discussions/4</v>
      </c>
      <c r="B114" s="1">
        <f ca="1">COUNTIFS(author1_labels!$A$2:$A$433,A114,author1_labels!$B$2:$B$433,"&lt;&gt;")</f>
        <v>1</v>
      </c>
      <c r="E114" s="1" t="str">
        <f ca="1">IFERROR(__xludf.DUMMYFUNCTION("""COMPUTED_VALUE"""),"model conversion instruction")</f>
        <v>model conversion instruction</v>
      </c>
      <c r="F114" s="1">
        <f ca="1">COUNTIF(author1_labels!G114:G544,E114)</f>
        <v>1</v>
      </c>
    </row>
    <row r="115" spans="1:6" x14ac:dyDescent="0.3">
      <c r="A115" s="6" t="str">
        <f ca="1">IFERROR(__xludf.DUMMYFUNCTION("""COMPUTED_VALUE"""),"https://huggingface.co/Gryphe/MythoLogic-13b/discussions/2")</f>
        <v>https://huggingface.co/Gryphe/MythoLogic-13b/discussions/2</v>
      </c>
      <c r="B115" s="1">
        <f ca="1">COUNTIFS(author1_labels!$A$2:$A$433,A115,author1_labels!$B$2:$B$433,"&lt;&gt;")</f>
        <v>1</v>
      </c>
      <c r="E115" s="1" t="str">
        <f ca="1">IFERROR(__xludf.DUMMYFUNCTION("""COMPUTED_VALUE"""),"model input/prompt/model card")</f>
        <v>model input/prompt/model card</v>
      </c>
      <c r="F115" s="1">
        <f ca="1">COUNTIF(author1_labels!G115:G545,E115)</f>
        <v>1</v>
      </c>
    </row>
    <row r="116" spans="1:6" x14ac:dyDescent="0.3">
      <c r="A116" s="6" t="str">
        <f ca="1">IFERROR(__xludf.DUMMYFUNCTION("""COMPUTED_VALUE"""),"https://huggingface.co/Gryphe/MythoMax-L2-13b/discussions/19")</f>
        <v>https://huggingface.co/Gryphe/MythoMax-L2-13b/discussions/19</v>
      </c>
      <c r="B116" s="1">
        <f ca="1">COUNTIFS(author1_labels!$A$2:$A$433,A116,author1_labels!$B$2:$B$433,"&lt;&gt;")</f>
        <v>1</v>
      </c>
      <c r="E116" s="1" t="str">
        <f ca="1">IFERROR(__xludf.DUMMYFUNCTION("""COMPUTED_VALUE"""),"model development or deployment")</f>
        <v>model development or deployment</v>
      </c>
      <c r="F116" s="1">
        <f ca="1">COUNTIF(author1_labels!G116:G546,E116)</f>
        <v>1</v>
      </c>
    </row>
    <row r="117" spans="1:6" x14ac:dyDescent="0.3">
      <c r="A117" s="6" t="str">
        <f ca="1">IFERROR(__xludf.DUMMYFUNCTION("""COMPUTED_VALUE"""),"https://huggingface.co/gsdf/Counterfeit-V2.5/discussions/7")</f>
        <v>https://huggingface.co/gsdf/Counterfeit-V2.5/discussions/7</v>
      </c>
      <c r="B117" s="1">
        <f ca="1">COUNTIFS(author1_labels!$A$2:$A$433,A117,author1_labels!$B$2:$B$433,"&lt;&gt;")</f>
        <v>1</v>
      </c>
      <c r="E117" s="1" t="str">
        <f ca="1">IFERROR(__xludf.DUMMYFUNCTION("""COMPUTED_VALUE"""),"model size comparison")</f>
        <v>model size comparison</v>
      </c>
      <c r="F117" s="1">
        <f ca="1">COUNTIF(author1_labels!G117:G547,E117)</f>
        <v>2</v>
      </c>
    </row>
    <row r="118" spans="1:6" x14ac:dyDescent="0.3">
      <c r="A118" s="6" t="str">
        <f ca="1">IFERROR(__xludf.DUMMYFUNCTION("""COMPUTED_VALUE"""),"https://huggingface.co/Gustavosta/MagicPrompt-Stable-Diffusion/discussions/2")</f>
        <v>https://huggingface.co/Gustavosta/MagicPrompt-Stable-Diffusion/discussions/2</v>
      </c>
      <c r="B118" s="1">
        <f ca="1">COUNTIFS(author1_labels!$A$2:$A$433,A118,author1_labels!$B$2:$B$433,"&lt;&gt;")</f>
        <v>1</v>
      </c>
      <c r="E118" s="1" t="str">
        <f ca="1">IFERROR(__xludf.DUMMYFUNCTION("""COMPUTED_VALUE"""),"model input/data structure")</f>
        <v>model input/data structure</v>
      </c>
      <c r="F118" s="1">
        <f ca="1">COUNTIF(author1_labels!G118:G548,E118)</f>
        <v>1</v>
      </c>
    </row>
    <row r="119" spans="1:6" x14ac:dyDescent="0.3">
      <c r="A119" s="6" t="str">
        <f ca="1">IFERROR(__xludf.DUMMYFUNCTION("""COMPUTED_VALUE"""),"https://huggingface.co/h2oai/h2ogpt-gm-oasst1-en-2048-falcon-40b-v2/discussions/1")</f>
        <v>https://huggingface.co/h2oai/h2ogpt-gm-oasst1-en-2048-falcon-40b-v2/discussions/1</v>
      </c>
      <c r="B119" s="1">
        <f ca="1">COUNTIFS(author1_labels!$A$2:$A$433,A119,author1_labels!$B$2:$B$433,"&lt;&gt;")</f>
        <v>1</v>
      </c>
      <c r="E119" s="1" t="str">
        <f ca="1">IFERROR(__xludf.DUMMYFUNCTION("""COMPUTED_VALUE"""),"model output/bug")</f>
        <v>model output/bug</v>
      </c>
      <c r="F119" s="1">
        <f ca="1">COUNTIF(author1_labels!G119:G549,E119)</f>
        <v>1</v>
      </c>
    </row>
    <row r="120" spans="1:6" x14ac:dyDescent="0.3">
      <c r="A120" s="6" t="str">
        <f ca="1">IFERROR(__xludf.DUMMYFUNCTION("""COMPUTED_VALUE"""),"https://huggingface.co/h94/IP-Adapter-FaceID/discussions/20")</f>
        <v>https://huggingface.co/h94/IP-Adapter-FaceID/discussions/20</v>
      </c>
      <c r="B120" s="1">
        <f ca="1">COUNTIFS(author1_labels!$A$2:$A$433,A120,author1_labels!$B$2:$B$433,"&lt;&gt;")</f>
        <v>1</v>
      </c>
      <c r="E120" s="1" t="str">
        <f ca="1">IFERROR(__xludf.DUMMYFUNCTION("""COMPUTED_VALUE"""),"model output/prompt")</f>
        <v>model output/prompt</v>
      </c>
      <c r="F120" s="1">
        <f ca="1">COUNTIF(author1_labels!G120:G550,E120)</f>
        <v>1</v>
      </c>
    </row>
    <row r="121" spans="1:6" x14ac:dyDescent="0.3">
      <c r="A121" s="6" t="str">
        <f ca="1">IFERROR(__xludf.DUMMYFUNCTION("""COMPUTED_VALUE"""),"https://huggingface.co/hakurei/waifu-diffusion/discussions/115")</f>
        <v>https://huggingface.co/hakurei/waifu-diffusion/discussions/115</v>
      </c>
      <c r="B121" s="1">
        <f ca="1">COUNTIFS(author1_labels!$A$2:$A$433,A121,author1_labels!$B$2:$B$433,"&lt;&gt;")</f>
        <v>1</v>
      </c>
      <c r="E121" s="1" t="str">
        <f ca="1">IFERROR(__xludf.DUMMYFUNCTION("""COMPUTED_VALUE"""),"model use/tokenizer behaviour/model card")</f>
        <v>model use/tokenizer behaviour/model card</v>
      </c>
      <c r="F121" s="1">
        <f ca="1">COUNTIF(author1_labels!G121:G551,E121)</f>
        <v>1</v>
      </c>
    </row>
    <row r="122" spans="1:6" x14ac:dyDescent="0.3">
      <c r="A122" s="6" t="str">
        <f ca="1">IFERROR(__xludf.DUMMYFUNCTION("""COMPUTED_VALUE"""),"https://huggingface.co/hakurei/waifu-diffusion/discussions/28")</f>
        <v>https://huggingface.co/hakurei/waifu-diffusion/discussions/28</v>
      </c>
      <c r="B122" s="1">
        <f ca="1">COUNTIFS(author1_labels!$A$2:$A$433,A122,author1_labels!$B$2:$B$433,"&lt;&gt;")</f>
        <v>0</v>
      </c>
      <c r="E122" s="1" t="str">
        <f ca="1">IFERROR(__xludf.DUMMYFUNCTION("""COMPUTED_VALUE"""),"model selection suggestion request")</f>
        <v>model selection suggestion request</v>
      </c>
      <c r="F122" s="1">
        <f ca="1">COUNTIF(author1_labels!G122:G552,E122)</f>
        <v>3</v>
      </c>
    </row>
    <row r="123" spans="1:6" x14ac:dyDescent="0.3">
      <c r="A123" s="6" t="str">
        <f ca="1">IFERROR(__xludf.DUMMYFUNCTION("""COMPUTED_VALUE"""),"https://huggingface.co/hearmeneigh/e621-rising-v3/discussions/1")</f>
        <v>https://huggingface.co/hearmeneigh/e621-rising-v3/discussions/1</v>
      </c>
      <c r="B123" s="1">
        <f ca="1">COUNTIFS(author1_labels!$A$2:$A$433,A123,author1_labels!$B$2:$B$433,"&lt;&gt;")</f>
        <v>1</v>
      </c>
      <c r="E123" s="1" t="str">
        <f ca="1">IFERROR(__xludf.DUMMYFUNCTION("""COMPUTED_VALUE"""),"code/model use code request/local")</f>
        <v>code/model use code request/local</v>
      </c>
      <c r="F123" s="1">
        <f ca="1">COUNTIF(author1_labels!G123:G553,E123)</f>
        <v>1</v>
      </c>
    </row>
    <row r="124" spans="1:6" x14ac:dyDescent="0.3">
      <c r="A124" s="6" t="str">
        <f ca="1">IFERROR(__xludf.DUMMYFUNCTION("""COMPUTED_VALUE"""),"https://huggingface.co/Helsinki-NLP/opus-mt-ROMANCE-en/discussions/3")</f>
        <v>https://huggingface.co/Helsinki-NLP/opus-mt-ROMANCE-en/discussions/3</v>
      </c>
      <c r="B124" s="1">
        <f ca="1">COUNTIFS(author1_labels!$A$2:$A$433,A124,author1_labels!$B$2:$B$433,"&lt;&gt;")</f>
        <v>1</v>
      </c>
      <c r="E124" s="1" t="str">
        <f ca="1">IFERROR(__xludf.DUMMYFUNCTION("""COMPUTED_VALUE"""),"code/model setup code request")</f>
        <v>code/model setup code request</v>
      </c>
    </row>
    <row r="125" spans="1:6" x14ac:dyDescent="0.3">
      <c r="A125" s="6" t="str">
        <f ca="1">IFERROR(__xludf.DUMMYFUNCTION("""COMPUTED_VALUE"""),"https://huggingface.co/Helsinki-NLP/opus-mt-zh-en/discussions/11")</f>
        <v>https://huggingface.co/Helsinki-NLP/opus-mt-zh-en/discussions/11</v>
      </c>
      <c r="B125" s="1">
        <f ca="1">COUNTIFS(author1_labels!$A$2:$A$433,A125,author1_labels!$B$2:$B$433,"&lt;&gt;")</f>
        <v>1</v>
      </c>
      <c r="E125" s="1" t="str">
        <f ca="1">IFERROR(__xludf.DUMMYFUNCTION("""COMPUTED_VALUE"""),"model use instruction request/error")</f>
        <v>model use instruction request/error</v>
      </c>
    </row>
    <row r="126" spans="1:6" x14ac:dyDescent="0.3">
      <c r="A126" s="6" t="str">
        <f ca="1">IFERROR(__xludf.DUMMYFUNCTION("""COMPUTED_VALUE"""),"https://huggingface.co/Henk717/chronoboros-33B/discussions/1")</f>
        <v>https://huggingface.co/Henk717/chronoboros-33B/discussions/1</v>
      </c>
      <c r="B126" s="1">
        <f ca="1">COUNTIFS(author1_labels!$A$2:$A$433,A126,author1_labels!$B$2:$B$433,"&lt;&gt;")</f>
        <v>1</v>
      </c>
      <c r="E126" s="1" t="str">
        <f ca="1">IFERROR(__xludf.DUMMYFUNCTION("""COMPUTED_VALUE"""),"error/model merge")</f>
        <v>error/model merge</v>
      </c>
    </row>
    <row r="127" spans="1:6" x14ac:dyDescent="0.3">
      <c r="A127" s="6" t="str">
        <f ca="1">IFERROR(__xludf.DUMMYFUNCTION("""COMPUTED_VALUE"""),"https://huggingface.co/hivemind/gpt-j-6B-8bit/discussions/5")</f>
        <v>https://huggingface.co/hivemind/gpt-j-6B-8bit/discussions/5</v>
      </c>
      <c r="B127" s="1">
        <f ca="1">COUNTIFS(author1_labels!$A$2:$A$433,A127,author1_labels!$B$2:$B$433,"&lt;&gt;")</f>
        <v>1</v>
      </c>
      <c r="E127" s="1" t="str">
        <f ca="1">IFERROR(__xludf.DUMMYFUNCTION("""COMPUTED_VALUE"""),"how to use finetuned version")</f>
        <v>how to use finetuned version</v>
      </c>
    </row>
    <row r="128" spans="1:6" x14ac:dyDescent="0.3">
      <c r="A128" s="6" t="str">
        <f ca="1">IFERROR(__xludf.DUMMYFUNCTION("""COMPUTED_VALUE"""),"https://huggingface.co/hkunlp/instructor-xl/discussions/23")</f>
        <v>https://huggingface.co/hkunlp/instructor-xl/discussions/23</v>
      </c>
      <c r="B128" s="1">
        <f ca="1">COUNTIFS(author1_labels!$A$2:$A$433,A128,author1_labels!$B$2:$B$433,"&lt;&gt;")</f>
        <v>1</v>
      </c>
      <c r="E128" s="1" t="str">
        <f ca="1">IFERROR(__xludf.DUMMYFUNCTION("""COMPUTED_VALUE"""),"code/inference code request")</f>
        <v>code/inference code request</v>
      </c>
    </row>
    <row r="129" spans="1:5" x14ac:dyDescent="0.3">
      <c r="A129" s="6" t="str">
        <f ca="1">IFERROR(__xludf.DUMMYFUNCTION("""COMPUTED_VALUE"""),"https://huggingface.co/hkunlp/instructor-xl/discussions/8")</f>
        <v>https://huggingface.co/hkunlp/instructor-xl/discussions/8</v>
      </c>
      <c r="B129" s="1">
        <f ca="1">COUNTIFS(author1_labels!$A$2:$A$433,A129,author1_labels!$B$2:$B$433,"&lt;&gt;")</f>
        <v>1</v>
      </c>
      <c r="E129" s="1" t="str">
        <f ca="1">IFERROR(__xludf.DUMMYFUNCTION("""COMPUTED_VALUE"""),"model use/local")</f>
        <v>model use/local</v>
      </c>
    </row>
    <row r="130" spans="1:5" x14ac:dyDescent="0.3">
      <c r="A130" s="6" t="str">
        <f ca="1">IFERROR(__xludf.DUMMYFUNCTION("""COMPUTED_VALUE"""),"https://huggingface.co/HuggingFaceH4/starchat-alpha/discussions/8")</f>
        <v>https://huggingface.co/HuggingFaceH4/starchat-alpha/discussions/8</v>
      </c>
      <c r="B130" s="1">
        <f ca="1">COUNTIFS(author1_labels!$A$2:$A$433,A130,author1_labels!$B$2:$B$433,"&lt;&gt;")</f>
        <v>1</v>
      </c>
      <c r="E130" s="1" t="str">
        <f ca="1">IFERROR(__xludf.DUMMYFUNCTION("""COMPUTED_VALUE"""),"model merge")</f>
        <v>model merge</v>
      </c>
    </row>
    <row r="131" spans="1:5" x14ac:dyDescent="0.3">
      <c r="A131" s="6" t="str">
        <f ca="1">IFERROR(__xludf.DUMMYFUNCTION("""COMPUTED_VALUE"""),"https://huggingface.co/HuggingFaceH4/starchat-beta/discussions/15")</f>
        <v>https://huggingface.co/HuggingFaceH4/starchat-beta/discussions/15</v>
      </c>
      <c r="B131" s="1">
        <f ca="1">COUNTIFS(author1_labels!$A$2:$A$433,A131,author1_labels!$B$2:$B$433,"&lt;&gt;")</f>
        <v>1</v>
      </c>
      <c r="E131" s="1" t="str">
        <f ca="1">IFERROR(__xludf.DUMMYFUNCTION("""COMPUTED_VALUE"""),"error/model download")</f>
        <v>error/model download</v>
      </c>
    </row>
    <row r="132" spans="1:5" x14ac:dyDescent="0.3">
      <c r="A132" s="6" t="str">
        <f ca="1">IFERROR(__xludf.DUMMYFUNCTION("""COMPUTED_VALUE"""),"https://huggingface.co/HuggingFaceM4/idefics-9b-instruct/discussions/7")</f>
        <v>https://huggingface.co/HuggingFaceM4/idefics-9b-instruct/discussions/7</v>
      </c>
      <c r="B132" s="1">
        <f ca="1">COUNTIFS(author1_labels!$A$2:$A$433,A132,author1_labels!$B$2:$B$433,"&lt;&gt;")</f>
        <v>0</v>
      </c>
    </row>
    <row r="133" spans="1:5" x14ac:dyDescent="0.3">
      <c r="A133" s="6" t="str">
        <f ca="1">IFERROR(__xludf.DUMMYFUNCTION("""COMPUTED_VALUE"""),"https://huggingface.co/iambestfeed/open_llama_3b_4bit_128g/discussions/1")</f>
        <v>https://huggingface.co/iambestfeed/open_llama_3b_4bit_128g/discussions/1</v>
      </c>
      <c r="B133" s="1">
        <f ca="1">COUNTIFS(author1_labels!$A$2:$A$433,A133,author1_labels!$B$2:$B$433,"&lt;&gt;")</f>
        <v>3</v>
      </c>
    </row>
    <row r="134" spans="1:5" x14ac:dyDescent="0.3">
      <c r="A134" s="6" t="str">
        <f ca="1">IFERROR(__xludf.DUMMYFUNCTION("""COMPUTED_VALUE"""),"https://huggingface.co/internlm/internlm-chat-20b-4bit/discussions/1")</f>
        <v>https://huggingface.co/internlm/internlm-chat-20b-4bit/discussions/1</v>
      </c>
      <c r="B134" s="1">
        <f ca="1">COUNTIFS(author1_labels!$A$2:$A$433,A134,author1_labels!$B$2:$B$433,"&lt;&gt;")</f>
        <v>1</v>
      </c>
    </row>
    <row r="135" spans="1:5" x14ac:dyDescent="0.3">
      <c r="A135" s="6" t="str">
        <f ca="1">IFERROR(__xludf.DUMMYFUNCTION("""COMPUTED_VALUE"""),"https://huggingface.co/intfloat/e5-large-v2/discussions/13")</f>
        <v>https://huggingface.co/intfloat/e5-large-v2/discussions/13</v>
      </c>
      <c r="B135" s="1">
        <f ca="1">COUNTIFS(author1_labels!$A$2:$A$433,A135,author1_labels!$B$2:$B$433,"&lt;&gt;")</f>
        <v>1</v>
      </c>
    </row>
    <row r="136" spans="1:5" x14ac:dyDescent="0.3">
      <c r="A136" s="6" t="str">
        <f ca="1">IFERROR(__xludf.DUMMYFUNCTION("""COMPUTED_VALUE"""),"https://huggingface.co/ise-uiuc/Magicoder-S-DS-6.7B/discussions/4")</f>
        <v>https://huggingface.co/ise-uiuc/Magicoder-S-DS-6.7B/discussions/4</v>
      </c>
      <c r="B136" s="1">
        <f ca="1">COUNTIFS(author1_labels!$A$2:$A$433,A136,author1_labels!$B$2:$B$433,"&lt;&gt;")</f>
        <v>1</v>
      </c>
    </row>
    <row r="137" spans="1:5" x14ac:dyDescent="0.3">
      <c r="A137" s="6" t="str">
        <f ca="1">IFERROR(__xludf.DUMMYFUNCTION("""COMPUTED_VALUE"""),"https://huggingface.co/j-hartmann/emotion-english-distilroberta-base/discussions/8")</f>
        <v>https://huggingface.co/j-hartmann/emotion-english-distilroberta-base/discussions/8</v>
      </c>
      <c r="B137" s="1">
        <f ca="1">COUNTIFS(author1_labels!$A$2:$A$433,A137,author1_labels!$B$2:$B$433,"&lt;&gt;")</f>
        <v>2</v>
      </c>
    </row>
    <row r="138" spans="1:5" x14ac:dyDescent="0.3">
      <c r="A138" s="6" t="str">
        <f ca="1">IFERROR(__xludf.DUMMYFUNCTION("""COMPUTED_VALUE"""),"https://huggingface.co/j-hartmann/emotion-english-roberta-large/discussions/1")</f>
        <v>https://huggingface.co/j-hartmann/emotion-english-roberta-large/discussions/1</v>
      </c>
      <c r="B138" s="1">
        <f ca="1">COUNTIFS(author1_labels!$A$2:$A$433,A138,author1_labels!$B$2:$B$433,"&lt;&gt;")</f>
        <v>1</v>
      </c>
    </row>
    <row r="139" spans="1:5" x14ac:dyDescent="0.3">
      <c r="A139" s="6" t="str">
        <f ca="1">IFERROR(__xludf.DUMMYFUNCTION("""COMPUTED_VALUE"""),"https://huggingface.co/jarradh/llama2_70b_chat_uncensored/discussions/8")</f>
        <v>https://huggingface.co/jarradh/llama2_70b_chat_uncensored/discussions/8</v>
      </c>
      <c r="B139" s="1">
        <f ca="1">COUNTIFS(author1_labels!$A$2:$A$433,A139,author1_labels!$B$2:$B$433,"&lt;&gt;")</f>
        <v>0</v>
      </c>
    </row>
    <row r="140" spans="1:5" x14ac:dyDescent="0.3">
      <c r="A140" s="6" t="str">
        <f ca="1">IFERROR(__xludf.DUMMYFUNCTION("""COMPUTED_VALUE"""),"https://huggingface.co/joaoalvarenga/bloom-8bit/discussions/3")</f>
        <v>https://huggingface.co/joaoalvarenga/bloom-8bit/discussions/3</v>
      </c>
      <c r="B140" s="1">
        <f ca="1">COUNTIFS(author1_labels!$A$2:$A$433,A140,author1_labels!$B$2:$B$433,"&lt;&gt;")</f>
        <v>1</v>
      </c>
    </row>
    <row r="141" spans="1:5" x14ac:dyDescent="0.3">
      <c r="A141" s="6" t="str">
        <f ca="1">IFERROR(__xludf.DUMMYFUNCTION("""COMPUTED_VALUE"""),"https://huggingface.co/jonatasgrosman/wav2vec2-xls-r-1b-english/discussions/2")</f>
        <v>https://huggingface.co/jonatasgrosman/wav2vec2-xls-r-1b-english/discussions/2</v>
      </c>
      <c r="B141" s="1">
        <f ca="1">COUNTIFS(author1_labels!$A$2:$A$433,A141,author1_labels!$B$2:$B$433,"&lt;&gt;")</f>
        <v>0</v>
      </c>
    </row>
    <row r="142" spans="1:5" x14ac:dyDescent="0.3">
      <c r="A142" s="6" t="str">
        <f ca="1">IFERROR(__xludf.DUMMYFUNCTION("""COMPUTED_VALUE"""),"https://huggingface.co/jondurbin/airoboros-13b/discussions/5")</f>
        <v>https://huggingface.co/jondurbin/airoboros-13b/discussions/5</v>
      </c>
      <c r="B142" s="1">
        <f ca="1">COUNTIFS(author1_labels!$A$2:$A$433,A142,author1_labels!$B$2:$B$433,"&lt;&gt;")</f>
        <v>1</v>
      </c>
    </row>
    <row r="143" spans="1:5" x14ac:dyDescent="0.3">
      <c r="A143" s="6" t="str">
        <f ca="1">IFERROR(__xludf.DUMMYFUNCTION("""COMPUTED_VALUE"""),"https://huggingface.co/jondurbin/airoboros-l2-70b-2.1/discussions/2")</f>
        <v>https://huggingface.co/jondurbin/airoboros-l2-70b-2.1/discussions/2</v>
      </c>
      <c r="B143" s="1">
        <f ca="1">COUNTIFS(author1_labels!$A$2:$A$433,A143,author1_labels!$B$2:$B$433,"&lt;&gt;")</f>
        <v>1</v>
      </c>
    </row>
    <row r="144" spans="1:5" x14ac:dyDescent="0.3">
      <c r="A144" s="6" t="str">
        <f ca="1">IFERROR(__xludf.DUMMYFUNCTION("""COMPUTED_VALUE"""),"https://huggingface.co/jondurbin/airoboros-l2-7b-gpt4-1.4.1/discussions/1")</f>
        <v>https://huggingface.co/jondurbin/airoboros-l2-7b-gpt4-1.4.1/discussions/1</v>
      </c>
      <c r="B144" s="1">
        <f ca="1">COUNTIFS(author1_labels!$A$2:$A$433,A144,author1_labels!$B$2:$B$433,"&lt;&gt;")</f>
        <v>3</v>
      </c>
    </row>
    <row r="145" spans="1:2" x14ac:dyDescent="0.3">
      <c r="A145" s="6" t="str">
        <f ca="1">IFERROR(__xludf.DUMMYFUNCTION("""COMPUTED_VALUE"""),"https://huggingface.co/jondurbin/airoboros-m-7b-3.1.2/discussions/1")</f>
        <v>https://huggingface.co/jondurbin/airoboros-m-7b-3.1.2/discussions/1</v>
      </c>
      <c r="B145" s="1">
        <f ca="1">COUNTIFS(author1_labels!$A$2:$A$433,A145,author1_labels!$B$2:$B$433,"&lt;&gt;")</f>
        <v>1</v>
      </c>
    </row>
    <row r="146" spans="1:2" x14ac:dyDescent="0.3">
      <c r="A146" s="6" t="str">
        <f ca="1">IFERROR(__xludf.DUMMYFUNCTION("""COMPUTED_VALUE"""),"https://huggingface.co/jondurbin/airocoder-34b-2.1/discussions/1")</f>
        <v>https://huggingface.co/jondurbin/airocoder-34b-2.1/discussions/1</v>
      </c>
      <c r="B146" s="1">
        <f ca="1">COUNTIFS(author1_labels!$A$2:$A$433,A146,author1_labels!$B$2:$B$433,"&lt;&gt;")</f>
        <v>1</v>
      </c>
    </row>
    <row r="147" spans="1:2" x14ac:dyDescent="0.3">
      <c r="A147" s="6" t="str">
        <f ca="1">IFERROR(__xludf.DUMMYFUNCTION("""COMPUTED_VALUE"""),"https://huggingface.co/kalpeshk2011/rankgen-t5-xl-pg19/discussions/2")</f>
        <v>https://huggingface.co/kalpeshk2011/rankgen-t5-xl-pg19/discussions/2</v>
      </c>
      <c r="B147" s="1">
        <f ca="1">COUNTIFS(author1_labels!$A$2:$A$433,A147,author1_labels!$B$2:$B$433,"&lt;&gt;")</f>
        <v>1</v>
      </c>
    </row>
    <row r="148" spans="1:2" x14ac:dyDescent="0.3">
      <c r="A148" s="6" t="str">
        <f ca="1">IFERROR(__xludf.DUMMYFUNCTION("""COMPUTED_VALUE"""),"https://huggingface.co/keras-io/structured-data-classification-grn-vsn/discussions/1")</f>
        <v>https://huggingface.co/keras-io/structured-data-classification-grn-vsn/discussions/1</v>
      </c>
      <c r="B148" s="1">
        <f ca="1">COUNTIFS(author1_labels!$A$2:$A$433,A148,author1_labels!$B$2:$B$433,"&lt;&gt;")</f>
        <v>1</v>
      </c>
    </row>
    <row r="149" spans="1:2" x14ac:dyDescent="0.3">
      <c r="A149" s="6" t="str">
        <f ca="1">IFERROR(__xludf.DUMMYFUNCTION("""COMPUTED_VALUE"""),"https://huggingface.co/keremberke/yolov8s-table-extraction/discussions/3")</f>
        <v>https://huggingface.co/keremberke/yolov8s-table-extraction/discussions/3</v>
      </c>
      <c r="B149" s="1">
        <f ca="1">COUNTIFS(author1_labels!$A$2:$A$433,A149,author1_labels!$B$2:$B$433,"&lt;&gt;")</f>
        <v>1</v>
      </c>
    </row>
    <row r="150" spans="1:2" x14ac:dyDescent="0.3">
      <c r="A150" s="6" t="str">
        <f ca="1">IFERROR(__xludf.DUMMYFUNCTION("""COMPUTED_VALUE"""),"https://huggingface.co/knkarthick/MEETING_SUMMARY/discussions/15")</f>
        <v>https://huggingface.co/knkarthick/MEETING_SUMMARY/discussions/15</v>
      </c>
      <c r="B150" s="1">
        <f ca="1">COUNTIFS(author1_labels!$A$2:$A$433,A150,author1_labels!$B$2:$B$433,"&lt;&gt;")</f>
        <v>1</v>
      </c>
    </row>
    <row r="151" spans="1:2" x14ac:dyDescent="0.3">
      <c r="A151" s="6" t="str">
        <f ca="1">IFERROR(__xludf.DUMMYFUNCTION("""COMPUTED_VALUE"""),"https://huggingface.co/KoboldAI/OPT-30B-Erebus/discussions/1")</f>
        <v>https://huggingface.co/KoboldAI/OPT-30B-Erebus/discussions/1</v>
      </c>
      <c r="B151" s="1">
        <f ca="1">COUNTIFS(author1_labels!$A$2:$A$433,A151,author1_labels!$B$2:$B$433,"&lt;&gt;")</f>
        <v>1</v>
      </c>
    </row>
    <row r="152" spans="1:2" x14ac:dyDescent="0.3">
      <c r="A152" s="6" t="str">
        <f ca="1">IFERROR(__xludf.DUMMYFUNCTION("""COMPUTED_VALUE"""),"https://huggingface.co/ku-nlp/deberta-v2-base-japanese/discussions/1")</f>
        <v>https://huggingface.co/ku-nlp/deberta-v2-base-japanese/discussions/1</v>
      </c>
      <c r="B152" s="1">
        <f ca="1">COUNTIFS(author1_labels!$A$2:$A$433,A152,author1_labels!$B$2:$B$433,"&lt;&gt;")</f>
        <v>1</v>
      </c>
    </row>
    <row r="153" spans="1:2" x14ac:dyDescent="0.3">
      <c r="A153" s="6" t="str">
        <f ca="1">IFERROR(__xludf.DUMMYFUNCTION("""COMPUTED_VALUE"""),"https://huggingface.co/laion/CLIP-ViT-B-32-xlm-roberta-base-laion5B-s13B-b90k/discussions/2")</f>
        <v>https://huggingface.co/laion/CLIP-ViT-B-32-xlm-roberta-base-laion5B-s13B-b90k/discussions/2</v>
      </c>
      <c r="B153" s="1">
        <f ca="1">COUNTIFS(author1_labels!$A$2:$A$433,A153,author1_labels!$B$2:$B$433,"&lt;&gt;")</f>
        <v>1</v>
      </c>
    </row>
    <row r="154" spans="1:2" x14ac:dyDescent="0.3">
      <c r="A154" s="6" t="str">
        <f ca="1">IFERROR(__xludf.DUMMYFUNCTION("""COMPUTED_VALUE"""),"https://huggingface.co/Langboat/mengzi-gpt-neo-base/discussions/2")</f>
        <v>https://huggingface.co/Langboat/mengzi-gpt-neo-base/discussions/2</v>
      </c>
      <c r="B154" s="1">
        <f ca="1">COUNTIFS(author1_labels!$A$2:$A$433,A154,author1_labels!$B$2:$B$433,"&lt;&gt;")</f>
        <v>1</v>
      </c>
    </row>
    <row r="155" spans="1:2" x14ac:dyDescent="0.3">
      <c r="A155" s="6" t="str">
        <f ca="1">IFERROR(__xludf.DUMMYFUNCTION("""COMPUTED_VALUE"""),"https://huggingface.co/latent-consistency/lcm-lora-sdxl/discussions/11")</f>
        <v>https://huggingface.co/latent-consistency/lcm-lora-sdxl/discussions/11</v>
      </c>
      <c r="B155" s="1">
        <f ca="1">COUNTIFS(author1_labels!$A$2:$A$433,A155,author1_labels!$B$2:$B$433,"&lt;&gt;")</f>
        <v>1</v>
      </c>
    </row>
    <row r="156" spans="1:2" x14ac:dyDescent="0.3">
      <c r="A156" s="6" t="str">
        <f ca="1">IFERROR(__xludf.DUMMYFUNCTION("""COMPUTED_VALUE"""),"https://huggingface.co/lgaalves/tinyllama-1.1b-chat-v0.3_platypus/discussions/2")</f>
        <v>https://huggingface.co/lgaalves/tinyllama-1.1b-chat-v0.3_platypus/discussions/2</v>
      </c>
      <c r="B156" s="1">
        <f ca="1">COUNTIFS(author1_labels!$A$2:$A$433,A156,author1_labels!$B$2:$B$433,"&lt;&gt;")</f>
        <v>1</v>
      </c>
    </row>
    <row r="157" spans="1:2" x14ac:dyDescent="0.3">
      <c r="A157" s="6" t="str">
        <f ca="1">IFERROR(__xludf.DUMMYFUNCTION("""COMPUTED_VALUE"""),"https://huggingface.co/llm-agents/tora-70b-v1.0/discussions/1")</f>
        <v>https://huggingface.co/llm-agents/tora-70b-v1.0/discussions/1</v>
      </c>
      <c r="B157" s="1">
        <f ca="1">COUNTIFS(author1_labels!$A$2:$A$433,A157,author1_labels!$B$2:$B$433,"&lt;&gt;")</f>
        <v>1</v>
      </c>
    </row>
    <row r="158" spans="1:2" x14ac:dyDescent="0.3">
      <c r="A158" s="6" t="str">
        <f ca="1">IFERROR(__xludf.DUMMYFUNCTION("""COMPUTED_VALUE"""),"https://huggingface.co/llmware/bling-sheared-llama-2.7b-0.1/discussions/1")</f>
        <v>https://huggingface.co/llmware/bling-sheared-llama-2.7b-0.1/discussions/1</v>
      </c>
      <c r="B158" s="1">
        <f ca="1">COUNTIFS(author1_labels!$A$2:$A$433,A158,author1_labels!$B$2:$B$433,"&lt;&gt;")</f>
        <v>1</v>
      </c>
    </row>
    <row r="159" spans="1:2" x14ac:dyDescent="0.3">
      <c r="A159" s="6" t="str">
        <f ca="1">IFERROR(__xludf.DUMMYFUNCTION("""COMPUTED_VALUE"""),"https://huggingface.co/lmsys/vicuna-33b-v1.3/discussions/3")</f>
        <v>https://huggingface.co/lmsys/vicuna-33b-v1.3/discussions/3</v>
      </c>
      <c r="B159" s="1">
        <f ca="1">COUNTIFS(author1_labels!$A$2:$A$433,A159,author1_labels!$B$2:$B$433,"&lt;&gt;")</f>
        <v>1</v>
      </c>
    </row>
    <row r="160" spans="1:2" x14ac:dyDescent="0.3">
      <c r="A160" s="6" t="str">
        <f ca="1">IFERROR(__xludf.DUMMYFUNCTION("""COMPUTED_VALUE"""),"https://huggingface.co/lmsys/vicuna-7b-v1.1/discussions/6")</f>
        <v>https://huggingface.co/lmsys/vicuna-7b-v1.1/discussions/6</v>
      </c>
      <c r="B160" s="1">
        <f ca="1">COUNTIFS(author1_labels!$A$2:$A$433,A160,author1_labels!$B$2:$B$433,"&lt;&gt;")</f>
        <v>1</v>
      </c>
    </row>
    <row r="161" spans="1:2" x14ac:dyDescent="0.3">
      <c r="A161" s="6" t="str">
        <f ca="1">IFERROR(__xludf.DUMMYFUNCTION("""COMPUTED_VALUE"""),"https://huggingface.co/LoneStriker/Yi-34B-200K-4.65bpw-h6-exl2/discussions/2")</f>
        <v>https://huggingface.co/LoneStriker/Yi-34B-200K-4.65bpw-h6-exl2/discussions/2</v>
      </c>
      <c r="B161" s="1">
        <f ca="1">COUNTIFS(author1_labels!$A$2:$A$433,A161,author1_labels!$B$2:$B$433,"&lt;&gt;")</f>
        <v>1</v>
      </c>
    </row>
    <row r="162" spans="1:2" x14ac:dyDescent="0.3">
      <c r="A162" s="6" t="str">
        <f ca="1">IFERROR(__xludf.DUMMYFUNCTION("""COMPUTED_VALUE"""),"https://huggingface.co/machinists/Mistral-7B-SQL/discussions/3")</f>
        <v>https://huggingface.co/machinists/Mistral-7B-SQL/discussions/3</v>
      </c>
      <c r="B162" s="1">
        <f ca="1">COUNTIFS(author1_labels!$A$2:$A$433,A162,author1_labels!$B$2:$B$433,"&lt;&gt;")</f>
        <v>1</v>
      </c>
    </row>
    <row r="163" spans="1:2" x14ac:dyDescent="0.3">
      <c r="A163" s="6" t="str">
        <f ca="1">IFERROR(__xludf.DUMMYFUNCTION("""COMPUTED_VALUE"""),"https://huggingface.co/madebyollin/sdxl-vae-fp16-fix/discussions/9")</f>
        <v>https://huggingface.co/madebyollin/sdxl-vae-fp16-fix/discussions/9</v>
      </c>
      <c r="B163" s="1">
        <f ca="1">COUNTIFS(author1_labels!$A$2:$A$433,A163,author1_labels!$B$2:$B$433,"&lt;&gt;")</f>
        <v>1</v>
      </c>
    </row>
    <row r="164" spans="1:2" x14ac:dyDescent="0.3">
      <c r="A164" s="6" t="str">
        <f ca="1">IFERROR(__xludf.DUMMYFUNCTION("""COMPUTED_VALUE"""),"https://huggingface.co/mayaeary/pygmalion-6b_dev-4bit-128g/discussions/6")</f>
        <v>https://huggingface.co/mayaeary/pygmalion-6b_dev-4bit-128g/discussions/6</v>
      </c>
      <c r="B164" s="1">
        <f ca="1">COUNTIFS(author1_labels!$A$2:$A$433,A164,author1_labels!$B$2:$B$433,"&lt;&gt;")</f>
        <v>1</v>
      </c>
    </row>
    <row r="165" spans="1:2" x14ac:dyDescent="0.3">
      <c r="A165" s="6" t="str">
        <f ca="1">IFERROR(__xludf.DUMMYFUNCTION("""COMPUTED_VALUE"""),"https://huggingface.co/MBZUAI/LaMini-GPT-1.5B/discussions/10")</f>
        <v>https://huggingface.co/MBZUAI/LaMini-GPT-1.5B/discussions/10</v>
      </c>
      <c r="B165" s="1">
        <f ca="1">COUNTIFS(author1_labels!$A$2:$A$433,A165,author1_labels!$B$2:$B$433,"&lt;&gt;")</f>
        <v>1</v>
      </c>
    </row>
    <row r="166" spans="1:2" x14ac:dyDescent="0.3">
      <c r="A166" s="6" t="str">
        <f ca="1">IFERROR(__xludf.DUMMYFUNCTION("""COMPUTED_VALUE"""),"https://huggingface.co/MetaIX/Alpaca-30B-Int4/discussions/1")</f>
        <v>https://huggingface.co/MetaIX/Alpaca-30B-Int4/discussions/1</v>
      </c>
      <c r="B166" s="1">
        <f ca="1">COUNTIFS(author1_labels!$A$2:$A$433,A166,author1_labels!$B$2:$B$433,"&lt;&gt;")</f>
        <v>1</v>
      </c>
    </row>
    <row r="167" spans="1:2" x14ac:dyDescent="0.3">
      <c r="A167" s="6" t="str">
        <f ca="1">IFERROR(__xludf.DUMMYFUNCTION("""COMPUTED_VALUE"""),"https://huggingface.co/michaelfeil/ct2fast-Llama-2-7b-chat-hf/discussions/2")</f>
        <v>https://huggingface.co/michaelfeil/ct2fast-Llama-2-7b-chat-hf/discussions/2</v>
      </c>
      <c r="B167" s="1">
        <f ca="1">COUNTIFS(author1_labels!$A$2:$A$433,A167,author1_labels!$B$2:$B$433,"&lt;&gt;")</f>
        <v>1</v>
      </c>
    </row>
    <row r="168" spans="1:2" x14ac:dyDescent="0.3">
      <c r="A168" s="6" t="str">
        <f ca="1">IFERROR(__xludf.DUMMYFUNCTION("""COMPUTED_VALUE"""),"https://huggingface.co/microsoft/biogpt/discussions/6")</f>
        <v>https://huggingface.co/microsoft/biogpt/discussions/6</v>
      </c>
      <c r="B168" s="1">
        <f ca="1">COUNTIFS(author1_labels!$A$2:$A$433,A168,author1_labels!$B$2:$B$433,"&lt;&gt;")</f>
        <v>1</v>
      </c>
    </row>
    <row r="169" spans="1:2" x14ac:dyDescent="0.3">
      <c r="A169" s="6" t="str">
        <f ca="1">IFERROR(__xludf.DUMMYFUNCTION("""COMPUTED_VALUE"""),"https://huggingface.co/microsoft/dit-base-finetuned-rvlcdip/discussions/1")</f>
        <v>https://huggingface.co/microsoft/dit-base-finetuned-rvlcdip/discussions/1</v>
      </c>
      <c r="B169" s="1">
        <f ca="1">COUNTIFS(author1_labels!$A$2:$A$433,A169,author1_labels!$B$2:$B$433,"&lt;&gt;")</f>
        <v>1</v>
      </c>
    </row>
    <row r="170" spans="1:2" x14ac:dyDescent="0.3">
      <c r="A170" s="6" t="str">
        <f ca="1">IFERROR(__xludf.DUMMYFUNCTION("""COMPUTED_VALUE"""),"https://huggingface.co/microsoft/git-base/discussions/1")</f>
        <v>https://huggingface.co/microsoft/git-base/discussions/1</v>
      </c>
      <c r="B170" s="1">
        <f ca="1">COUNTIFS(author1_labels!$A$2:$A$433,A170,author1_labels!$B$2:$B$433,"&lt;&gt;")</f>
        <v>1</v>
      </c>
    </row>
    <row r="171" spans="1:2" x14ac:dyDescent="0.3">
      <c r="A171" s="6" t="str">
        <f ca="1">IFERROR(__xludf.DUMMYFUNCTION("""COMPUTED_VALUE"""),"https://huggingface.co/microsoft/layoutlmv2-large-uncased/discussions/2")</f>
        <v>https://huggingface.co/microsoft/layoutlmv2-large-uncased/discussions/2</v>
      </c>
      <c r="B171" s="1">
        <f ca="1">COUNTIFS(author1_labels!$A$2:$A$433,A171,author1_labels!$B$2:$B$433,"&lt;&gt;")</f>
        <v>2</v>
      </c>
    </row>
    <row r="172" spans="1:2" x14ac:dyDescent="0.3">
      <c r="A172" s="6" t="str">
        <f ca="1">IFERROR(__xludf.DUMMYFUNCTION("""COMPUTED_VALUE"""),"https://huggingface.co/microsoft/phi-1_5/discussions/39")</f>
        <v>https://huggingface.co/microsoft/phi-1_5/discussions/39</v>
      </c>
      <c r="B172" s="1">
        <f ca="1">COUNTIFS(author1_labels!$A$2:$A$433,A172,author1_labels!$B$2:$B$433,"&lt;&gt;")</f>
        <v>1</v>
      </c>
    </row>
    <row r="173" spans="1:2" x14ac:dyDescent="0.3">
      <c r="A173" s="6" t="str">
        <f ca="1">IFERROR(__xludf.DUMMYFUNCTION("""COMPUTED_VALUE"""),"https://huggingface.co/microsoft/phi-1_5/discussions/55")</f>
        <v>https://huggingface.co/microsoft/phi-1_5/discussions/55</v>
      </c>
      <c r="B173" s="1">
        <f ca="1">COUNTIFS(author1_labels!$A$2:$A$433,A173,author1_labels!$B$2:$B$433,"&lt;&gt;")</f>
        <v>4</v>
      </c>
    </row>
    <row r="174" spans="1:2" x14ac:dyDescent="0.3">
      <c r="A174" s="6" t="str">
        <f ca="1">IFERROR(__xludf.DUMMYFUNCTION("""COMPUTED_VALUE"""),"https://huggingface.co/microsoft/phi-2/discussions/43")</f>
        <v>https://huggingface.co/microsoft/phi-2/discussions/43</v>
      </c>
      <c r="B174" s="1">
        <f ca="1">COUNTIFS(author1_labels!$A$2:$A$433,A174,author1_labels!$B$2:$B$433,"&lt;&gt;")</f>
        <v>1</v>
      </c>
    </row>
    <row r="175" spans="1:2" x14ac:dyDescent="0.3">
      <c r="A175" s="6" t="str">
        <f ca="1">IFERROR(__xludf.DUMMYFUNCTION("""COMPUTED_VALUE"""),"https://huggingface.co/microsoft/phi-2/discussions/52")</f>
        <v>https://huggingface.co/microsoft/phi-2/discussions/52</v>
      </c>
      <c r="B175" s="1">
        <f ca="1">COUNTIFS(author1_labels!$A$2:$A$433,A175,author1_labels!$B$2:$B$433,"&lt;&gt;")</f>
        <v>1</v>
      </c>
    </row>
    <row r="176" spans="1:2" x14ac:dyDescent="0.3">
      <c r="A176" s="6" t="str">
        <f ca="1">IFERROR(__xludf.DUMMYFUNCTION("""COMPUTED_VALUE"""),"https://huggingface.co/microsoft/phi-2/discussions/81")</f>
        <v>https://huggingface.co/microsoft/phi-2/discussions/81</v>
      </c>
      <c r="B176" s="1">
        <f ca="1">COUNTIFS(author1_labels!$A$2:$A$433,A176,author1_labels!$B$2:$B$433,"&lt;&gt;")</f>
        <v>2</v>
      </c>
    </row>
    <row r="177" spans="1:2" x14ac:dyDescent="0.3">
      <c r="A177" s="6" t="str">
        <f ca="1">IFERROR(__xludf.DUMMYFUNCTION("""COMPUTED_VALUE"""),"https://huggingface.co/microsoft/phi-2/discussions/83")</f>
        <v>https://huggingface.co/microsoft/phi-2/discussions/83</v>
      </c>
      <c r="B177" s="1">
        <f ca="1">COUNTIFS(author1_labels!$A$2:$A$433,A177,author1_labels!$B$2:$B$433,"&lt;&gt;")</f>
        <v>1</v>
      </c>
    </row>
    <row r="178" spans="1:2" x14ac:dyDescent="0.3">
      <c r="A178" s="6" t="str">
        <f ca="1">IFERROR(__xludf.DUMMYFUNCTION("""COMPUTED_VALUE"""),"https://huggingface.co/microsoft/phi-2/discussions/93")</f>
        <v>https://huggingface.co/microsoft/phi-2/discussions/93</v>
      </c>
      <c r="B178" s="1">
        <f ca="1">COUNTIFS(author1_labels!$A$2:$A$433,A178,author1_labels!$B$2:$B$433,"&lt;&gt;")</f>
        <v>1</v>
      </c>
    </row>
    <row r="179" spans="1:2" x14ac:dyDescent="0.3">
      <c r="A179" s="6" t="str">
        <f ca="1">IFERROR(__xludf.DUMMYFUNCTION("""COMPUTED_VALUE"""),"https://huggingface.co/microsoft/swin-large-patch4-window12-384-in22k/discussions/1")</f>
        <v>https://huggingface.co/microsoft/swin-large-patch4-window12-384-in22k/discussions/1</v>
      </c>
      <c r="B179" s="1">
        <f ca="1">COUNTIFS(author1_labels!$A$2:$A$433,A179,author1_labels!$B$2:$B$433,"&lt;&gt;")</f>
        <v>1</v>
      </c>
    </row>
    <row r="180" spans="1:2" x14ac:dyDescent="0.3">
      <c r="A180" s="6" t="str">
        <f ca="1">IFERROR(__xludf.DUMMYFUNCTION("""COMPUTED_VALUE"""),"https://huggingface.co/microsoft/tapex-large-finetuned-wtq/discussions/2")</f>
        <v>https://huggingface.co/microsoft/tapex-large-finetuned-wtq/discussions/2</v>
      </c>
      <c r="B180" s="1">
        <f ca="1">COUNTIFS(author1_labels!$A$2:$A$433,A180,author1_labels!$B$2:$B$433,"&lt;&gt;")</f>
        <v>1</v>
      </c>
    </row>
    <row r="181" spans="1:2" x14ac:dyDescent="0.3">
      <c r="A181" s="6" t="str">
        <f ca="1">IFERROR(__xludf.DUMMYFUNCTION("""COMPUTED_VALUE"""),"https://huggingface.co/microsoft/trocr-small-printed/discussions/3")</f>
        <v>https://huggingface.co/microsoft/trocr-small-printed/discussions/3</v>
      </c>
      <c r="B181" s="1">
        <f ca="1">COUNTIFS(author1_labels!$A$2:$A$433,A181,author1_labels!$B$2:$B$433,"&lt;&gt;")</f>
        <v>1</v>
      </c>
    </row>
    <row r="182" spans="1:2" x14ac:dyDescent="0.3">
      <c r="A182" s="6" t="str">
        <f ca="1">IFERROR(__xludf.DUMMYFUNCTION("""COMPUTED_VALUE"""),"https://huggingface.co/MingZhong/DialogLED-base-16384/discussions/2")</f>
        <v>https://huggingface.co/MingZhong/DialogLED-base-16384/discussions/2</v>
      </c>
      <c r="B182" s="1">
        <f ca="1">COUNTIFS(author1_labels!$A$2:$A$433,A182,author1_labels!$B$2:$B$433,"&lt;&gt;")</f>
        <v>1</v>
      </c>
    </row>
    <row r="183" spans="1:2" x14ac:dyDescent="0.3">
      <c r="A183" s="6" t="str">
        <f ca="1">IFERROR(__xludf.DUMMYFUNCTION("""COMPUTED_VALUE"""),"https://huggingface.co/minhtoan/gpt3-small-finetune-cnndaily-news/discussions/3")</f>
        <v>https://huggingface.co/minhtoan/gpt3-small-finetune-cnndaily-news/discussions/3</v>
      </c>
      <c r="B183" s="1">
        <f ca="1">COUNTIFS(author1_labels!$A$2:$A$433,A183,author1_labels!$B$2:$B$433,"&lt;&gt;")</f>
        <v>2</v>
      </c>
    </row>
    <row r="184" spans="1:2" x14ac:dyDescent="0.3">
      <c r="A184" s="6" t="str">
        <f ca="1">IFERROR(__xludf.DUMMYFUNCTION("""COMPUTED_VALUE"""),"https://huggingface.co/mistralai/Mistral-7B-Instruct-v0.1/discussions/12")</f>
        <v>https://huggingface.co/mistralai/Mistral-7B-Instruct-v0.1/discussions/12</v>
      </c>
      <c r="B184" s="1">
        <f ca="1">COUNTIFS(author1_labels!$A$2:$A$433,A184,author1_labels!$B$2:$B$433,"&lt;&gt;")</f>
        <v>1</v>
      </c>
    </row>
    <row r="185" spans="1:2" x14ac:dyDescent="0.3">
      <c r="A185" s="6" t="str">
        <f ca="1">IFERROR(__xludf.DUMMYFUNCTION("""COMPUTED_VALUE"""),"https://huggingface.co/mistralai/Mistral-7B-Instruct-v0.1/discussions/64")</f>
        <v>https://huggingface.co/mistralai/Mistral-7B-Instruct-v0.1/discussions/64</v>
      </c>
      <c r="B185" s="1">
        <f ca="1">COUNTIFS(author1_labels!$A$2:$A$433,A185,author1_labels!$B$2:$B$433,"&lt;&gt;")</f>
        <v>1</v>
      </c>
    </row>
    <row r="186" spans="1:2" x14ac:dyDescent="0.3">
      <c r="A186" s="6" t="str">
        <f ca="1">IFERROR(__xludf.DUMMYFUNCTION("""COMPUTED_VALUE"""),"https://huggingface.co/mistralai/Mistral-7B-v0.1/discussions/37")</f>
        <v>https://huggingface.co/mistralai/Mistral-7B-v0.1/discussions/37</v>
      </c>
      <c r="B186" s="1">
        <f ca="1">COUNTIFS(author1_labels!$A$2:$A$433,A186,author1_labels!$B$2:$B$433,"&lt;&gt;")</f>
        <v>1</v>
      </c>
    </row>
    <row r="187" spans="1:2" x14ac:dyDescent="0.3">
      <c r="A187" s="6" t="str">
        <f ca="1">IFERROR(__xludf.DUMMYFUNCTION("""COMPUTED_VALUE"""),"https://huggingface.co/mistralai/Mistral-7B-v0.1/discussions/4")</f>
        <v>https://huggingface.co/mistralai/Mistral-7B-v0.1/discussions/4</v>
      </c>
      <c r="B187" s="1">
        <f ca="1">COUNTIFS(author1_labels!$A$2:$A$433,A187,author1_labels!$B$2:$B$433,"&lt;&gt;")</f>
        <v>1</v>
      </c>
    </row>
    <row r="188" spans="1:2" x14ac:dyDescent="0.3">
      <c r="A188" s="6" t="str">
        <f ca="1">IFERROR(__xludf.DUMMYFUNCTION("""COMPUTED_VALUE"""),"https://huggingface.co/mistralai/Mistral-7B-v0.1/discussions/53")</f>
        <v>https://huggingface.co/mistralai/Mistral-7B-v0.1/discussions/53</v>
      </c>
      <c r="B188" s="1">
        <f ca="1">COUNTIFS(author1_labels!$A$2:$A$433,A188,author1_labels!$B$2:$B$433,"&lt;&gt;")</f>
        <v>1</v>
      </c>
    </row>
    <row r="189" spans="1:2" x14ac:dyDescent="0.3">
      <c r="A189" s="6" t="str">
        <f ca="1">IFERROR(__xludf.DUMMYFUNCTION("""COMPUTED_VALUE"""),"https://huggingface.co/mistralai/Mixtral-8x7B-Instruct-v0.1/discussions/28")</f>
        <v>https://huggingface.co/mistralai/Mixtral-8x7B-Instruct-v0.1/discussions/28</v>
      </c>
      <c r="B189" s="1">
        <f ca="1">COUNTIFS(author1_labels!$A$2:$A$433,A189,author1_labels!$B$2:$B$433,"&lt;&gt;")</f>
        <v>1</v>
      </c>
    </row>
    <row r="190" spans="1:2" x14ac:dyDescent="0.3">
      <c r="A190" s="6" t="str">
        <f ca="1">IFERROR(__xludf.DUMMYFUNCTION("""COMPUTED_VALUE"""),"https://huggingface.co/mistralai/Mixtral-8x7B-Instruct-v0.1/discussions/94")</f>
        <v>https://huggingface.co/mistralai/Mixtral-8x7B-Instruct-v0.1/discussions/94</v>
      </c>
      <c r="B190" s="1">
        <f ca="1">COUNTIFS(author1_labels!$A$2:$A$433,A190,author1_labels!$B$2:$B$433,"&lt;&gt;")</f>
        <v>1</v>
      </c>
    </row>
    <row r="191" spans="1:2" x14ac:dyDescent="0.3">
      <c r="A191" s="6" t="str">
        <f ca="1">IFERROR(__xludf.DUMMYFUNCTION("""COMPUTED_VALUE"""),"https://huggingface.co/Mitsua/mitsua-diffusion-one/discussions/3")</f>
        <v>https://huggingface.co/Mitsua/mitsua-diffusion-one/discussions/3</v>
      </c>
      <c r="B191" s="1">
        <f ca="1">COUNTIFS(author1_labels!$A$2:$A$433,A191,author1_labels!$B$2:$B$433,"&lt;&gt;")</f>
        <v>1</v>
      </c>
    </row>
    <row r="192" spans="1:2" x14ac:dyDescent="0.3">
      <c r="A192" s="6" t="str">
        <f ca="1">IFERROR(__xludf.DUMMYFUNCTION("""COMPUTED_VALUE"""),"https://huggingface.co/moonlightnexus/wonder-anime/discussions/1")</f>
        <v>https://huggingface.co/moonlightnexus/wonder-anime/discussions/1</v>
      </c>
      <c r="B192" s="1">
        <f ca="1">COUNTIFS(author1_labels!$A$2:$A$433,A192,author1_labels!$B$2:$B$433,"&lt;&gt;")</f>
        <v>1</v>
      </c>
    </row>
    <row r="193" spans="1:2" x14ac:dyDescent="0.3">
      <c r="A193" s="6" t="str">
        <f ca="1">IFERROR(__xludf.DUMMYFUNCTION("""COMPUTED_VALUE"""),"https://huggingface.co/mosaicml/mpt-30b-chat/discussions/2")</f>
        <v>https://huggingface.co/mosaicml/mpt-30b-chat/discussions/2</v>
      </c>
      <c r="B193" s="1">
        <f ca="1">COUNTIFS(author1_labels!$A$2:$A$433,A193,author1_labels!$B$2:$B$433,"&lt;&gt;")</f>
        <v>2</v>
      </c>
    </row>
    <row r="194" spans="1:2" x14ac:dyDescent="0.3">
      <c r="A194" s="6" t="str">
        <f ca="1">IFERROR(__xludf.DUMMYFUNCTION("""COMPUTED_VALUE"""),"https://huggingface.co/mosaicml/mpt-7b/discussions/21")</f>
        <v>https://huggingface.co/mosaicml/mpt-7b/discussions/21</v>
      </c>
      <c r="B194" s="1">
        <f ca="1">COUNTIFS(author1_labels!$A$2:$A$433,A194,author1_labels!$B$2:$B$433,"&lt;&gt;")</f>
        <v>1</v>
      </c>
    </row>
    <row r="195" spans="1:2" x14ac:dyDescent="0.3">
      <c r="A195" s="6" t="str">
        <f ca="1">IFERROR(__xludf.DUMMYFUNCTION("""COMPUTED_VALUE"""),"https://huggingface.co/mosaicml/mpt-7b/discussions/67")</f>
        <v>https://huggingface.co/mosaicml/mpt-7b/discussions/67</v>
      </c>
      <c r="B195" s="1">
        <f ca="1">COUNTIFS(author1_labels!$A$2:$A$433,A195,author1_labels!$B$2:$B$433,"&lt;&gt;")</f>
        <v>1</v>
      </c>
    </row>
    <row r="196" spans="1:2" x14ac:dyDescent="0.3">
      <c r="A196" s="6" t="str">
        <f ca="1">IFERROR(__xludf.DUMMYFUNCTION("""COMPUTED_VALUE"""),"https://huggingface.co/mostafaamiri/persian_llama_7B_merged/discussions/1")</f>
        <v>https://huggingface.co/mostafaamiri/persian_llama_7B_merged/discussions/1</v>
      </c>
      <c r="B196" s="1">
        <f ca="1">COUNTIFS(author1_labels!$A$2:$A$433,A196,author1_labels!$B$2:$B$433,"&lt;&gt;")</f>
        <v>1</v>
      </c>
    </row>
    <row r="197" spans="1:2" x14ac:dyDescent="0.3">
      <c r="A197" s="6" t="str">
        <f ca="1">IFERROR(__xludf.DUMMYFUNCTION("""COMPUTED_VALUE"""),"https://huggingface.co/mrm8488/llama-2-coder-7b/discussions/1")</f>
        <v>https://huggingface.co/mrm8488/llama-2-coder-7b/discussions/1</v>
      </c>
      <c r="B197" s="1">
        <f ca="1">COUNTIFS(author1_labels!$A$2:$A$433,A197,author1_labels!$B$2:$B$433,"&lt;&gt;")</f>
        <v>1</v>
      </c>
    </row>
    <row r="198" spans="1:2" x14ac:dyDescent="0.3">
      <c r="A198" s="6" t="str">
        <f ca="1">IFERROR(__xludf.DUMMYFUNCTION("""COMPUTED_VALUE"""),"https://huggingface.co/Nacholmo/controlnet-qr-pattern-sdxl/discussions/1")</f>
        <v>https://huggingface.co/Nacholmo/controlnet-qr-pattern-sdxl/discussions/1</v>
      </c>
      <c r="B198" s="1">
        <f ca="1">COUNTIFS(author1_labels!$A$2:$A$433,A198,author1_labels!$B$2:$B$433,"&lt;&gt;")</f>
        <v>1</v>
      </c>
    </row>
    <row r="199" spans="1:2" x14ac:dyDescent="0.3">
      <c r="A199" s="6" t="str">
        <f ca="1">IFERROR(__xludf.DUMMYFUNCTION("""COMPUTED_VALUE"""),"https://huggingface.co/naclbit/trinart_characters_19.2m_stable_diffusion_v1/discussions/5")</f>
        <v>https://huggingface.co/naclbit/trinart_characters_19.2m_stable_diffusion_v1/discussions/5</v>
      </c>
      <c r="B199" s="1">
        <f ca="1">COUNTIFS(author1_labels!$A$2:$A$433,A199,author1_labels!$B$2:$B$433,"&lt;&gt;")</f>
        <v>1</v>
      </c>
    </row>
    <row r="200" spans="1:2" x14ac:dyDescent="0.3">
      <c r="A200" s="6" t="str">
        <f ca="1">IFERROR(__xludf.DUMMYFUNCTION("""COMPUTED_VALUE"""),"https://huggingface.co/neulab/codebert-python/discussions/2")</f>
        <v>https://huggingface.co/neulab/codebert-python/discussions/2</v>
      </c>
      <c r="B200" s="1">
        <f ca="1">COUNTIFS(author1_labels!$A$2:$A$433,A200,author1_labels!$B$2:$B$433,"&lt;&gt;")</f>
        <v>1</v>
      </c>
    </row>
    <row r="201" spans="1:2" x14ac:dyDescent="0.3">
      <c r="A201" s="6" t="str">
        <f ca="1">IFERROR(__xludf.DUMMYFUNCTION("""COMPUTED_VALUE"""),"https://huggingface.co/nev/dalle-mini-pytorch/discussions/1")</f>
        <v>https://huggingface.co/nev/dalle-mini-pytorch/discussions/1</v>
      </c>
      <c r="B201" s="1">
        <f ca="1">COUNTIFS(author1_labels!$A$2:$A$433,A201,author1_labels!$B$2:$B$433,"&lt;&gt;")</f>
        <v>1</v>
      </c>
    </row>
    <row r="202" spans="1:2" x14ac:dyDescent="0.3">
      <c r="A202" s="6" t="str">
        <f ca="1">IFERROR(__xludf.DUMMYFUNCTION("""COMPUTED_VALUE"""),"https://huggingface.co/Nexusflow/NexusRaven-13B/discussions/3")</f>
        <v>https://huggingface.co/Nexusflow/NexusRaven-13B/discussions/3</v>
      </c>
      <c r="B202" s="1">
        <f ca="1">COUNTIFS(author1_labels!$A$2:$A$433,A202,author1_labels!$B$2:$B$433,"&lt;&gt;")</f>
        <v>1</v>
      </c>
    </row>
    <row r="203" spans="1:2" x14ac:dyDescent="0.3">
      <c r="A203" s="6" t="str">
        <f ca="1">IFERROR(__xludf.DUMMYFUNCTION("""COMPUTED_VALUE"""),"https://huggingface.co/nferruz/ProtGPT2/discussions/17")</f>
        <v>https://huggingface.co/nferruz/ProtGPT2/discussions/17</v>
      </c>
      <c r="B203" s="1">
        <f ca="1">COUNTIFS(author1_labels!$A$2:$A$433,A203,author1_labels!$B$2:$B$433,"&lt;&gt;")</f>
        <v>1</v>
      </c>
    </row>
    <row r="204" spans="1:2" x14ac:dyDescent="0.3">
      <c r="A204" s="6" t="str">
        <f ca="1">IFERROR(__xludf.DUMMYFUNCTION("""COMPUTED_VALUE"""),"https://huggingface.co/nferruz/ProtGPT2/discussions/3")</f>
        <v>https://huggingface.co/nferruz/ProtGPT2/discussions/3</v>
      </c>
      <c r="B204" s="1">
        <f ca="1">COUNTIFS(author1_labels!$A$2:$A$433,A204,author1_labels!$B$2:$B$433,"&lt;&gt;")</f>
        <v>1</v>
      </c>
    </row>
    <row r="205" spans="1:2" x14ac:dyDescent="0.3">
      <c r="A205" s="6" t="str">
        <f ca="1">IFERROR(__xludf.DUMMYFUNCTION("""COMPUTED_VALUE"""),"https://huggingface.co/nitrosocke/mo-di-diffusion/discussions/10")</f>
        <v>https://huggingface.co/nitrosocke/mo-di-diffusion/discussions/10</v>
      </c>
      <c r="B205" s="1">
        <f ca="1">COUNTIFS(author1_labels!$A$2:$A$433,A205,author1_labels!$B$2:$B$433,"&lt;&gt;")</f>
        <v>1</v>
      </c>
    </row>
    <row r="206" spans="1:2" x14ac:dyDescent="0.3">
      <c r="A206" s="6" t="str">
        <f ca="1">IFERROR(__xludf.DUMMYFUNCTION("""COMPUTED_VALUE"""),"https://huggingface.co/nitrosocke/redshift-diffusion-768/discussions/3")</f>
        <v>https://huggingface.co/nitrosocke/redshift-diffusion-768/discussions/3</v>
      </c>
      <c r="B206" s="1">
        <f ca="1">COUNTIFS(author1_labels!$A$2:$A$433,A206,author1_labels!$B$2:$B$433,"&lt;&gt;")</f>
        <v>1</v>
      </c>
    </row>
    <row r="207" spans="1:2" x14ac:dyDescent="0.3">
      <c r="A207" s="6" t="str">
        <f ca="1">IFERROR(__xludf.DUMMYFUNCTION("""COMPUTED_VALUE"""),"https://huggingface.co/Nondzu/Mistral-7B-code-16k-qlora/discussions/2")</f>
        <v>https://huggingface.co/Nondzu/Mistral-7B-code-16k-qlora/discussions/2</v>
      </c>
      <c r="B207" s="1">
        <f ca="1">COUNTIFS(author1_labels!$A$2:$A$433,A207,author1_labels!$B$2:$B$433,"&lt;&gt;")</f>
        <v>1</v>
      </c>
    </row>
    <row r="208" spans="1:2" x14ac:dyDescent="0.3">
      <c r="A208" s="6" t="str">
        <f ca="1">IFERROR(__xludf.DUMMYFUNCTION("""COMPUTED_VALUE"""),"https://huggingface.co/NousResearch/Nous-Capybara-34B/discussions/2")</f>
        <v>https://huggingface.co/NousResearch/Nous-Capybara-34B/discussions/2</v>
      </c>
      <c r="B208" s="1">
        <f ca="1">COUNTIFS(author1_labels!$A$2:$A$433,A208,author1_labels!$B$2:$B$433,"&lt;&gt;")</f>
        <v>1</v>
      </c>
    </row>
    <row r="209" spans="1:2" x14ac:dyDescent="0.3">
      <c r="A209" s="6" t="str">
        <f ca="1">IFERROR(__xludf.DUMMYFUNCTION("""COMPUTED_VALUE"""),"https://huggingface.co/NousResearch/Nous-Hermes-Llama2-13b/discussions/6")</f>
        <v>https://huggingface.co/NousResearch/Nous-Hermes-Llama2-13b/discussions/6</v>
      </c>
      <c r="B209" s="1">
        <f ca="1">COUNTIFS(author1_labels!$A$2:$A$433,A209,author1_labels!$B$2:$B$433,"&lt;&gt;")</f>
        <v>2</v>
      </c>
    </row>
    <row r="210" spans="1:2" x14ac:dyDescent="0.3">
      <c r="A210" s="6" t="str">
        <f ca="1">IFERROR(__xludf.DUMMYFUNCTION("""COMPUTED_VALUE"""),"https://huggingface.co/NousResearch/Yarn-Mistral-7b-128k/discussions/13")</f>
        <v>https://huggingface.co/NousResearch/Yarn-Mistral-7b-128k/discussions/13</v>
      </c>
      <c r="B210" s="1">
        <f ca="1">COUNTIFS(author1_labels!$A$2:$A$433,A210,author1_labels!$B$2:$B$433,"&lt;&gt;")</f>
        <v>2</v>
      </c>
    </row>
    <row r="211" spans="1:2" x14ac:dyDescent="0.3">
      <c r="A211" s="6" t="str">
        <f ca="1">IFERROR(__xludf.DUMMYFUNCTION("""COMPUTED_VALUE"""),"https://huggingface.co/nsfwthrowitaway69/Venus-120b-v1.1/discussions/2")</f>
        <v>https://huggingface.co/nsfwthrowitaway69/Venus-120b-v1.1/discussions/2</v>
      </c>
      <c r="B211" s="1">
        <f ca="1">COUNTIFS(author1_labels!$A$2:$A$433,A211,author1_labels!$B$2:$B$433,"&lt;&gt;")</f>
        <v>1</v>
      </c>
    </row>
    <row r="212" spans="1:2" x14ac:dyDescent="0.3">
      <c r="A212" s="6" t="str">
        <f ca="1">IFERROR(__xludf.DUMMYFUNCTION("""COMPUTED_VALUE"""),"https://huggingface.co/nuigurumi/basil_mix/discussions/23")</f>
        <v>https://huggingface.co/nuigurumi/basil_mix/discussions/23</v>
      </c>
      <c r="B212" s="1">
        <f ca="1">COUNTIFS(author1_labels!$A$2:$A$433,A212,author1_labels!$B$2:$B$433,"&lt;&gt;")</f>
        <v>3</v>
      </c>
    </row>
    <row r="213" spans="1:2" x14ac:dyDescent="0.3">
      <c r="A213" s="6" t="str">
        <f ca="1">IFERROR(__xludf.DUMMYFUNCTION("""COMPUTED_VALUE"""),"https://huggingface.co/nvidia/nemotron-3-8b-chat-4k-rlhf/discussions/2")</f>
        <v>https://huggingface.co/nvidia/nemotron-3-8b-chat-4k-rlhf/discussions/2</v>
      </c>
      <c r="B213" s="1">
        <f ca="1">COUNTIFS(author1_labels!$A$2:$A$433,A213,author1_labels!$B$2:$B$433,"&lt;&gt;")</f>
        <v>1</v>
      </c>
    </row>
    <row r="214" spans="1:2" x14ac:dyDescent="0.3">
      <c r="A214" s="6" t="str">
        <f ca="1">IFERROR(__xludf.DUMMYFUNCTION("""COMPUTED_VALUE"""),"https://huggingface.co/nvidia/segformer-b0-finetuned-ade-512-512/discussions/8")</f>
        <v>https://huggingface.co/nvidia/segformer-b0-finetuned-ade-512-512/discussions/8</v>
      </c>
      <c r="B214" s="1">
        <f ca="1">COUNTIFS(author1_labels!$A$2:$A$433,A214,author1_labels!$B$2:$B$433,"&lt;&gt;")</f>
        <v>1</v>
      </c>
    </row>
    <row r="215" spans="1:2" x14ac:dyDescent="0.3">
      <c r="A215" s="6" t="str">
        <f ca="1">IFERROR(__xludf.DUMMYFUNCTION("""COMPUTED_VALUE"""),"https://huggingface.co/nvidia/stt_fr_conformer_transducer_large/discussions/1")</f>
        <v>https://huggingface.co/nvidia/stt_fr_conformer_transducer_large/discussions/1</v>
      </c>
      <c r="B215" s="1">
        <f ca="1">COUNTIFS(author1_labels!$A$2:$A$433,A215,author1_labels!$B$2:$B$433,"&lt;&gt;")</f>
        <v>1</v>
      </c>
    </row>
    <row r="216" spans="1:2" x14ac:dyDescent="0.3">
      <c r="A216" s="6" t="str">
        <f ca="1">IFERROR(__xludf.DUMMYFUNCTION("""COMPUTED_VALUE"""),"https://huggingface.co/OFA-Sys/expertllama-7b-delta/discussions/1")</f>
        <v>https://huggingface.co/OFA-Sys/expertllama-7b-delta/discussions/1</v>
      </c>
      <c r="B216" s="1">
        <f ca="1">COUNTIFS(author1_labels!$A$2:$A$433,A216,author1_labels!$B$2:$B$433,"&lt;&gt;")</f>
        <v>1</v>
      </c>
    </row>
    <row r="217" spans="1:2" x14ac:dyDescent="0.3">
      <c r="A217" s="6" t="str">
        <f ca="1">IFERROR(__xludf.DUMMYFUNCTION("""COMPUTED_VALUE"""),"https://huggingface.co/oliverguhr/fullstop-punctuation-multilang-large/discussions/3")</f>
        <v>https://huggingface.co/oliverguhr/fullstop-punctuation-multilang-large/discussions/3</v>
      </c>
      <c r="B217" s="1">
        <f ca="1">COUNTIFS(author1_labels!$A$2:$A$433,A217,author1_labels!$B$2:$B$433,"&lt;&gt;")</f>
        <v>1</v>
      </c>
    </row>
    <row r="218" spans="1:2" x14ac:dyDescent="0.3">
      <c r="A218" s="6" t="str">
        <f ca="1">IFERROR(__xludf.DUMMYFUNCTION("""COMPUTED_VALUE"""),"https://huggingface.co/Open-Orca/Mistral-7B-OpenOrca/discussions/14")</f>
        <v>https://huggingface.co/Open-Orca/Mistral-7B-OpenOrca/discussions/14</v>
      </c>
      <c r="B218" s="1">
        <f ca="1">COUNTIFS(author1_labels!$A$2:$A$433,A218,author1_labels!$B$2:$B$433,"&lt;&gt;")</f>
        <v>1</v>
      </c>
    </row>
    <row r="219" spans="1:2" x14ac:dyDescent="0.3">
      <c r="A219" s="6" t="str">
        <f ca="1">IFERROR(__xludf.DUMMYFUNCTION("""COMPUTED_VALUE"""),"https://huggingface.co/Open-Orca/OpenOrca-Preview1-13B/discussions/1")</f>
        <v>https://huggingface.co/Open-Orca/OpenOrca-Preview1-13B/discussions/1</v>
      </c>
      <c r="B219" s="1">
        <f ca="1">COUNTIFS(author1_labels!$A$2:$A$433,A219,author1_labels!$B$2:$B$433,"&lt;&gt;")</f>
        <v>1</v>
      </c>
    </row>
    <row r="220" spans="1:2" x14ac:dyDescent="0.3">
      <c r="A220" s="6" t="str">
        <f ca="1">IFERROR(__xludf.DUMMYFUNCTION("""COMPUTED_VALUE"""),"https://huggingface.co/openai-community/openai-gpt/discussions/2")</f>
        <v>https://huggingface.co/openai-community/openai-gpt/discussions/2</v>
      </c>
      <c r="B220" s="1">
        <f ca="1">COUNTIFS(author1_labels!$A$2:$A$433,A220,author1_labels!$B$2:$B$433,"&lt;&gt;")</f>
        <v>1</v>
      </c>
    </row>
    <row r="221" spans="1:2" x14ac:dyDescent="0.3">
      <c r="A221" s="6" t="str">
        <f ca="1">IFERROR(__xludf.DUMMYFUNCTION("""COMPUTED_VALUE"""),"https://huggingface.co/openai/whisper-large-v2/discussions/47")</f>
        <v>https://huggingface.co/openai/whisper-large-v2/discussions/47</v>
      </c>
      <c r="B221" s="1">
        <f ca="1">COUNTIFS(author1_labels!$A$2:$A$433,A221,author1_labels!$B$2:$B$433,"&lt;&gt;")</f>
        <v>2</v>
      </c>
    </row>
    <row r="222" spans="1:2" x14ac:dyDescent="0.3">
      <c r="A222" s="6" t="str">
        <f ca="1">IFERROR(__xludf.DUMMYFUNCTION("""COMPUTED_VALUE"""),"https://huggingface.co/openai/whisper-large-v3/discussions/60")</f>
        <v>https://huggingface.co/openai/whisper-large-v3/discussions/60</v>
      </c>
      <c r="B222" s="1">
        <f ca="1">COUNTIFS(author1_labels!$A$2:$A$433,A222,author1_labels!$B$2:$B$433,"&lt;&gt;")</f>
        <v>1</v>
      </c>
    </row>
    <row r="223" spans="1:2" x14ac:dyDescent="0.3">
      <c r="A223" s="6" t="str">
        <f ca="1">IFERROR(__xludf.DUMMYFUNCTION("""COMPUTED_VALUE"""),"https://huggingface.co/OpenBuddy/openbuddy-falcon-7b-v6-bf16/discussions/2")</f>
        <v>https://huggingface.co/OpenBuddy/openbuddy-falcon-7b-v6-bf16/discussions/2</v>
      </c>
      <c r="B223" s="1">
        <f ca="1">COUNTIFS(author1_labels!$A$2:$A$433,A223,author1_labels!$B$2:$B$433,"&lt;&gt;")</f>
        <v>1</v>
      </c>
    </row>
    <row r="224" spans="1:2" x14ac:dyDescent="0.3">
      <c r="A224" s="6" t="str">
        <f ca="1">IFERROR(__xludf.DUMMYFUNCTION("""COMPUTED_VALUE"""),"https://huggingface.co/openchat/openchat_8192/discussions/2")</f>
        <v>https://huggingface.co/openchat/openchat_8192/discussions/2</v>
      </c>
      <c r="B224" s="1">
        <f ca="1">COUNTIFS(author1_labels!$A$2:$A$433,A224,author1_labels!$B$2:$B$433,"&lt;&gt;")</f>
        <v>1</v>
      </c>
    </row>
    <row r="225" spans="1:2" x14ac:dyDescent="0.3">
      <c r="A225" s="6" t="str">
        <f ca="1">IFERROR(__xludf.DUMMYFUNCTION("""COMPUTED_VALUE"""),"https://huggingface.co/openlm-research/open_llama_7b/discussions/3")</f>
        <v>https://huggingface.co/openlm-research/open_llama_7b/discussions/3</v>
      </c>
      <c r="B225" s="1">
        <f ca="1">COUNTIFS(author1_labels!$A$2:$A$433,A225,author1_labels!$B$2:$B$433,"&lt;&gt;")</f>
        <v>1</v>
      </c>
    </row>
    <row r="226" spans="1:2" x14ac:dyDescent="0.3">
      <c r="A226" s="6" t="str">
        <f ca="1">IFERROR(__xludf.DUMMYFUNCTION("""COMPUTED_VALUE"""),"https://huggingface.co/openthaigpt/openthaigpt-0.1.0-beta/discussions/2")</f>
        <v>https://huggingface.co/openthaigpt/openthaigpt-0.1.0-beta/discussions/2</v>
      </c>
      <c r="B226" s="1">
        <f ca="1">COUNTIFS(author1_labels!$A$2:$A$433,A226,author1_labels!$B$2:$B$433,"&lt;&gt;")</f>
        <v>1</v>
      </c>
    </row>
    <row r="227" spans="1:2" x14ac:dyDescent="0.3">
      <c r="A227" s="6" t="str">
        <f ca="1">IFERROR(__xludf.DUMMYFUNCTION("""COMPUTED_VALUE"""),"https://huggingface.co/p1atdev/pvc-v3/discussions/1")</f>
        <v>https://huggingface.co/p1atdev/pvc-v3/discussions/1</v>
      </c>
      <c r="B227" s="1">
        <f ca="1">COUNTIFS(author1_labels!$A$2:$A$433,A227,author1_labels!$B$2:$B$433,"&lt;&gt;")</f>
        <v>1</v>
      </c>
    </row>
    <row r="228" spans="1:2" x14ac:dyDescent="0.3">
      <c r="A228" s="6" t="str">
        <f ca="1">IFERROR(__xludf.DUMMYFUNCTION("""COMPUTED_VALUE"""),"https://huggingface.co/pankajmathur/orca_mini_3b/discussions/1")</f>
        <v>https://huggingface.co/pankajmathur/orca_mini_3b/discussions/1</v>
      </c>
      <c r="B228" s="1">
        <f ca="1">COUNTIFS(author1_labels!$A$2:$A$433,A228,author1_labels!$B$2:$B$433,"&lt;&gt;")</f>
        <v>1</v>
      </c>
    </row>
    <row r="229" spans="1:2" x14ac:dyDescent="0.3">
      <c r="A229" s="6" t="str">
        <f ca="1">IFERROR(__xludf.DUMMYFUNCTION("""COMPUTED_VALUE"""),"https://huggingface.co/patrickjohncyh/fashion-clip/discussions/12")</f>
        <v>https://huggingface.co/patrickjohncyh/fashion-clip/discussions/12</v>
      </c>
      <c r="B229" s="1">
        <f ca="1">COUNTIFS(author1_labels!$A$2:$A$433,A229,author1_labels!$B$2:$B$433,"&lt;&gt;")</f>
        <v>1</v>
      </c>
    </row>
    <row r="230" spans="1:2" x14ac:dyDescent="0.3">
      <c r="A230" s="6" t="str">
        <f ca="1">IFERROR(__xludf.DUMMYFUNCTION("""COMPUTED_VALUE"""),"https://huggingface.co/Pclanglais/MonadGPT/discussions/1")</f>
        <v>https://huggingface.co/Pclanglais/MonadGPT/discussions/1</v>
      </c>
      <c r="B230" s="1">
        <f ca="1">COUNTIFS(author1_labels!$A$2:$A$433,A230,author1_labels!$B$2:$B$433,"&lt;&gt;")</f>
        <v>1</v>
      </c>
    </row>
    <row r="231" spans="1:2" x14ac:dyDescent="0.3">
      <c r="A231" s="6" t="str">
        <f ca="1">IFERROR(__xludf.DUMMYFUNCTION("""COMPUTED_VALUE"""),"https://huggingface.co/Phind/Phind-CodeLlama-34B-v2/discussions/6")</f>
        <v>https://huggingface.co/Phind/Phind-CodeLlama-34B-v2/discussions/6</v>
      </c>
      <c r="B231" s="1">
        <f ca="1">COUNTIFS(author1_labels!$A$2:$A$433,A231,author1_labels!$B$2:$B$433,"&lt;&gt;")</f>
        <v>2</v>
      </c>
    </row>
    <row r="232" spans="1:2" x14ac:dyDescent="0.3">
      <c r="A232" s="6" t="str">
        <f ca="1">IFERROR(__xludf.DUMMYFUNCTION("""COMPUTED_VALUE"""),"https://huggingface.co/princeton-nlp/Sheared-LLaMA-1.3B/discussions/5")</f>
        <v>https://huggingface.co/princeton-nlp/Sheared-LLaMA-1.3B/discussions/5</v>
      </c>
      <c r="B232" s="1">
        <f ca="1">COUNTIFS(author1_labels!$A$2:$A$433,A232,author1_labels!$B$2:$B$433,"&lt;&gt;")</f>
        <v>1</v>
      </c>
    </row>
    <row r="233" spans="1:2" x14ac:dyDescent="0.3">
      <c r="A233" s="6" t="str">
        <f ca="1">IFERROR(__xludf.DUMMYFUNCTION("""COMPUTED_VALUE"""),"https://huggingface.co/prompthero/openjourney/discussions/52")</f>
        <v>https://huggingface.co/prompthero/openjourney/discussions/52</v>
      </c>
      <c r="B233" s="1">
        <f ca="1">COUNTIFS(author1_labels!$A$2:$A$433,A233,author1_labels!$B$2:$B$433,"&lt;&gt;")</f>
        <v>1</v>
      </c>
    </row>
    <row r="234" spans="1:2" x14ac:dyDescent="0.3">
      <c r="A234" s="6" t="str">
        <f ca="1">IFERROR(__xludf.DUMMYFUNCTION("""COMPUTED_VALUE"""),"https://huggingface.co/PygmalionAI/pygmalion-6b/discussions/40")</f>
        <v>https://huggingface.co/PygmalionAI/pygmalion-6b/discussions/40</v>
      </c>
      <c r="B234" s="1">
        <f ca="1">COUNTIFS(author1_labels!$A$2:$A$433,A234,author1_labels!$B$2:$B$433,"&lt;&gt;")</f>
        <v>1</v>
      </c>
    </row>
    <row r="235" spans="1:2" x14ac:dyDescent="0.3">
      <c r="A235" s="6" t="str">
        <f ca="1">IFERROR(__xludf.DUMMYFUNCTION("""COMPUTED_VALUE"""),"https://huggingface.co/Qwen/Qwen-7B-Chat/discussions/28")</f>
        <v>https://huggingface.co/Qwen/Qwen-7B-Chat/discussions/28</v>
      </c>
      <c r="B235" s="1">
        <f ca="1">COUNTIFS(author1_labels!$A$2:$A$433,A235,author1_labels!$B$2:$B$433,"&lt;&gt;")</f>
        <v>1</v>
      </c>
    </row>
    <row r="236" spans="1:2" x14ac:dyDescent="0.3">
      <c r="A236" s="6" t="str">
        <f ca="1">IFERROR(__xludf.DUMMYFUNCTION("""COMPUTED_VALUE"""),"https://huggingface.co/Qwen/Qwen-7B-Chat/discussions/38")</f>
        <v>https://huggingface.co/Qwen/Qwen-7B-Chat/discussions/38</v>
      </c>
      <c r="B236" s="1">
        <f ca="1">COUNTIFS(author1_labels!$A$2:$A$433,A236,author1_labels!$B$2:$B$433,"&lt;&gt;")</f>
        <v>1</v>
      </c>
    </row>
    <row r="237" spans="1:2" x14ac:dyDescent="0.3">
      <c r="A237" s="6" t="str">
        <f ca="1">IFERROR(__xludf.DUMMYFUNCTION("""COMPUTED_VALUE"""),"https://huggingface.co/Qwen/Qwen-VL-Chat/discussions/9")</f>
        <v>https://huggingface.co/Qwen/Qwen-VL-Chat/discussions/9</v>
      </c>
      <c r="B237" s="1">
        <f ca="1">COUNTIFS(author1_labels!$A$2:$A$433,A237,author1_labels!$B$2:$B$433,"&lt;&gt;")</f>
        <v>1</v>
      </c>
    </row>
    <row r="238" spans="1:2" x14ac:dyDescent="0.3">
      <c r="A238" s="6" t="str">
        <f ca="1">IFERROR(__xludf.DUMMYFUNCTION("""COMPUTED_VALUE"""),"https://huggingface.co/Rajaram1996/Hubert_emotion/discussions/3")</f>
        <v>https://huggingface.co/Rajaram1996/Hubert_emotion/discussions/3</v>
      </c>
      <c r="B238" s="1">
        <f ca="1">COUNTIFS(author1_labels!$A$2:$A$433,A238,author1_labels!$B$2:$B$433,"&lt;&gt;")</f>
        <v>1</v>
      </c>
    </row>
    <row r="239" spans="1:2" x14ac:dyDescent="0.3">
      <c r="A239" s="6" t="str">
        <f ca="1">IFERROR(__xludf.DUMMYFUNCTION("""COMPUTED_VALUE"""),"https://huggingface.co/replit/replit-code-v1-3b/discussions/6")</f>
        <v>https://huggingface.co/replit/replit-code-v1-3b/discussions/6</v>
      </c>
      <c r="B239" s="1">
        <f ca="1">COUNTIFS(author1_labels!$A$2:$A$433,A239,author1_labels!$B$2:$B$433,"&lt;&gt;")</f>
        <v>1</v>
      </c>
    </row>
    <row r="240" spans="1:2" x14ac:dyDescent="0.3">
      <c r="A240" s="6" t="str">
        <f ca="1">IFERROR(__xludf.DUMMYFUNCTION("""COMPUTED_VALUE"""),"https://huggingface.co/rickRossie/hermes-limarp-13b-merged/discussions/1")</f>
        <v>https://huggingface.co/rickRossie/hermes-limarp-13b-merged/discussions/1</v>
      </c>
      <c r="B240" s="1">
        <f ca="1">COUNTIFS(author1_labels!$A$2:$A$433,A240,author1_labels!$B$2:$B$433,"&lt;&gt;")</f>
        <v>1</v>
      </c>
    </row>
    <row r="241" spans="1:2" x14ac:dyDescent="0.3">
      <c r="A241" s="6" t="str">
        <f ca="1">IFERROR(__xludf.DUMMYFUNCTION("""COMPUTED_VALUE"""),"https://huggingface.co/RJuro/SciNERTopic/discussions/2")</f>
        <v>https://huggingface.co/RJuro/SciNERTopic/discussions/2</v>
      </c>
      <c r="B241" s="1">
        <f ca="1">COUNTIFS(author1_labels!$A$2:$A$433,A241,author1_labels!$B$2:$B$433,"&lt;&gt;")</f>
        <v>1</v>
      </c>
    </row>
    <row r="242" spans="1:2" x14ac:dyDescent="0.3">
      <c r="A242" s="6" t="str">
        <f ca="1">IFERROR(__xludf.DUMMYFUNCTION("""COMPUTED_VALUE"""),"https://huggingface.co/royallab/Rose-20B-exl2/discussions/1")</f>
        <v>https://huggingface.co/royallab/Rose-20B-exl2/discussions/1</v>
      </c>
      <c r="B242" s="1">
        <f ca="1">COUNTIFS(author1_labels!$A$2:$A$433,A242,author1_labels!$B$2:$B$433,"&lt;&gt;")</f>
        <v>1</v>
      </c>
    </row>
    <row r="243" spans="1:2" x14ac:dyDescent="0.3">
      <c r="A243" s="6" t="str">
        <f ca="1">IFERROR(__xludf.DUMMYFUNCTION("""COMPUTED_VALUE"""),"https://huggingface.co/runwayml/stable-diffusion-v1-5/discussions/128")</f>
        <v>https://huggingface.co/runwayml/stable-diffusion-v1-5/discussions/128</v>
      </c>
      <c r="B243" s="1">
        <f ca="1">COUNTIFS(author1_labels!$A$2:$A$433,A243,author1_labels!$B$2:$B$433,"&lt;&gt;")</f>
        <v>1</v>
      </c>
    </row>
    <row r="244" spans="1:2" x14ac:dyDescent="0.3">
      <c r="A244" s="6" t="str">
        <f ca="1">IFERROR(__xludf.DUMMYFUNCTION("""COMPUTED_VALUE"""),"https://huggingface.co/runwayml/stable-diffusion-v1-5/discussions/24")</f>
        <v>https://huggingface.co/runwayml/stable-diffusion-v1-5/discussions/24</v>
      </c>
      <c r="B244" s="1">
        <f ca="1">COUNTIFS(author1_labels!$A$2:$A$433,A244,author1_labels!$B$2:$B$433,"&lt;&gt;")</f>
        <v>1</v>
      </c>
    </row>
    <row r="245" spans="1:2" x14ac:dyDescent="0.3">
      <c r="A245" s="6" t="str">
        <f ca="1">IFERROR(__xludf.DUMMYFUNCTION("""COMPUTED_VALUE"""),"https://huggingface.co/rustformers/mpt-7b-ggml/discussions/3")</f>
        <v>https://huggingface.co/rustformers/mpt-7b-ggml/discussions/3</v>
      </c>
      <c r="B245" s="1">
        <f ca="1">COUNTIFS(author1_labels!$A$2:$A$433,A245,author1_labels!$B$2:$B$433,"&lt;&gt;")</f>
        <v>1</v>
      </c>
    </row>
    <row r="246" spans="1:2" x14ac:dyDescent="0.3">
      <c r="A246" s="6" t="str">
        <f ca="1">IFERROR(__xludf.DUMMYFUNCTION("""COMPUTED_VALUE"""),"https://huggingface.co/Salesforce/codegen2-7B/discussions/1")</f>
        <v>https://huggingface.co/Salesforce/codegen2-7B/discussions/1</v>
      </c>
      <c r="B246" s="1">
        <f ca="1">COUNTIFS(author1_labels!$A$2:$A$433,A246,author1_labels!$B$2:$B$433,"&lt;&gt;")</f>
        <v>1</v>
      </c>
    </row>
    <row r="247" spans="1:2" x14ac:dyDescent="0.3">
      <c r="A247" s="6" t="str">
        <f ca="1">IFERROR(__xludf.DUMMYFUNCTION("""COMPUTED_VALUE"""),"https://huggingface.co/Salesforce/codegen25-7b-multi/discussions/5")</f>
        <v>https://huggingface.co/Salesforce/codegen25-7b-multi/discussions/5</v>
      </c>
      <c r="B247" s="1">
        <f ca="1">COUNTIFS(author1_labels!$A$2:$A$433,A247,author1_labels!$B$2:$B$433,"&lt;&gt;")</f>
        <v>1</v>
      </c>
    </row>
    <row r="248" spans="1:2" x14ac:dyDescent="0.3">
      <c r="A248" s="6" t="str">
        <f ca="1">IFERROR(__xludf.DUMMYFUNCTION("""COMPUTED_VALUE"""),"https://huggingface.co/sanchit-gandhi/whisper-medium-fleurs-lang-id/discussions/4")</f>
        <v>https://huggingface.co/sanchit-gandhi/whisper-medium-fleurs-lang-id/discussions/4</v>
      </c>
      <c r="B248" s="1">
        <f ca="1">COUNTIFS(author1_labels!$A$2:$A$433,A248,author1_labels!$B$2:$B$433,"&lt;&gt;")</f>
        <v>1</v>
      </c>
    </row>
    <row r="249" spans="1:2" x14ac:dyDescent="0.3">
      <c r="A249" s="6" t="str">
        <f ca="1">IFERROR(__xludf.DUMMYFUNCTION("""COMPUTED_VALUE"""),"https://huggingface.co/SanjiWatsuki/Sonya-7B/discussions/1")</f>
        <v>https://huggingface.co/SanjiWatsuki/Sonya-7B/discussions/1</v>
      </c>
      <c r="B249" s="1">
        <f ca="1">COUNTIFS(author1_labels!$A$2:$A$433,A249,author1_labels!$B$2:$B$433,"&lt;&gt;")</f>
        <v>1</v>
      </c>
    </row>
    <row r="250" spans="1:2" x14ac:dyDescent="0.3">
      <c r="A250" s="6" t="str">
        <f ca="1">IFERROR(__xludf.DUMMYFUNCTION("""COMPUTED_VALUE"""),"https://huggingface.co/Sao10K/Frostwind-10.7B-v1/discussions/1")</f>
        <v>https://huggingface.co/Sao10K/Frostwind-10.7B-v1/discussions/1</v>
      </c>
      <c r="B250" s="1">
        <f ca="1">COUNTIFS(author1_labels!$A$2:$A$433,A250,author1_labels!$B$2:$B$433,"&lt;&gt;")</f>
        <v>1</v>
      </c>
    </row>
    <row r="251" spans="1:2" x14ac:dyDescent="0.3">
      <c r="A251" s="6" t="str">
        <f ca="1">IFERROR(__xludf.DUMMYFUNCTION("""COMPUTED_VALUE"""),"https://huggingface.co/sayakpaul/sd-model-finetuned-lora-t4/discussions/1")</f>
        <v>https://huggingface.co/sayakpaul/sd-model-finetuned-lora-t4/discussions/1</v>
      </c>
      <c r="B251" s="1">
        <f ca="1">COUNTIFS(author1_labels!$A$2:$A$433,A251,author1_labels!$B$2:$B$433,"&lt;&gt;")</f>
        <v>1</v>
      </c>
    </row>
    <row r="252" spans="1:2" x14ac:dyDescent="0.3">
      <c r="A252" s="6" t="str">
        <f ca="1">IFERROR(__xludf.DUMMYFUNCTION("""COMPUTED_VALUE"""),"https://huggingface.co/sd-dreambooth-library/disco-diffusion-style/discussions/1")</f>
        <v>https://huggingface.co/sd-dreambooth-library/disco-diffusion-style/discussions/1</v>
      </c>
      <c r="B252" s="1">
        <f ca="1">COUNTIFS(author1_labels!$A$2:$A$433,A252,author1_labels!$B$2:$B$433,"&lt;&gt;")</f>
        <v>1</v>
      </c>
    </row>
    <row r="253" spans="1:2" x14ac:dyDescent="0.3">
      <c r="A253" s="6" t="str">
        <f ca="1">IFERROR(__xludf.DUMMYFUNCTION("""COMPUTED_VALUE"""),"https://huggingface.co/sdadas/polish-longformer-base-4096/discussions/1")</f>
        <v>https://huggingface.co/sdadas/polish-longformer-base-4096/discussions/1</v>
      </c>
      <c r="B253" s="1">
        <f ca="1">COUNTIFS(author1_labels!$A$2:$A$433,A253,author1_labels!$B$2:$B$433,"&lt;&gt;")</f>
        <v>1</v>
      </c>
    </row>
    <row r="254" spans="1:2" x14ac:dyDescent="0.3">
      <c r="A254" s="6" t="str">
        <f ca="1">IFERROR(__xludf.DUMMYFUNCTION("""COMPUTED_VALUE"""),"https://huggingface.co/SeaLLMs/SeaLLM-7B-Hybrid/discussions/1")</f>
        <v>https://huggingface.co/SeaLLMs/SeaLLM-7B-Hybrid/discussions/1</v>
      </c>
      <c r="B254" s="1">
        <f ca="1">COUNTIFS(author1_labels!$A$2:$A$433,A254,author1_labels!$B$2:$B$433,"&lt;&gt;")</f>
        <v>1</v>
      </c>
    </row>
    <row r="255" spans="1:2" x14ac:dyDescent="0.3">
      <c r="A255" s="6" t="str">
        <f ca="1">IFERROR(__xludf.DUMMYFUNCTION("""COMPUTED_VALUE"""),"https://huggingface.co/segmind/SSD-1B/discussions/10")</f>
        <v>https://huggingface.co/segmind/SSD-1B/discussions/10</v>
      </c>
      <c r="B255" s="1">
        <f ca="1">COUNTIFS(author1_labels!$A$2:$A$433,A255,author1_labels!$B$2:$B$433,"&lt;&gt;")</f>
        <v>1</v>
      </c>
    </row>
    <row r="256" spans="1:2" x14ac:dyDescent="0.3">
      <c r="A256" s="6" t="str">
        <f ca="1">IFERROR(__xludf.DUMMYFUNCTION("""COMPUTED_VALUE"""),"https://huggingface.co/segmind/SSD-1B/discussions/38")</f>
        <v>https://huggingface.co/segmind/SSD-1B/discussions/38</v>
      </c>
      <c r="B256" s="1">
        <f ca="1">COUNTIFS(author1_labels!$A$2:$A$433,A256,author1_labels!$B$2:$B$433,"&lt;&gt;")</f>
        <v>1</v>
      </c>
    </row>
    <row r="257" spans="1:2" x14ac:dyDescent="0.3">
      <c r="A257" s="6" t="str">
        <f ca="1">IFERROR(__xludf.DUMMYFUNCTION("""COMPUTED_VALUE"""),"https://huggingface.co/senseable/WestLake-7B-v2/discussions/4")</f>
        <v>https://huggingface.co/senseable/WestLake-7B-v2/discussions/4</v>
      </c>
      <c r="B257" s="1">
        <f ca="1">COUNTIFS(author1_labels!$A$2:$A$433,A257,author1_labels!$B$2:$B$433,"&lt;&gt;")</f>
        <v>1</v>
      </c>
    </row>
    <row r="258" spans="1:2" x14ac:dyDescent="0.3">
      <c r="A258" s="6" t="str">
        <f ca="1">IFERROR(__xludf.DUMMYFUNCTION("""COMPUTED_VALUE"""),"https://huggingface.co/sensenova/piccolo-base-zh/discussions/1")</f>
        <v>https://huggingface.co/sensenova/piccolo-base-zh/discussions/1</v>
      </c>
      <c r="B258" s="1">
        <f ca="1">COUNTIFS(author1_labels!$A$2:$A$433,A258,author1_labels!$B$2:$B$433,"&lt;&gt;")</f>
        <v>1</v>
      </c>
    </row>
    <row r="259" spans="1:2" x14ac:dyDescent="0.3">
      <c r="A259" s="6" t="str">
        <f ca="1">IFERROR(__xludf.DUMMYFUNCTION("""COMPUTED_VALUE"""),"https://huggingface.co/SG161222/Realistic_Vision_V5.1_noVAE/discussions/1")</f>
        <v>https://huggingface.co/SG161222/Realistic_Vision_V5.1_noVAE/discussions/1</v>
      </c>
      <c r="B259" s="1">
        <f ca="1">COUNTIFS(author1_labels!$A$2:$A$433,A259,author1_labels!$B$2:$B$433,"&lt;&gt;")</f>
        <v>1</v>
      </c>
    </row>
    <row r="260" spans="1:2" x14ac:dyDescent="0.3">
      <c r="A260" s="6" t="str">
        <f ca="1">IFERROR(__xludf.DUMMYFUNCTION("""COMPUTED_VALUE"""),"https://huggingface.co/SG161222/RealVisXL_V3.0/discussions/2")</f>
        <v>https://huggingface.co/SG161222/RealVisXL_V3.0/discussions/2</v>
      </c>
      <c r="B260" s="1">
        <f ca="1">COUNTIFS(author1_labels!$A$2:$A$433,A260,author1_labels!$B$2:$B$433,"&lt;&gt;")</f>
        <v>2</v>
      </c>
    </row>
    <row r="261" spans="1:2" x14ac:dyDescent="0.3">
      <c r="A261" s="6" t="str">
        <f ca="1">IFERROR(__xludf.DUMMYFUNCTION("""COMPUTED_VALUE"""),"https://huggingface.co/ShadoWxShinigamI/MidJourney-PaperCut/discussions/7")</f>
        <v>https://huggingface.co/ShadoWxShinigamI/MidJourney-PaperCut/discussions/7</v>
      </c>
      <c r="B261" s="1">
        <f ca="1">COUNTIFS(author1_labels!$A$2:$A$433,A261,author1_labels!$B$2:$B$433,"&lt;&gt;")</f>
        <v>1</v>
      </c>
    </row>
    <row r="262" spans="1:2" x14ac:dyDescent="0.3">
      <c r="A262" s="6" t="str">
        <f ca="1">IFERROR(__xludf.DUMMYFUNCTION("""COMPUTED_VALUE"""),"https://huggingface.co/sophosympatheia/Rogue-Rose-103b-v0.2/discussions/4")</f>
        <v>https://huggingface.co/sophosympatheia/Rogue-Rose-103b-v0.2/discussions/4</v>
      </c>
      <c r="B262" s="1">
        <f ca="1">COUNTIFS(author1_labels!$A$2:$A$433,A262,author1_labels!$B$2:$B$433,"&lt;&gt;")</f>
        <v>1</v>
      </c>
    </row>
    <row r="263" spans="1:2" x14ac:dyDescent="0.3">
      <c r="A263" s="6" t="str">
        <f ca="1">IFERROR(__xludf.DUMMYFUNCTION("""COMPUTED_VALUE"""),"https://huggingface.co/sshleifer/distilbart-cnn-12-6/discussions/11")</f>
        <v>https://huggingface.co/sshleifer/distilbart-cnn-12-6/discussions/11</v>
      </c>
      <c r="B263" s="1">
        <f ca="1">COUNTIFS(author1_labels!$A$2:$A$433,A263,author1_labels!$B$2:$B$433,"&lt;&gt;")</f>
        <v>1</v>
      </c>
    </row>
    <row r="264" spans="1:2" x14ac:dyDescent="0.3">
      <c r="A264" s="6" t="str">
        <f ca="1">IFERROR(__xludf.DUMMYFUNCTION("""COMPUTED_VALUE"""),"https://huggingface.co/stabilityai/sd-x2-latent-upscaler/discussions/2")</f>
        <v>https://huggingface.co/stabilityai/sd-x2-latent-upscaler/discussions/2</v>
      </c>
      <c r="B264" s="1">
        <f ca="1">COUNTIFS(author1_labels!$A$2:$A$433,A264,author1_labels!$B$2:$B$433,"&lt;&gt;")</f>
        <v>1</v>
      </c>
    </row>
    <row r="265" spans="1:2" x14ac:dyDescent="0.3">
      <c r="A265" s="6" t="str">
        <f ca="1">IFERROR(__xludf.DUMMYFUNCTION("""COMPUTED_VALUE"""),"https://huggingface.co/stabilityai/sdxl-turbo/discussions/6")</f>
        <v>https://huggingface.co/stabilityai/sdxl-turbo/discussions/6</v>
      </c>
      <c r="B265" s="1">
        <f ca="1">COUNTIFS(author1_labels!$A$2:$A$433,A265,author1_labels!$B$2:$B$433,"&lt;&gt;")</f>
        <v>1</v>
      </c>
    </row>
    <row r="266" spans="1:2" x14ac:dyDescent="0.3">
      <c r="A266" s="6" t="str">
        <f ca="1">IFERROR(__xludf.DUMMYFUNCTION("""COMPUTED_VALUE"""),"https://huggingface.co/stabilityai/stable-diffusion-2-depth/discussions/6")</f>
        <v>https://huggingface.co/stabilityai/stable-diffusion-2-depth/discussions/6</v>
      </c>
      <c r="B266" s="1">
        <f ca="1">COUNTIFS(author1_labels!$A$2:$A$433,A266,author1_labels!$B$2:$B$433,"&lt;&gt;")</f>
        <v>0</v>
      </c>
    </row>
    <row r="267" spans="1:2" x14ac:dyDescent="0.3">
      <c r="A267" s="6" t="str">
        <f ca="1">IFERROR(__xludf.DUMMYFUNCTION("""COMPUTED_VALUE"""),"https://huggingface.co/stabilityai/stable-diffusion-2/discussions/65")</f>
        <v>https://huggingface.co/stabilityai/stable-diffusion-2/discussions/65</v>
      </c>
      <c r="B267" s="1">
        <f ca="1">COUNTIFS(author1_labels!$A$2:$A$433,A267,author1_labels!$B$2:$B$433,"&lt;&gt;")</f>
        <v>1</v>
      </c>
    </row>
    <row r="268" spans="1:2" x14ac:dyDescent="0.3">
      <c r="A268" s="6" t="str">
        <f ca="1">IFERROR(__xludf.DUMMYFUNCTION("""COMPUTED_VALUE"""),"https://huggingface.co/stabilityai/stable-diffusion-xl-base-1.0/discussions/106")</f>
        <v>https://huggingface.co/stabilityai/stable-diffusion-xl-base-1.0/discussions/106</v>
      </c>
      <c r="B268" s="1">
        <f ca="1">COUNTIFS(author1_labels!$A$2:$A$433,A268,author1_labels!$B$2:$B$433,"&lt;&gt;")</f>
        <v>1</v>
      </c>
    </row>
    <row r="269" spans="1:2" x14ac:dyDescent="0.3">
      <c r="A269" s="6" t="str">
        <f ca="1">IFERROR(__xludf.DUMMYFUNCTION("""COMPUTED_VALUE"""),"https://huggingface.co/stabilityai/stable-diffusion-xl-base-1.0/discussions/119")</f>
        <v>https://huggingface.co/stabilityai/stable-diffusion-xl-base-1.0/discussions/119</v>
      </c>
      <c r="B269" s="1">
        <f ca="1">COUNTIFS(author1_labels!$A$2:$A$433,A269,author1_labels!$B$2:$B$433,"&lt;&gt;")</f>
        <v>1</v>
      </c>
    </row>
    <row r="270" spans="1:2" x14ac:dyDescent="0.3">
      <c r="A270" s="6" t="str">
        <f ca="1">IFERROR(__xludf.DUMMYFUNCTION("""COMPUTED_VALUE"""),"https://huggingface.co/stabilityai/stable-diffusion-xl-base-1.0/discussions/136")</f>
        <v>https://huggingface.co/stabilityai/stable-diffusion-xl-base-1.0/discussions/136</v>
      </c>
      <c r="B270" s="1">
        <f ca="1">COUNTIFS(author1_labels!$A$2:$A$433,A270,author1_labels!$B$2:$B$433,"&lt;&gt;")</f>
        <v>1</v>
      </c>
    </row>
    <row r="271" spans="1:2" x14ac:dyDescent="0.3">
      <c r="A271" s="6" t="str">
        <f ca="1">IFERROR(__xludf.DUMMYFUNCTION("""COMPUTED_VALUE"""),"https://huggingface.co/stabilityai/stable-diffusion-xl-base-1.0/discussions/32")</f>
        <v>https://huggingface.co/stabilityai/stable-diffusion-xl-base-1.0/discussions/32</v>
      </c>
      <c r="B271" s="1">
        <f ca="1">COUNTIFS(author1_labels!$A$2:$A$433,A271,author1_labels!$B$2:$B$433,"&lt;&gt;")</f>
        <v>1</v>
      </c>
    </row>
    <row r="272" spans="1:2" x14ac:dyDescent="0.3">
      <c r="A272" s="6" t="str">
        <f ca="1">IFERROR(__xludf.DUMMYFUNCTION("""COMPUTED_VALUE"""),"https://huggingface.co/stabilityai/stable-diffusion-xl-refiner-1.0/discussions/18")</f>
        <v>https://huggingface.co/stabilityai/stable-diffusion-xl-refiner-1.0/discussions/18</v>
      </c>
      <c r="B272" s="1">
        <f ca="1">COUNTIFS(author1_labels!$A$2:$A$433,A272,author1_labels!$B$2:$B$433,"&lt;&gt;")</f>
        <v>1</v>
      </c>
    </row>
    <row r="273" spans="1:2" x14ac:dyDescent="0.3">
      <c r="A273" s="6" t="str">
        <f ca="1">IFERROR(__xludf.DUMMYFUNCTION("""COMPUTED_VALUE"""),"https://huggingface.co/stabilityai/StableBeluga-13B/discussions/4")</f>
        <v>https://huggingface.co/stabilityai/StableBeluga-13B/discussions/4</v>
      </c>
      <c r="B273" s="1">
        <f ca="1">COUNTIFS(author1_labels!$A$2:$A$433,A273,author1_labels!$B$2:$B$433,"&lt;&gt;")</f>
        <v>1</v>
      </c>
    </row>
    <row r="274" spans="1:2" x14ac:dyDescent="0.3">
      <c r="A274" s="6" t="str">
        <f ca="1">IFERROR(__xludf.DUMMYFUNCTION("""COMPUTED_VALUE"""),"https://huggingface.co/stabilityai/StableBeluga2/discussions/30")</f>
        <v>https://huggingface.co/stabilityai/StableBeluga2/discussions/30</v>
      </c>
      <c r="B274" s="1">
        <f ca="1">COUNTIFS(author1_labels!$A$2:$A$433,A274,author1_labels!$B$2:$B$433,"&lt;&gt;")</f>
        <v>1</v>
      </c>
    </row>
    <row r="275" spans="1:2" x14ac:dyDescent="0.3">
      <c r="A275" s="6" t="str">
        <f ca="1">IFERROR(__xludf.DUMMYFUNCTION("""COMPUTED_VALUE"""),"https://huggingface.co/stabilityai/stablecode-instruct-alpha-3b/discussions/13")</f>
        <v>https://huggingface.co/stabilityai/stablecode-instruct-alpha-3b/discussions/13</v>
      </c>
      <c r="B275" s="1">
        <f ca="1">COUNTIFS(author1_labels!$A$2:$A$433,A275,author1_labels!$B$2:$B$433,"&lt;&gt;")</f>
        <v>1</v>
      </c>
    </row>
    <row r="276" spans="1:2" x14ac:dyDescent="0.3">
      <c r="A276" s="6" t="str">
        <f ca="1">IFERROR(__xludf.DUMMYFUNCTION("""COMPUTED_VALUE"""),"https://huggingface.co/stabilityai/stablelm-zephyr-3b/discussions/12")</f>
        <v>https://huggingface.co/stabilityai/stablelm-zephyr-3b/discussions/12</v>
      </c>
      <c r="B276" s="1">
        <f ca="1">COUNTIFS(author1_labels!$A$2:$A$433,A276,author1_labels!$B$2:$B$433,"&lt;&gt;")</f>
        <v>1</v>
      </c>
    </row>
    <row r="277" spans="1:2" x14ac:dyDescent="0.3">
      <c r="A277" s="6" t="str">
        <f ca="1">IFERROR(__xludf.DUMMYFUNCTION("""COMPUTED_VALUE"""),"https://huggingface.co/starmpcc/Asclepius-13B/discussions/1")</f>
        <v>https://huggingface.co/starmpcc/Asclepius-13B/discussions/1</v>
      </c>
      <c r="B277" s="1">
        <f ca="1">COUNTIFS(author1_labels!$A$2:$A$433,A277,author1_labels!$B$2:$B$433,"&lt;&gt;")</f>
        <v>2</v>
      </c>
    </row>
    <row r="278" spans="1:2" x14ac:dyDescent="0.3">
      <c r="A278" s="6" t="str">
        <f ca="1">IFERROR(__xludf.DUMMYFUNCTION("""COMPUTED_VALUE"""),"https://huggingface.co/state-spaces/mamba-2.8b/discussions/1")</f>
        <v>https://huggingface.co/state-spaces/mamba-2.8b/discussions/1</v>
      </c>
      <c r="B278" s="1">
        <f ca="1">COUNTIFS(author1_labels!$A$2:$A$433,A278,author1_labels!$B$2:$B$433,"&lt;&gt;")</f>
        <v>1</v>
      </c>
    </row>
    <row r="279" spans="1:2" x14ac:dyDescent="0.3">
      <c r="A279" s="6" t="str">
        <f ca="1">IFERROR(__xludf.DUMMYFUNCTION("""COMPUTED_VALUE"""),"https://huggingface.co/suno/bark-small/discussions/7")</f>
        <v>https://huggingface.co/suno/bark-small/discussions/7</v>
      </c>
      <c r="B279" s="1">
        <f ca="1">COUNTIFS(author1_labels!$A$2:$A$433,A279,author1_labels!$B$2:$B$433,"&lt;&gt;")</f>
        <v>1</v>
      </c>
    </row>
    <row r="280" spans="1:2" x14ac:dyDescent="0.3">
      <c r="A280" s="6" t="str">
        <f ca="1">IFERROR(__xludf.DUMMYFUNCTION("""COMPUTED_VALUE"""),"https://huggingface.co/suno/bark/discussions/30")</f>
        <v>https://huggingface.co/suno/bark/discussions/30</v>
      </c>
      <c r="B280" s="1">
        <f ca="1">COUNTIFS(author1_labels!$A$2:$A$433,A280,author1_labels!$B$2:$B$433,"&lt;&gt;")</f>
        <v>1</v>
      </c>
    </row>
    <row r="281" spans="1:2" x14ac:dyDescent="0.3">
      <c r="A281" s="6" t="str">
        <f ca="1">IFERROR(__xludf.DUMMYFUNCTION("""COMPUTED_VALUE"""),"https://huggingface.co/t5-base/discussions/14")</f>
        <v>https://huggingface.co/t5-base/discussions/14</v>
      </c>
      <c r="B281" s="1">
        <f ca="1">COUNTIFS(author1_labels!$A$2:$A$433,A281,author1_labels!$B$2:$B$433,"&lt;&gt;")</f>
        <v>0</v>
      </c>
    </row>
    <row r="282" spans="1:2" x14ac:dyDescent="0.3">
      <c r="A282" s="6" t="str">
        <f ca="1">IFERROR(__xludf.DUMMYFUNCTION("""COMPUTED_VALUE"""),"https://huggingface.co/t5-base/discussions/21")</f>
        <v>https://huggingface.co/t5-base/discussions/21</v>
      </c>
      <c r="B282" s="1">
        <f ca="1">COUNTIFS(author1_labels!$A$2:$A$433,A282,author1_labels!$B$2:$B$433,"&lt;&gt;")</f>
        <v>4</v>
      </c>
    </row>
    <row r="283" spans="1:2" x14ac:dyDescent="0.3">
      <c r="A283" s="6" t="str">
        <f ca="1">IFERROR(__xludf.DUMMYFUNCTION("""COMPUTED_VALUE"""),"https://huggingface.co/taozi555/MythoMax-Kimiko-Mix/discussions/1")</f>
        <v>https://huggingface.co/taozi555/MythoMax-Kimiko-Mix/discussions/1</v>
      </c>
      <c r="B283" s="1">
        <f ca="1">COUNTIFS(author1_labels!$A$2:$A$433,A283,author1_labels!$B$2:$B$433,"&lt;&gt;")</f>
        <v>2</v>
      </c>
    </row>
    <row r="284" spans="1:2" x14ac:dyDescent="0.3">
      <c r="A284" s="6" t="str">
        <f ca="1">IFERROR(__xludf.DUMMYFUNCTION("""COMPUTED_VALUE"""),"https://huggingface.co/TehVenom/Pygmalion-Vicuna-1.1-7b/discussions/5")</f>
        <v>https://huggingface.co/TehVenom/Pygmalion-Vicuna-1.1-7b/discussions/5</v>
      </c>
      <c r="B284" s="1">
        <f ca="1">COUNTIFS(author1_labels!$A$2:$A$433,A284,author1_labels!$B$2:$B$433,"&lt;&gt;")</f>
        <v>1</v>
      </c>
    </row>
    <row r="285" spans="1:2" x14ac:dyDescent="0.3">
      <c r="A285" s="6" t="str">
        <f ca="1">IFERROR(__xludf.DUMMYFUNCTION("""COMPUTED_VALUE"""),"https://huggingface.co/TheBloke/airoboros-l2-70B-gpt4-1.4.1-GPTQ/discussions/3")</f>
        <v>https://huggingface.co/TheBloke/airoboros-l2-70B-gpt4-1.4.1-GPTQ/discussions/3</v>
      </c>
      <c r="B285" s="1">
        <f ca="1">COUNTIFS(author1_labels!$A$2:$A$433,A285,author1_labels!$B$2:$B$433,"&lt;&gt;")</f>
        <v>1</v>
      </c>
    </row>
    <row r="286" spans="1:2" x14ac:dyDescent="0.3">
      <c r="A286" s="6" t="str">
        <f ca="1">IFERROR(__xludf.DUMMYFUNCTION("""COMPUTED_VALUE"""),"https://huggingface.co/TheBloke/Capybara-Tess-Yi-34B-200K-GGUF/discussions/1")</f>
        <v>https://huggingface.co/TheBloke/Capybara-Tess-Yi-34B-200K-GGUF/discussions/1</v>
      </c>
      <c r="B286" s="1">
        <f ca="1">COUNTIFS(author1_labels!$A$2:$A$433,A286,author1_labels!$B$2:$B$433,"&lt;&gt;")</f>
        <v>1</v>
      </c>
    </row>
    <row r="287" spans="1:2" x14ac:dyDescent="0.3">
      <c r="A287" s="6" t="str">
        <f ca="1">IFERROR(__xludf.DUMMYFUNCTION("""COMPUTED_VALUE"""),"https://huggingface.co/TheBloke/CodeLlama-13B-Instruct-GGUF/discussions/1")</f>
        <v>https://huggingface.co/TheBloke/CodeLlama-13B-Instruct-GGUF/discussions/1</v>
      </c>
      <c r="B287" s="1">
        <f ca="1">COUNTIFS(author1_labels!$A$2:$A$433,A287,author1_labels!$B$2:$B$433,"&lt;&gt;")</f>
        <v>1</v>
      </c>
    </row>
    <row r="288" spans="1:2" x14ac:dyDescent="0.3">
      <c r="A288" s="6" t="str">
        <f ca="1">IFERROR(__xludf.DUMMYFUNCTION("""COMPUTED_VALUE"""),"https://huggingface.co/TheBloke/DiscoLM-mixtral-8x7b-v2-GPTQ/discussions/1")</f>
        <v>https://huggingface.co/TheBloke/DiscoLM-mixtral-8x7b-v2-GPTQ/discussions/1</v>
      </c>
      <c r="B288" s="1">
        <f ca="1">COUNTIFS(author1_labels!$A$2:$A$433,A288,author1_labels!$B$2:$B$433,"&lt;&gt;")</f>
        <v>1</v>
      </c>
    </row>
    <row r="289" spans="1:2" x14ac:dyDescent="0.3">
      <c r="A289" s="6" t="str">
        <f ca="1">IFERROR(__xludf.DUMMYFUNCTION("""COMPUTED_VALUE"""),"https://huggingface.co/TheBloke/Falcon-180B-Chat-GGUF/discussions/8")</f>
        <v>https://huggingface.co/TheBloke/Falcon-180B-Chat-GGUF/discussions/8</v>
      </c>
      <c r="B289" s="1">
        <f ca="1">COUNTIFS(author1_labels!$A$2:$A$433,A289,author1_labels!$B$2:$B$433,"&lt;&gt;")</f>
        <v>1</v>
      </c>
    </row>
    <row r="290" spans="1:2" x14ac:dyDescent="0.3">
      <c r="A290" s="6" t="str">
        <f ca="1">IFERROR(__xludf.DUMMYFUNCTION("""COMPUTED_VALUE"""),"https://huggingface.co/TheBloke/falcon-40b-instruct-GPTQ/discussions/1")</f>
        <v>https://huggingface.co/TheBloke/falcon-40b-instruct-GPTQ/discussions/1</v>
      </c>
      <c r="B290" s="1">
        <f ca="1">COUNTIFS(author1_labels!$A$2:$A$433,A290,author1_labels!$B$2:$B$433,"&lt;&gt;")</f>
        <v>1</v>
      </c>
    </row>
    <row r="291" spans="1:2" x14ac:dyDescent="0.3">
      <c r="A291" s="6" t="str">
        <f ca="1">IFERROR(__xludf.DUMMYFUNCTION("""COMPUTED_VALUE"""),"https://huggingface.co/TheBloke/Falcon-7B-Instruct-GGML/discussions/4")</f>
        <v>https://huggingface.co/TheBloke/Falcon-7B-Instruct-GGML/discussions/4</v>
      </c>
      <c r="B291" s="1">
        <f ca="1">COUNTIFS(author1_labels!$A$2:$A$433,A291,author1_labels!$B$2:$B$433,"&lt;&gt;")</f>
        <v>1</v>
      </c>
    </row>
    <row r="292" spans="1:2" x14ac:dyDescent="0.3">
      <c r="A292" s="6" t="str">
        <f ca="1">IFERROR(__xludf.DUMMYFUNCTION("""COMPUTED_VALUE"""),"https://huggingface.co/TheBloke/guanaco-33B-GPTQ/discussions/6")</f>
        <v>https://huggingface.co/TheBloke/guanaco-33B-GPTQ/discussions/6</v>
      </c>
      <c r="B292" s="1">
        <f ca="1">COUNTIFS(author1_labels!$A$2:$A$433,A292,author1_labels!$B$2:$B$433,"&lt;&gt;")</f>
        <v>1</v>
      </c>
    </row>
    <row r="293" spans="1:2" x14ac:dyDescent="0.3">
      <c r="A293" s="6" t="str">
        <f ca="1">IFERROR(__xludf.DUMMYFUNCTION("""COMPUTED_VALUE"""),"https://huggingface.co/TheBloke/koala-7B-GPTQ/discussions/5")</f>
        <v>https://huggingface.co/TheBloke/koala-7B-GPTQ/discussions/5</v>
      </c>
      <c r="B293" s="1">
        <f ca="1">COUNTIFS(author1_labels!$A$2:$A$433,A293,author1_labels!$B$2:$B$433,"&lt;&gt;")</f>
        <v>0</v>
      </c>
    </row>
    <row r="294" spans="1:2" x14ac:dyDescent="0.3">
      <c r="A294" s="6" t="str">
        <f ca="1">IFERROR(__xludf.DUMMYFUNCTION("""COMPUTED_VALUE"""),"https://huggingface.co/TheBloke/leo-hessianai-13B-chat-bilingual-GPTQ/discussions/1")</f>
        <v>https://huggingface.co/TheBloke/leo-hessianai-13B-chat-bilingual-GPTQ/discussions/1</v>
      </c>
      <c r="B294" s="1">
        <f ca="1">COUNTIFS(author1_labels!$A$2:$A$433,A294,author1_labels!$B$2:$B$433,"&lt;&gt;")</f>
        <v>1</v>
      </c>
    </row>
    <row r="295" spans="1:2" x14ac:dyDescent="0.3">
      <c r="A295" s="6" t="str">
        <f ca="1">IFERROR(__xludf.DUMMYFUNCTION("""COMPUTED_VALUE"""),"https://huggingface.co/TheBloke/Llama-2-13B-chat-GPTQ/discussions/18")</f>
        <v>https://huggingface.co/TheBloke/Llama-2-13B-chat-GPTQ/discussions/18</v>
      </c>
      <c r="B295" s="1">
        <f ca="1">COUNTIFS(author1_labels!$A$2:$A$433,A295,author1_labels!$B$2:$B$433,"&lt;&gt;")</f>
        <v>1</v>
      </c>
    </row>
    <row r="296" spans="1:2" x14ac:dyDescent="0.3">
      <c r="A296" s="6" t="str">
        <f ca="1">IFERROR(__xludf.DUMMYFUNCTION("""COMPUTED_VALUE"""),"https://huggingface.co/TheBloke/Llama-2-13B-chat-GPTQ/discussions/23")</f>
        <v>https://huggingface.co/TheBloke/Llama-2-13B-chat-GPTQ/discussions/23</v>
      </c>
      <c r="B296" s="1">
        <f ca="1">COUNTIFS(author1_labels!$A$2:$A$433,A296,author1_labels!$B$2:$B$433,"&lt;&gt;")</f>
        <v>0</v>
      </c>
    </row>
    <row r="297" spans="1:2" x14ac:dyDescent="0.3">
      <c r="A297" s="6" t="str">
        <f ca="1">IFERROR(__xludf.DUMMYFUNCTION("""COMPUTED_VALUE"""),"https://huggingface.co/TheBloke/Llama-2-70B-Chat-AWQ/discussions/1")</f>
        <v>https://huggingface.co/TheBloke/Llama-2-70B-Chat-AWQ/discussions/1</v>
      </c>
      <c r="B297" s="1">
        <f ca="1">COUNTIFS(author1_labels!$A$2:$A$433,A297,author1_labels!$B$2:$B$433,"&lt;&gt;")</f>
        <v>2</v>
      </c>
    </row>
    <row r="298" spans="1:2" x14ac:dyDescent="0.3">
      <c r="A298" s="6" t="str">
        <f ca="1">IFERROR(__xludf.DUMMYFUNCTION("""COMPUTED_VALUE"""),"https://huggingface.co/TheBloke/Llama-2-70B-Chat-GPTQ/discussions/5")</f>
        <v>https://huggingface.co/TheBloke/Llama-2-70B-Chat-GPTQ/discussions/5</v>
      </c>
      <c r="B298" s="1">
        <f ca="1">COUNTIFS(author1_labels!$A$2:$A$433,A298,author1_labels!$B$2:$B$433,"&lt;&gt;")</f>
        <v>1</v>
      </c>
    </row>
    <row r="299" spans="1:2" x14ac:dyDescent="0.3">
      <c r="A299" s="6" t="str">
        <f ca="1">IFERROR(__xludf.DUMMYFUNCTION("""COMPUTED_VALUE"""),"https://huggingface.co/TheBloke/Llama-2-7B-Chat-GPTQ/discussions/29")</f>
        <v>https://huggingface.co/TheBloke/Llama-2-7B-Chat-GPTQ/discussions/29</v>
      </c>
      <c r="B299" s="1">
        <f ca="1">COUNTIFS(author1_labels!$A$2:$A$433,A299,author1_labels!$B$2:$B$433,"&lt;&gt;")</f>
        <v>1</v>
      </c>
    </row>
    <row r="300" spans="1:2" x14ac:dyDescent="0.3">
      <c r="A300" s="6" t="str">
        <f ca="1">IFERROR(__xludf.DUMMYFUNCTION("""COMPUTED_VALUE"""),"https://huggingface.co/TheBloke/llama2-22B-daydreamer-v2-GGML/discussions/2")</f>
        <v>https://huggingface.co/TheBloke/llama2-22B-daydreamer-v2-GGML/discussions/2</v>
      </c>
      <c r="B300" s="1">
        <f ca="1">COUNTIFS(author1_labels!$A$2:$A$433,A300,author1_labels!$B$2:$B$433,"&lt;&gt;")</f>
        <v>1</v>
      </c>
    </row>
    <row r="301" spans="1:2" x14ac:dyDescent="0.3">
      <c r="A301" s="6" t="str">
        <f ca="1">IFERROR(__xludf.DUMMYFUNCTION("""COMPUTED_VALUE"""),"https://huggingface.co/TheBloke/LLongMA-2-7B-GPTQ/discussions/2")</f>
        <v>https://huggingface.co/TheBloke/LLongMA-2-7B-GPTQ/discussions/2</v>
      </c>
      <c r="B301" s="1">
        <f ca="1">COUNTIFS(author1_labels!$A$2:$A$433,A301,author1_labels!$B$2:$B$433,"&lt;&gt;")</f>
        <v>2</v>
      </c>
    </row>
    <row r="302" spans="1:2" x14ac:dyDescent="0.3">
      <c r="A302" s="6" t="str">
        <f ca="1">IFERROR(__xludf.DUMMYFUNCTION("""COMPUTED_VALUE"""),"https://huggingface.co/TheBloke/Mistral-7B-Instruct-v0.2-GGUF/discussions/6")</f>
        <v>https://huggingface.co/TheBloke/Mistral-7B-Instruct-v0.2-GGUF/discussions/6</v>
      </c>
      <c r="B302" s="1">
        <f ca="1">COUNTIFS(author1_labels!$A$2:$A$433,A302,author1_labels!$B$2:$B$433,"&lt;&gt;")</f>
        <v>2</v>
      </c>
    </row>
    <row r="303" spans="1:2" x14ac:dyDescent="0.3">
      <c r="A303" s="6" t="str">
        <f ca="1">IFERROR(__xludf.DUMMYFUNCTION("""COMPUTED_VALUE"""),"https://huggingface.co/TheBloke/Mistral-7B-v0.1-GGUF/discussions/2")</f>
        <v>https://huggingface.co/TheBloke/Mistral-7B-v0.1-GGUF/discussions/2</v>
      </c>
      <c r="B303" s="1">
        <f ca="1">COUNTIFS(author1_labels!$A$2:$A$433,A303,author1_labels!$B$2:$B$433,"&lt;&gt;")</f>
        <v>1</v>
      </c>
    </row>
    <row r="304" spans="1:2" x14ac:dyDescent="0.3">
      <c r="A304" s="6" t="str">
        <f ca="1">IFERROR(__xludf.DUMMYFUNCTION("""COMPUTED_VALUE"""),"https://huggingface.co/TheBloke/Mixtral-8x7B-v0.1-GGUF/discussions/18")</f>
        <v>https://huggingface.co/TheBloke/Mixtral-8x7B-v0.1-GGUF/discussions/18</v>
      </c>
      <c r="B304" s="1">
        <f ca="1">COUNTIFS(author1_labels!$A$2:$A$433,A304,author1_labels!$B$2:$B$433,"&lt;&gt;")</f>
        <v>2</v>
      </c>
    </row>
    <row r="305" spans="1:2" x14ac:dyDescent="0.3">
      <c r="A305" s="6" t="str">
        <f ca="1">IFERROR(__xludf.DUMMYFUNCTION("""COMPUTED_VALUE"""),"https://huggingface.co/TheBloke/MPT-7B-Storywriter-GGML/discussions/5")</f>
        <v>https://huggingface.co/TheBloke/MPT-7B-Storywriter-GGML/discussions/5</v>
      </c>
      <c r="B305" s="1">
        <f ca="1">COUNTIFS(author1_labels!$A$2:$A$433,A305,author1_labels!$B$2:$B$433,"&lt;&gt;")</f>
        <v>1</v>
      </c>
    </row>
    <row r="306" spans="1:2" x14ac:dyDescent="0.3">
      <c r="A306" s="6" t="str">
        <f ca="1">IFERROR(__xludf.DUMMYFUNCTION("""COMPUTED_VALUE"""),"https://huggingface.co/TheBloke/Nous-Hermes-Llama2-GGML/discussions/4")</f>
        <v>https://huggingface.co/TheBloke/Nous-Hermes-Llama2-GGML/discussions/4</v>
      </c>
      <c r="B306" s="1">
        <f ca="1">COUNTIFS(author1_labels!$A$2:$A$433,A306,author1_labels!$B$2:$B$433,"&lt;&gt;")</f>
        <v>1</v>
      </c>
    </row>
    <row r="307" spans="1:2" x14ac:dyDescent="0.3">
      <c r="A307" s="6" t="str">
        <f ca="1">IFERROR(__xludf.DUMMYFUNCTION("""COMPUTED_VALUE"""),"https://huggingface.co/TheBloke/Open_Gpt4_8x7B-GPTQ/discussions/1")</f>
        <v>https://huggingface.co/TheBloke/Open_Gpt4_8x7B-GPTQ/discussions/1</v>
      </c>
      <c r="B307" s="1">
        <f ca="1">COUNTIFS(author1_labels!$A$2:$A$433,A307,author1_labels!$B$2:$B$433,"&lt;&gt;")</f>
        <v>1</v>
      </c>
    </row>
    <row r="308" spans="1:2" x14ac:dyDescent="0.3">
      <c r="A308" s="6" t="str">
        <f ca="1">IFERROR(__xludf.DUMMYFUNCTION("""COMPUTED_VALUE"""),"https://huggingface.co/TheBloke/SOLAR-10.7B-Instruct-v1.0-GGUF/discussions/3")</f>
        <v>https://huggingface.co/TheBloke/SOLAR-10.7B-Instruct-v1.0-GGUF/discussions/3</v>
      </c>
      <c r="B308" s="1">
        <f ca="1">COUNTIFS(author1_labels!$A$2:$A$433,A308,author1_labels!$B$2:$B$433,"&lt;&gt;")</f>
        <v>1</v>
      </c>
    </row>
    <row r="309" spans="1:2" x14ac:dyDescent="0.3">
      <c r="A309" s="6" t="str">
        <f ca="1">IFERROR(__xludf.DUMMYFUNCTION("""COMPUTED_VALUE"""),"https://huggingface.co/TheBloke/SOLARC-MOE-10.7Bx4-GGUF/discussions/1")</f>
        <v>https://huggingface.co/TheBloke/SOLARC-MOE-10.7Bx4-GGUF/discussions/1</v>
      </c>
      <c r="B309" s="1">
        <f ca="1">COUNTIFS(author1_labels!$A$2:$A$433,A309,author1_labels!$B$2:$B$433,"&lt;&gt;")</f>
        <v>0</v>
      </c>
    </row>
    <row r="310" spans="1:2" x14ac:dyDescent="0.3">
      <c r="A310" s="6" t="str">
        <f ca="1">IFERROR(__xludf.DUMMYFUNCTION("""COMPUTED_VALUE"""),"https://huggingface.co/TheBloke/StableBeluga2-70B-GPTQ/discussions/12")</f>
        <v>https://huggingface.co/TheBloke/StableBeluga2-70B-GPTQ/discussions/12</v>
      </c>
      <c r="B310" s="1">
        <f ca="1">COUNTIFS(author1_labels!$A$2:$A$433,A310,author1_labels!$B$2:$B$433,"&lt;&gt;")</f>
        <v>1</v>
      </c>
    </row>
    <row r="311" spans="1:2" x14ac:dyDescent="0.3">
      <c r="A311" s="6" t="str">
        <f ca="1">IFERROR(__xludf.DUMMYFUNCTION("""COMPUTED_VALUE"""),"https://huggingface.co/TheBloke/Synthia-MoE-v3-Mixtral-8x7B-GPTQ/discussions/2")</f>
        <v>https://huggingface.co/TheBloke/Synthia-MoE-v3-Mixtral-8x7B-GPTQ/discussions/2</v>
      </c>
      <c r="B311" s="1">
        <f ca="1">COUNTIFS(author1_labels!$A$2:$A$433,A311,author1_labels!$B$2:$B$433,"&lt;&gt;")</f>
        <v>1</v>
      </c>
    </row>
    <row r="312" spans="1:2" x14ac:dyDescent="0.3">
      <c r="A312" s="6" t="str">
        <f ca="1">IFERROR(__xludf.DUMMYFUNCTION("""COMPUTED_VALUE"""),"https://huggingface.co/TheBloke/tulu-7B-GPTQ/discussions/1")</f>
        <v>https://huggingface.co/TheBloke/tulu-7B-GPTQ/discussions/1</v>
      </c>
      <c r="B312" s="1">
        <f ca="1">COUNTIFS(author1_labels!$A$2:$A$433,A312,author1_labels!$B$2:$B$433,"&lt;&gt;")</f>
        <v>1</v>
      </c>
    </row>
    <row r="313" spans="1:2" x14ac:dyDescent="0.3">
      <c r="A313" s="6" t="str">
        <f ca="1">IFERROR(__xludf.DUMMYFUNCTION("""COMPUTED_VALUE"""),"https://huggingface.co/TheBloke/Vicuna-13B-1.1-GPTQ/discussions/11")</f>
        <v>https://huggingface.co/TheBloke/Vicuna-13B-1.1-GPTQ/discussions/11</v>
      </c>
      <c r="B313" s="1">
        <f ca="1">COUNTIFS(author1_labels!$A$2:$A$433,A313,author1_labels!$B$2:$B$433,"&lt;&gt;")</f>
        <v>1</v>
      </c>
    </row>
    <row r="314" spans="1:2" x14ac:dyDescent="0.3">
      <c r="A314" s="6" t="str">
        <f ca="1">IFERROR(__xludf.DUMMYFUNCTION("""COMPUTED_VALUE"""),"https://huggingface.co/TheBloke/vicuna-13B-v1.5-16K-GPTQ/discussions/1")</f>
        <v>https://huggingface.co/TheBloke/vicuna-13B-v1.5-16K-GPTQ/discussions/1</v>
      </c>
      <c r="B314" s="1">
        <f ca="1">COUNTIFS(author1_labels!$A$2:$A$433,A314,author1_labels!$B$2:$B$433,"&lt;&gt;")</f>
        <v>1</v>
      </c>
    </row>
    <row r="315" spans="1:2" x14ac:dyDescent="0.3">
      <c r="A315" s="6" t="str">
        <f ca="1">IFERROR(__xludf.DUMMYFUNCTION("""COMPUTED_VALUE"""),"https://huggingface.co/TheBloke/vicuna-7B-v0-GPTQ/discussions/3")</f>
        <v>https://huggingface.co/TheBloke/vicuna-7B-v0-GPTQ/discussions/3</v>
      </c>
      <c r="B315" s="1">
        <f ca="1">COUNTIFS(author1_labels!$A$2:$A$433,A315,author1_labels!$B$2:$B$433,"&lt;&gt;")</f>
        <v>0</v>
      </c>
    </row>
    <row r="316" spans="1:2" x14ac:dyDescent="0.3">
      <c r="A316" s="6" t="str">
        <f ca="1">IFERROR(__xludf.DUMMYFUNCTION("""COMPUTED_VALUE"""),"https://huggingface.co/TheBloke/Wizard-Vicuna-13B-Uncensored-GGUF/discussions/1")</f>
        <v>https://huggingface.co/TheBloke/Wizard-Vicuna-13B-Uncensored-GGUF/discussions/1</v>
      </c>
      <c r="B316" s="1">
        <f ca="1">COUNTIFS(author1_labels!$A$2:$A$433,A316,author1_labels!$B$2:$B$433,"&lt;&gt;")</f>
        <v>1</v>
      </c>
    </row>
    <row r="317" spans="1:2" x14ac:dyDescent="0.3">
      <c r="A317" s="6" t="str">
        <f ca="1">IFERROR(__xludf.DUMMYFUNCTION("""COMPUTED_VALUE"""),"https://huggingface.co/TheBloke/Wizard-Vicuna-13B-Uncensored-GPTQ/discussions/10")</f>
        <v>https://huggingface.co/TheBloke/Wizard-Vicuna-13B-Uncensored-GPTQ/discussions/10</v>
      </c>
      <c r="B317" s="1">
        <f ca="1">COUNTIFS(author1_labels!$A$2:$A$433,A317,author1_labels!$B$2:$B$433,"&lt;&gt;")</f>
        <v>1</v>
      </c>
    </row>
    <row r="318" spans="1:2" x14ac:dyDescent="0.3">
      <c r="A318" s="6" t="str">
        <f ca="1">IFERROR(__xludf.DUMMYFUNCTION("""COMPUTED_VALUE"""),"https://huggingface.co/TheBloke/Wizard-Vicuna-30B-Uncensored-GPTQ/discussions/15")</f>
        <v>https://huggingface.co/TheBloke/Wizard-Vicuna-30B-Uncensored-GPTQ/discussions/15</v>
      </c>
      <c r="B318" s="1">
        <f ca="1">COUNTIFS(author1_labels!$A$2:$A$433,A318,author1_labels!$B$2:$B$433,"&lt;&gt;")</f>
        <v>1</v>
      </c>
    </row>
    <row r="319" spans="1:2" x14ac:dyDescent="0.3">
      <c r="A319" s="6" t="str">
        <f ca="1">IFERROR(__xludf.DUMMYFUNCTION("""COMPUTED_VALUE"""),"https://huggingface.co/TheBloke/WizardCoder-15B-1.0-GGML/discussions/8")</f>
        <v>https://huggingface.co/TheBloke/WizardCoder-15B-1.0-GGML/discussions/8</v>
      </c>
      <c r="B319" s="1">
        <f ca="1">COUNTIFS(author1_labels!$A$2:$A$433,A319,author1_labels!$B$2:$B$433,"&lt;&gt;")</f>
        <v>1</v>
      </c>
    </row>
    <row r="320" spans="1:2" x14ac:dyDescent="0.3">
      <c r="A320" s="6" t="str">
        <f ca="1">IFERROR(__xludf.DUMMYFUNCTION("""COMPUTED_VALUE"""),"https://huggingface.co/TheBloke/WizardCoder-15B-1.0-GPTQ/discussions/14")</f>
        <v>https://huggingface.co/TheBloke/WizardCoder-15B-1.0-GPTQ/discussions/14</v>
      </c>
      <c r="B320" s="1">
        <f ca="1">COUNTIFS(author1_labels!$A$2:$A$433,A320,author1_labels!$B$2:$B$433,"&lt;&gt;")</f>
        <v>1</v>
      </c>
    </row>
    <row r="321" spans="1:2" x14ac:dyDescent="0.3">
      <c r="A321" s="6" t="str">
        <f ca="1">IFERROR(__xludf.DUMMYFUNCTION("""COMPUTED_VALUE"""),"https://huggingface.co/TheBloke/WizardCoder-Python-34B-V1.0-GGUF/discussions/5")</f>
        <v>https://huggingface.co/TheBloke/WizardCoder-Python-34B-V1.0-GGUF/discussions/5</v>
      </c>
      <c r="B321" s="1">
        <f ca="1">COUNTIFS(author1_labels!$A$2:$A$433,A321,author1_labels!$B$2:$B$433,"&lt;&gt;")</f>
        <v>1</v>
      </c>
    </row>
    <row r="322" spans="1:2" x14ac:dyDescent="0.3">
      <c r="A322" s="6" t="str">
        <f ca="1">IFERROR(__xludf.DUMMYFUNCTION("""COMPUTED_VALUE"""),"https://huggingface.co/TheBloke/WizardLM-1.0-Uncensored-Llama2-13B-GGML/discussions/1")</f>
        <v>https://huggingface.co/TheBloke/WizardLM-1.0-Uncensored-Llama2-13B-GGML/discussions/1</v>
      </c>
      <c r="B322" s="1">
        <f ca="1">COUNTIFS(author1_labels!$A$2:$A$433,A322,author1_labels!$B$2:$B$433,"&lt;&gt;")</f>
        <v>0</v>
      </c>
    </row>
    <row r="323" spans="1:2" x14ac:dyDescent="0.3">
      <c r="A323" s="6" t="str">
        <f ca="1">IFERROR(__xludf.DUMMYFUNCTION("""COMPUTED_VALUE"""),"https://huggingface.co/TheBloke/WizardLM-13B-V1.2-GPTQ/discussions/1")</f>
        <v>https://huggingface.co/TheBloke/WizardLM-13B-V1.2-GPTQ/discussions/1</v>
      </c>
      <c r="B323" s="1">
        <f ca="1">COUNTIFS(author1_labels!$A$2:$A$433,A323,author1_labels!$B$2:$B$433,"&lt;&gt;")</f>
        <v>1</v>
      </c>
    </row>
    <row r="324" spans="1:2" x14ac:dyDescent="0.3">
      <c r="A324" s="6" t="str">
        <f ca="1">IFERROR(__xludf.DUMMYFUNCTION("""COMPUTED_VALUE"""),"https://huggingface.co/TheBloke/Yi-6B-GGUF/discussions/1")</f>
        <v>https://huggingface.co/TheBloke/Yi-6B-GGUF/discussions/1</v>
      </c>
      <c r="B324" s="1">
        <f ca="1">COUNTIFS(author1_labels!$A$2:$A$433,A324,author1_labels!$B$2:$B$433,"&lt;&gt;")</f>
        <v>1</v>
      </c>
    </row>
    <row r="325" spans="1:2" x14ac:dyDescent="0.3">
      <c r="A325" s="6" t="str">
        <f ca="1">IFERROR(__xludf.DUMMYFUNCTION("""COMPUTED_VALUE"""),"https://huggingface.co/TheLastBen/William_Eggleston_Style_SDXL/discussions/2")</f>
        <v>https://huggingface.co/TheLastBen/William_Eggleston_Style_SDXL/discussions/2</v>
      </c>
      <c r="B325" s="1">
        <f ca="1">COUNTIFS(author1_labels!$A$2:$A$433,A325,author1_labels!$B$2:$B$433,"&lt;&gt;")</f>
        <v>1</v>
      </c>
    </row>
    <row r="326" spans="1:2" x14ac:dyDescent="0.3">
      <c r="A326" s="6" t="str">
        <f ca="1">IFERROR(__xludf.DUMMYFUNCTION("""COMPUTED_VALUE"""),"https://huggingface.co/thibaud/controlnet-openpose-sdxl-1.0/discussions/4")</f>
        <v>https://huggingface.co/thibaud/controlnet-openpose-sdxl-1.0/discussions/4</v>
      </c>
      <c r="B326" s="1">
        <f ca="1">COUNTIFS(author1_labels!$A$2:$A$433,A326,author1_labels!$B$2:$B$433,"&lt;&gt;")</f>
        <v>1</v>
      </c>
    </row>
    <row r="327" spans="1:2" x14ac:dyDescent="0.3">
      <c r="A327" s="6" t="str">
        <f ca="1">IFERROR(__xludf.DUMMYFUNCTION("""COMPUTED_VALUE"""),"https://huggingface.co/thibaud/controlnet-sd21-openposev2-diffusers/discussions/1")</f>
        <v>https://huggingface.co/thibaud/controlnet-sd21-openposev2-diffusers/discussions/1</v>
      </c>
      <c r="B327" s="1">
        <f ca="1">COUNTIFS(author1_labels!$A$2:$A$433,A327,author1_labels!$B$2:$B$433,"&lt;&gt;")</f>
        <v>1</v>
      </c>
    </row>
    <row r="328" spans="1:2" x14ac:dyDescent="0.3">
      <c r="A328" s="6" t="str">
        <f ca="1">IFERROR(__xludf.DUMMYFUNCTION("""COMPUTED_VALUE"""),"https://huggingface.co/thibaud/controlnet-sd21/discussions/36")</f>
        <v>https://huggingface.co/thibaud/controlnet-sd21/discussions/36</v>
      </c>
      <c r="B328" s="1">
        <f ca="1">COUNTIFS(author1_labels!$A$2:$A$433,A328,author1_labels!$B$2:$B$433,"&lt;&gt;")</f>
        <v>2</v>
      </c>
    </row>
    <row r="329" spans="1:2" x14ac:dyDescent="0.3">
      <c r="A329" s="6" t="str">
        <f ca="1">IFERROR(__xludf.DUMMYFUNCTION("""COMPUTED_VALUE"""),"https://huggingface.co/thibaud/controlnet-sd21/discussions/41")</f>
        <v>https://huggingface.co/thibaud/controlnet-sd21/discussions/41</v>
      </c>
      <c r="B329" s="1">
        <f ca="1">COUNTIFS(author1_labels!$A$2:$A$433,A329,author1_labels!$B$2:$B$433,"&lt;&gt;")</f>
        <v>1</v>
      </c>
    </row>
    <row r="330" spans="1:2" x14ac:dyDescent="0.3">
      <c r="A330" s="6" t="str">
        <f ca="1">IFERROR(__xludf.DUMMYFUNCTION("""COMPUTED_VALUE"""),"https://huggingface.co/THUDM/cogagent-vqa-hf/discussions/1")</f>
        <v>https://huggingface.co/THUDM/cogagent-vqa-hf/discussions/1</v>
      </c>
      <c r="B330" s="1">
        <f ca="1">COUNTIFS(author1_labels!$A$2:$A$433,A330,author1_labels!$B$2:$B$433,"&lt;&gt;")</f>
        <v>1</v>
      </c>
    </row>
    <row r="331" spans="1:2" x14ac:dyDescent="0.3">
      <c r="A331" s="6" t="str">
        <f ca="1">IFERROR(__xludf.DUMMYFUNCTION("""COMPUTED_VALUE"""),"https://huggingface.co/THUDM/cogagent-vqa-hf/discussions/2")</f>
        <v>https://huggingface.co/THUDM/cogagent-vqa-hf/discussions/2</v>
      </c>
      <c r="B331" s="1">
        <f ca="1">COUNTIFS(author1_labels!$A$2:$A$433,A331,author1_labels!$B$2:$B$433,"&lt;&gt;")</f>
        <v>1</v>
      </c>
    </row>
    <row r="332" spans="1:2" x14ac:dyDescent="0.3">
      <c r="A332" s="6" t="str">
        <f ca="1">IFERROR(__xludf.DUMMYFUNCTION("""COMPUTED_VALUE"""),"https://huggingface.co/THUDM/cogvlm-grounding-generalist-hf/discussions/3")</f>
        <v>https://huggingface.co/THUDM/cogvlm-grounding-generalist-hf/discussions/3</v>
      </c>
      <c r="B332" s="1">
        <f ca="1">COUNTIFS(author1_labels!$A$2:$A$433,A332,author1_labels!$B$2:$B$433,"&lt;&gt;")</f>
        <v>2</v>
      </c>
    </row>
    <row r="333" spans="1:2" x14ac:dyDescent="0.3">
      <c r="A333" s="6" t="str">
        <f ca="1">IFERROR(__xludf.DUMMYFUNCTION("""COMPUTED_VALUE"""),"https://huggingface.co/THUDM/visualglm-6b/discussions/1")</f>
        <v>https://huggingface.co/THUDM/visualglm-6b/discussions/1</v>
      </c>
      <c r="B333" s="1">
        <f ca="1">COUNTIFS(author1_labels!$A$2:$A$433,A333,author1_labels!$B$2:$B$433,"&lt;&gt;")</f>
        <v>1</v>
      </c>
    </row>
    <row r="334" spans="1:2" x14ac:dyDescent="0.3">
      <c r="A334" s="6" t="str">
        <f ca="1">IFERROR(__xludf.DUMMYFUNCTION("""COMPUTED_VALUE"""),"https://huggingface.co/tiiuae/falcon-180B-chat/discussions/10")</f>
        <v>https://huggingface.co/tiiuae/falcon-180B-chat/discussions/10</v>
      </c>
      <c r="B334" s="1">
        <f ca="1">COUNTIFS(author1_labels!$A$2:$A$433,A334,author1_labels!$B$2:$B$433,"&lt;&gt;")</f>
        <v>1</v>
      </c>
    </row>
    <row r="335" spans="1:2" x14ac:dyDescent="0.3">
      <c r="A335" s="6" t="str">
        <f ca="1">IFERROR(__xludf.DUMMYFUNCTION("""COMPUTED_VALUE"""),"https://huggingface.co/tiiuae/falcon-180B/discussions/12")</f>
        <v>https://huggingface.co/tiiuae/falcon-180B/discussions/12</v>
      </c>
      <c r="B335" s="1">
        <f ca="1">COUNTIFS(author1_labels!$A$2:$A$433,A335,author1_labels!$B$2:$B$433,"&lt;&gt;")</f>
        <v>2</v>
      </c>
    </row>
    <row r="336" spans="1:2" x14ac:dyDescent="0.3">
      <c r="A336" s="6" t="str">
        <f ca="1">IFERROR(__xludf.DUMMYFUNCTION("""COMPUTED_VALUE"""),"https://huggingface.co/tiiuae/falcon-40b-instruct/discussions/87")</f>
        <v>https://huggingface.co/tiiuae/falcon-40b-instruct/discussions/87</v>
      </c>
      <c r="B336" s="1">
        <f ca="1">COUNTIFS(author1_labels!$A$2:$A$433,A336,author1_labels!$B$2:$B$433,"&lt;&gt;")</f>
        <v>2</v>
      </c>
    </row>
    <row r="337" spans="1:2" x14ac:dyDescent="0.3">
      <c r="A337" s="6" t="str">
        <f ca="1">IFERROR(__xludf.DUMMYFUNCTION("""COMPUTED_VALUE"""),"https://huggingface.co/tiiuae/falcon-40b/discussions/103")</f>
        <v>https://huggingface.co/tiiuae/falcon-40b/discussions/103</v>
      </c>
      <c r="B337" s="1">
        <f ca="1">COUNTIFS(author1_labels!$A$2:$A$433,A337,author1_labels!$B$2:$B$433,"&lt;&gt;")</f>
        <v>2</v>
      </c>
    </row>
    <row r="338" spans="1:2" x14ac:dyDescent="0.3">
      <c r="A338" s="6" t="str">
        <f ca="1">IFERROR(__xludf.DUMMYFUNCTION("""COMPUTED_VALUE"""),"https://huggingface.co/tiiuae/falcon-7b-instruct/discussions/15")</f>
        <v>https://huggingface.co/tiiuae/falcon-7b-instruct/discussions/15</v>
      </c>
      <c r="B338" s="1">
        <f ca="1">COUNTIFS(author1_labels!$A$2:$A$433,A338,author1_labels!$B$2:$B$433,"&lt;&gt;")</f>
        <v>1</v>
      </c>
    </row>
    <row r="339" spans="1:2" x14ac:dyDescent="0.3">
      <c r="A339" s="6" t="str">
        <f ca="1">IFERROR(__xludf.DUMMYFUNCTION("""COMPUTED_VALUE"""),"https://huggingface.co/tiiuae/falcon-7b/discussions/42")</f>
        <v>https://huggingface.co/tiiuae/falcon-7b/discussions/42</v>
      </c>
      <c r="B339" s="1">
        <f ca="1">COUNTIFS(author1_labels!$A$2:$A$433,A339,author1_labels!$B$2:$B$433,"&lt;&gt;")</f>
        <v>1</v>
      </c>
    </row>
    <row r="340" spans="1:2" x14ac:dyDescent="0.3">
      <c r="A340" s="6" t="str">
        <f ca="1">IFERROR(__xludf.DUMMYFUNCTION("""COMPUTED_VALUE"""),"https://huggingface.co/tiiuae/falcon-rw-1b/discussions/8")</f>
        <v>https://huggingface.co/tiiuae/falcon-rw-1b/discussions/8</v>
      </c>
      <c r="B340" s="1">
        <f ca="1">COUNTIFS(author1_labels!$A$2:$A$433,A340,author1_labels!$B$2:$B$433,"&lt;&gt;")</f>
        <v>1</v>
      </c>
    </row>
    <row r="341" spans="1:2" x14ac:dyDescent="0.3">
      <c r="A341" s="6" t="str">
        <f ca="1">IFERROR(__xludf.DUMMYFUNCTION("""COMPUTED_VALUE"""),"https://huggingface.co/timm/eva02_large_patch14_clip_224.merged2b_s4b_b131k/discussions/2")</f>
        <v>https://huggingface.co/timm/eva02_large_patch14_clip_224.merged2b_s4b_b131k/discussions/2</v>
      </c>
      <c r="B341" s="1">
        <f ca="1">COUNTIFS(author1_labels!$A$2:$A$433,A341,author1_labels!$B$2:$B$433,"&lt;&gt;")</f>
        <v>1</v>
      </c>
    </row>
    <row r="342" spans="1:2" x14ac:dyDescent="0.3">
      <c r="A342" s="6" t="str">
        <f ca="1">IFERROR(__xludf.DUMMYFUNCTION("""COMPUTED_VALUE"""),"https://huggingface.co/TinyLlama/TinyLlama-1.1B-Chat-v1.0/discussions/9")</f>
        <v>https://huggingface.co/TinyLlama/TinyLlama-1.1B-Chat-v1.0/discussions/9</v>
      </c>
      <c r="B342" s="1">
        <f ca="1">COUNTIFS(author1_labels!$A$2:$A$433,A342,author1_labels!$B$2:$B$433,"&lt;&gt;")</f>
        <v>1</v>
      </c>
    </row>
    <row r="343" spans="1:2" x14ac:dyDescent="0.3">
      <c r="A343" s="6" t="str">
        <f ca="1">IFERROR(__xludf.DUMMYFUNCTION("""COMPUTED_VALUE"""),"https://huggingface.co/TinyLlama/TinyLlama-1.1B-step-50K-105b/discussions/5")</f>
        <v>https://huggingface.co/TinyLlama/TinyLlama-1.1B-step-50K-105b/discussions/5</v>
      </c>
      <c r="B343" s="1">
        <f ca="1">COUNTIFS(author1_labels!$A$2:$A$433,A343,author1_labels!$B$2:$B$433,"&lt;&gt;")</f>
        <v>1</v>
      </c>
    </row>
    <row r="344" spans="1:2" x14ac:dyDescent="0.3">
      <c r="A344" s="6" t="str">
        <f ca="1">IFERROR(__xludf.DUMMYFUNCTION("""COMPUTED_VALUE"""),"https://huggingface.co/togethercomputer/GPT-JT-6B-v1/discussions/17")</f>
        <v>https://huggingface.co/togethercomputer/GPT-JT-6B-v1/discussions/17</v>
      </c>
      <c r="B344" s="1">
        <f ca="1">COUNTIFS(author1_labels!$A$2:$A$433,A344,author1_labels!$B$2:$B$433,"&lt;&gt;")</f>
        <v>2</v>
      </c>
    </row>
    <row r="345" spans="1:2" x14ac:dyDescent="0.3">
      <c r="A345" s="6" t="str">
        <f ca="1">IFERROR(__xludf.DUMMYFUNCTION("""COMPUTED_VALUE"""),"https://huggingface.co/togethercomputer/GPT-JT-6B-v1/discussions/26")</f>
        <v>https://huggingface.co/togethercomputer/GPT-JT-6B-v1/discussions/26</v>
      </c>
      <c r="B345" s="1">
        <f ca="1">COUNTIFS(author1_labels!$A$2:$A$433,A345,author1_labels!$B$2:$B$433,"&lt;&gt;")</f>
        <v>1</v>
      </c>
    </row>
    <row r="346" spans="1:2" x14ac:dyDescent="0.3">
      <c r="A346" s="6" t="str">
        <f ca="1">IFERROR(__xludf.DUMMYFUNCTION("""COMPUTED_VALUE"""),"https://huggingface.co/togethercomputer/m2-bert-80M-8k-retrieval/discussions/6")</f>
        <v>https://huggingface.co/togethercomputer/m2-bert-80M-8k-retrieval/discussions/6</v>
      </c>
      <c r="B346" s="1">
        <f ca="1">COUNTIFS(author1_labels!$A$2:$A$433,A346,author1_labels!$B$2:$B$433,"&lt;&gt;")</f>
        <v>1</v>
      </c>
    </row>
    <row r="347" spans="1:2" x14ac:dyDescent="0.3">
      <c r="A347" s="6" t="str">
        <f ca="1">IFERROR(__xludf.DUMMYFUNCTION("""COMPUTED_VALUE"""),"https://huggingface.co/togethercomputer/RedPajama-INCITE-7B-Base/discussions/6")</f>
        <v>https://huggingface.co/togethercomputer/RedPajama-INCITE-7B-Base/discussions/6</v>
      </c>
      <c r="B347" s="1">
        <f ca="1">COUNTIFS(author1_labels!$A$2:$A$433,A347,author1_labels!$B$2:$B$433,"&lt;&gt;")</f>
        <v>1</v>
      </c>
    </row>
    <row r="348" spans="1:2" x14ac:dyDescent="0.3">
      <c r="A348" s="6" t="str">
        <f ca="1">IFERROR(__xludf.DUMMYFUNCTION("""COMPUTED_VALUE"""),"https://huggingface.co/Tonic/mistralmed/discussions/4")</f>
        <v>https://huggingface.co/Tonic/mistralmed/discussions/4</v>
      </c>
      <c r="B348" s="1">
        <f ca="1">COUNTIFS(author1_labels!$A$2:$A$433,A348,author1_labels!$B$2:$B$433,"&lt;&gt;")</f>
        <v>1</v>
      </c>
    </row>
    <row r="349" spans="1:2" x14ac:dyDescent="0.3">
      <c r="A349" s="6" t="str">
        <f ca="1">IFERROR(__xludf.DUMMYFUNCTION("""COMPUTED_VALUE"""),"https://huggingface.co/Trelis/Llama-2-7b-chat-hf-hosted-inference-8bit/discussions/3")</f>
        <v>https://huggingface.co/Trelis/Llama-2-7b-chat-hf-hosted-inference-8bit/discussions/3</v>
      </c>
      <c r="B349" s="1">
        <f ca="1">COUNTIFS(author1_labels!$A$2:$A$433,A349,author1_labels!$B$2:$B$433,"&lt;&gt;")</f>
        <v>1</v>
      </c>
    </row>
    <row r="350" spans="1:2" x14ac:dyDescent="0.3">
      <c r="A350" s="6" t="str">
        <f ca="1">IFERROR(__xludf.DUMMYFUNCTION("""COMPUTED_VALUE"""),"https://huggingface.co/TriadParty/Deepsword-34B-Base/discussions/4")</f>
        <v>https://huggingface.co/TriadParty/Deepsword-34B-Base/discussions/4</v>
      </c>
      <c r="B350" s="1">
        <f ca="1">COUNTIFS(author1_labels!$A$2:$A$433,A350,author1_labels!$B$2:$B$433,"&lt;&gt;")</f>
        <v>1</v>
      </c>
    </row>
    <row r="351" spans="1:2" x14ac:dyDescent="0.3">
      <c r="A351" s="6" t="str">
        <f ca="1">IFERROR(__xludf.DUMMYFUNCTION("""COMPUTED_VALUE"""),"https://huggingface.co/tuner007/pegasus_paraphrase/discussions/12")</f>
        <v>https://huggingface.co/tuner007/pegasus_paraphrase/discussions/12</v>
      </c>
      <c r="B351" s="1">
        <f ca="1">COUNTIFS(author1_labels!$A$2:$A$433,A351,author1_labels!$B$2:$B$433,"&lt;&gt;")</f>
        <v>1</v>
      </c>
    </row>
    <row r="352" spans="1:2" x14ac:dyDescent="0.3">
      <c r="A352" s="6" t="str">
        <f ca="1">IFERROR(__xludf.DUMMYFUNCTION("""COMPUTED_VALUE"""),"https://huggingface.co/TurkuNLP/gpt3-finnish-13B/discussions/1")</f>
        <v>https://huggingface.co/TurkuNLP/gpt3-finnish-13B/discussions/1</v>
      </c>
      <c r="B352" s="1">
        <f ca="1">COUNTIFS(author1_labels!$A$2:$A$433,A352,author1_labels!$B$2:$B$433,"&lt;&gt;")</f>
        <v>1</v>
      </c>
    </row>
    <row r="353" spans="1:2" x14ac:dyDescent="0.3">
      <c r="A353" s="6" t="str">
        <f ca="1">IFERROR(__xludf.DUMMYFUNCTION("""COMPUTED_VALUE"""),"https://huggingface.co/uklfr/gottbert-base/discussions/2")</f>
        <v>https://huggingface.co/uklfr/gottbert-base/discussions/2</v>
      </c>
      <c r="B353" s="1">
        <f ca="1">COUNTIFS(author1_labels!$A$2:$A$433,A353,author1_labels!$B$2:$B$433,"&lt;&gt;")</f>
        <v>1</v>
      </c>
    </row>
    <row r="354" spans="1:2" x14ac:dyDescent="0.3">
      <c r="A354" s="6" t="str">
        <f ca="1">IFERROR(__xludf.DUMMYFUNCTION("""COMPUTED_VALUE"""),"https://huggingface.co/Undi95/ReMM-L2-13B-v1/discussions/1")</f>
        <v>https://huggingface.co/Undi95/ReMM-L2-13B-v1/discussions/1</v>
      </c>
      <c r="B354" s="1">
        <f ca="1">COUNTIFS(author1_labels!$A$2:$A$433,A354,author1_labels!$B$2:$B$433,"&lt;&gt;")</f>
        <v>1</v>
      </c>
    </row>
    <row r="355" spans="1:2" x14ac:dyDescent="0.3">
      <c r="A355" s="6" t="str">
        <f ca="1">IFERROR(__xludf.DUMMYFUNCTION("""COMPUTED_VALUE"""),"https://huggingface.co/Undi95/Unholy-v2-13B/discussions/1")</f>
        <v>https://huggingface.co/Undi95/Unholy-v2-13B/discussions/1</v>
      </c>
      <c r="B355" s="1">
        <f ca="1">COUNTIFS(author1_labels!$A$2:$A$433,A355,author1_labels!$B$2:$B$433,"&lt;&gt;")</f>
        <v>1</v>
      </c>
    </row>
    <row r="356" spans="1:2" x14ac:dyDescent="0.3">
      <c r="A356" s="6" t="str">
        <f ca="1">IFERROR(__xludf.DUMMYFUNCTION("""COMPUTED_VALUE"""),"https://huggingface.co/unitary/toxic-bert/discussions/3")</f>
        <v>https://huggingface.co/unitary/toxic-bert/discussions/3</v>
      </c>
      <c r="B356" s="1">
        <f ca="1">COUNTIFS(author1_labels!$A$2:$A$433,A356,author1_labels!$B$2:$B$433,"&lt;&gt;")</f>
        <v>1</v>
      </c>
    </row>
    <row r="357" spans="1:2" x14ac:dyDescent="0.3">
      <c r="A357" s="6" t="str">
        <f ca="1">IFERROR(__xludf.DUMMYFUNCTION("""COMPUTED_VALUE"""),"https://huggingface.co/upstage/llama-30b-instruct-2048/discussions/6")</f>
        <v>https://huggingface.co/upstage/llama-30b-instruct-2048/discussions/6</v>
      </c>
      <c r="B357" s="1">
        <f ca="1">COUNTIFS(author1_labels!$A$2:$A$433,A357,author1_labels!$B$2:$B$433,"&lt;&gt;")</f>
        <v>2</v>
      </c>
    </row>
    <row r="358" spans="1:2" x14ac:dyDescent="0.3">
      <c r="A358" s="6" t="str">
        <f ca="1">IFERROR(__xludf.DUMMYFUNCTION("""COMPUTED_VALUE"""),"https://huggingface.co/uukuguy/speechless-llama2-hermes-orca-platypus-wizardlm-13b/discussions/1")</f>
        <v>https://huggingface.co/uukuguy/speechless-llama2-hermes-orca-platypus-wizardlm-13b/discussions/1</v>
      </c>
      <c r="B358" s="1">
        <f ca="1">COUNTIFS(author1_labels!$A$2:$A$433,A358,author1_labels!$B$2:$B$433,"&lt;&gt;")</f>
        <v>1</v>
      </c>
    </row>
    <row r="359" spans="1:2" x14ac:dyDescent="0.3">
      <c r="A359" s="6" t="str">
        <f ca="1">IFERROR(__xludf.DUMMYFUNCTION("""COMPUTED_VALUE"""),"https://huggingface.co/VAGOsolutions/SauerkrautLM-SOLAR-Instruct/discussions/1")</f>
        <v>https://huggingface.co/VAGOsolutions/SauerkrautLM-SOLAR-Instruct/discussions/1</v>
      </c>
      <c r="B359" s="1">
        <f ca="1">COUNTIFS(author1_labels!$A$2:$A$433,A359,author1_labels!$B$2:$B$433,"&lt;&gt;")</f>
        <v>1</v>
      </c>
    </row>
    <row r="360" spans="1:2" x14ac:dyDescent="0.3">
      <c r="A360" s="6" t="str">
        <f ca="1">IFERROR(__xludf.DUMMYFUNCTION("""COMPUTED_VALUE"""),"https://huggingface.co/VietnamAIHub/LLaMA2_Vietnamese_Medical_SFT_13B/discussions/1")</f>
        <v>https://huggingface.co/VietnamAIHub/LLaMA2_Vietnamese_Medical_SFT_13B/discussions/1</v>
      </c>
      <c r="B360" s="1">
        <f ca="1">COUNTIFS(author1_labels!$A$2:$A$433,A360,author1_labels!$B$2:$B$433,"&lt;&gt;")</f>
        <v>1</v>
      </c>
    </row>
    <row r="361" spans="1:2" x14ac:dyDescent="0.3">
      <c r="A361" s="6" t="str">
        <f ca="1">IFERROR(__xludf.DUMMYFUNCTION("""COMPUTED_VALUE"""),"https://huggingface.co/vllab/controlnet-hands/discussions/3")</f>
        <v>https://huggingface.co/vllab/controlnet-hands/discussions/3</v>
      </c>
      <c r="B361" s="1">
        <f ca="1">COUNTIFS(author1_labels!$A$2:$A$433,A361,author1_labels!$B$2:$B$433,"&lt;&gt;")</f>
        <v>2</v>
      </c>
    </row>
    <row r="362" spans="1:2" x14ac:dyDescent="0.3">
      <c r="A362" s="6" t="str">
        <f ca="1">IFERROR(__xludf.DUMMYFUNCTION("""COMPUTED_VALUE"""),"https://huggingface.co/WarriorMama777/OrangeMixs/discussions/32")</f>
        <v>https://huggingface.co/WarriorMama777/OrangeMixs/discussions/32</v>
      </c>
      <c r="B362" s="1">
        <f ca="1">COUNTIFS(author1_labels!$A$2:$A$433,A362,author1_labels!$B$2:$B$433,"&lt;&gt;")</f>
        <v>1</v>
      </c>
    </row>
    <row r="363" spans="1:2" x14ac:dyDescent="0.3">
      <c r="A363" s="6" t="str">
        <f ca="1">IFERROR(__xludf.DUMMYFUNCTION("""COMPUTED_VALUE"""),"https://huggingface.co/WarriorMama777/OrangeMixs/discussions/68")</f>
        <v>https://huggingface.co/WarriorMama777/OrangeMixs/discussions/68</v>
      </c>
      <c r="B363" s="1">
        <f ca="1">COUNTIFS(author1_labels!$A$2:$A$433,A363,author1_labels!$B$2:$B$433,"&lt;&gt;")</f>
        <v>1</v>
      </c>
    </row>
    <row r="364" spans="1:2" x14ac:dyDescent="0.3">
      <c r="A364" s="6" t="str">
        <f ca="1">IFERROR(__xludf.DUMMYFUNCTION("""COMPUTED_VALUE"""),"https://huggingface.co/WarriorMama777/OrangeMixs/discussions/7")</f>
        <v>https://huggingface.co/WarriorMama777/OrangeMixs/discussions/7</v>
      </c>
      <c r="B364" s="1">
        <f ca="1">COUNTIFS(author1_labels!$A$2:$A$433,A364,author1_labels!$B$2:$B$433,"&lt;&gt;")</f>
        <v>1</v>
      </c>
    </row>
    <row r="365" spans="1:2" x14ac:dyDescent="0.3">
      <c r="A365" s="6" t="str">
        <f ca="1">IFERROR(__xludf.DUMMYFUNCTION("""COMPUTED_VALUE"""),"https://huggingface.co/WarriorMama777/OrangeMixs/discussions/81")</f>
        <v>https://huggingface.co/WarriorMama777/OrangeMixs/discussions/81</v>
      </c>
      <c r="B365" s="1">
        <f ca="1">COUNTIFS(author1_labels!$A$2:$A$433,A365,author1_labels!$B$2:$B$433,"&lt;&gt;")</f>
        <v>1</v>
      </c>
    </row>
    <row r="366" spans="1:2" x14ac:dyDescent="0.3">
      <c r="A366" s="6" t="str">
        <f ca="1">IFERROR(__xludf.DUMMYFUNCTION("""COMPUTED_VALUE"""),"https://huggingface.co/WizardLM/WizardCoder-15B-V1.0/discussions/4")</f>
        <v>https://huggingface.co/WizardLM/WizardCoder-15B-V1.0/discussions/4</v>
      </c>
      <c r="B366" s="1">
        <f ca="1">COUNTIFS(author1_labels!$A$2:$A$433,A366,author1_labels!$B$2:$B$433,"&lt;&gt;")</f>
        <v>1</v>
      </c>
    </row>
    <row r="367" spans="1:2" x14ac:dyDescent="0.3">
      <c r="A367" s="6" t="str">
        <f ca="1">IFERROR(__xludf.DUMMYFUNCTION("""COMPUTED_VALUE"""),"https://huggingface.co/WizardLM/WizardCoder-Python-34B-V1.0/discussions/25")</f>
        <v>https://huggingface.co/WizardLM/WizardCoder-Python-34B-V1.0/discussions/25</v>
      </c>
      <c r="B367" s="1">
        <f ca="1">COUNTIFS(author1_labels!$A$2:$A$433,A367,author1_labels!$B$2:$B$433,"&lt;&gt;")</f>
        <v>1</v>
      </c>
    </row>
    <row r="368" spans="1:2" x14ac:dyDescent="0.3">
      <c r="A368" s="6" t="str">
        <f ca="1">IFERROR(__xludf.DUMMYFUNCTION("""COMPUTED_VALUE"""),"https://huggingface.co/WizardLM/WizardLM-30B-V1.0/discussions/2")</f>
        <v>https://huggingface.co/WizardLM/WizardLM-30B-V1.0/discussions/2</v>
      </c>
      <c r="B368" s="1">
        <f ca="1">COUNTIFS(author1_labels!$A$2:$A$433,A368,author1_labels!$B$2:$B$433,"&lt;&gt;")</f>
        <v>1</v>
      </c>
    </row>
    <row r="369" spans="1:2" x14ac:dyDescent="0.3">
      <c r="A369" s="6" t="str">
        <f ca="1">IFERROR(__xludf.DUMMYFUNCTION("""COMPUTED_VALUE"""),"https://huggingface.co/wojtab/llava-7b-v0-4bit-128g/discussions/2")</f>
        <v>https://huggingface.co/wojtab/llava-7b-v0-4bit-128g/discussions/2</v>
      </c>
      <c r="B369" s="1">
        <f ca="1">COUNTIFS(author1_labels!$A$2:$A$433,A369,author1_labels!$B$2:$B$433,"&lt;&gt;")</f>
        <v>1</v>
      </c>
    </row>
    <row r="370" spans="1:2" x14ac:dyDescent="0.3">
      <c r="A370" s="6" t="str">
        <f ca="1">IFERROR(__xludf.DUMMYFUNCTION("""COMPUTED_VALUE"""),"https://huggingface.co/wukevin/tcr-bert/discussions/2")</f>
        <v>https://huggingface.co/wukevin/tcr-bert/discussions/2</v>
      </c>
      <c r="B370" s="1">
        <f ca="1">COUNTIFS(author1_labels!$A$2:$A$433,A370,author1_labels!$B$2:$B$433,"&lt;&gt;")</f>
        <v>1</v>
      </c>
    </row>
    <row r="371" spans="1:2" x14ac:dyDescent="0.3">
      <c r="A371" s="6" t="str">
        <f ca="1">IFERROR(__xludf.DUMMYFUNCTION("""COMPUTED_VALUE"""),"https://huggingface.co/ycros/airoboros-65b-gpt4-1.4.1-PI-8192-4bit-32g-actorder/discussions/1")</f>
        <v>https://huggingface.co/ycros/airoboros-65b-gpt4-1.4.1-PI-8192-4bit-32g-actorder/discussions/1</v>
      </c>
      <c r="B371" s="1">
        <f ca="1">COUNTIFS(author1_labels!$A$2:$A$433,A371,author1_labels!$B$2:$B$433,"&lt;&gt;")</f>
        <v>1</v>
      </c>
    </row>
    <row r="372" spans="1:2" x14ac:dyDescent="0.3">
      <c r="A372" s="6" t="str">
        <f ca="1">IFERROR(__xludf.DUMMYFUNCTION("""COMPUTED_VALUE"""),"https://huggingface.co/Yukang/Llama-2-70b-chat-longlora-32k-sft/discussions/2")</f>
        <v>https://huggingface.co/Yukang/Llama-2-70b-chat-longlora-32k-sft/discussions/2</v>
      </c>
      <c r="B372" s="1">
        <f ca="1">COUNTIFS(author1_labels!$A$2:$A$433,A372,author1_labels!$B$2:$B$433,"&lt;&gt;")</f>
        <v>1</v>
      </c>
    </row>
    <row r="373" spans="1:2" x14ac:dyDescent="0.3">
      <c r="A373" s="6" t="str">
        <f ca="1">IFERROR(__xludf.DUMMYFUNCTION("""COMPUTED_VALUE"""),"https://huggingface.co/zaq-hack/Noromaid-v0.4-Mixtral-Instruct-8x7b-Zloss-bpw300-h6-exl2/discussions/2")</f>
        <v>https://huggingface.co/zaq-hack/Noromaid-v0.4-Mixtral-Instruct-8x7b-Zloss-bpw300-h6-exl2/discussions/2</v>
      </c>
      <c r="B373" s="1">
        <f ca="1">COUNTIFS(author1_labels!$A$2:$A$433,A373,author1_labels!$B$2:$B$433,"&lt;&gt;")</f>
        <v>1</v>
      </c>
    </row>
    <row r="374" spans="1:2" x14ac:dyDescent="0.3">
      <c r="A374" s="6" t="str">
        <f ca="1">IFERROR(__xludf.DUMMYFUNCTION("""COMPUTED_VALUE"""),"https://huggingface.co/zarakiquemparte/zarablend-1.1-l2-7b/discussions/1")</f>
        <v>https://huggingface.co/zarakiquemparte/zarablend-1.1-l2-7b/discussions/1</v>
      </c>
      <c r="B374" s="1">
        <f ca="1">COUNTIFS(author1_labels!$A$2:$A$433,A374,author1_labels!$B$2:$B$433,"&lt;&gt;")</f>
        <v>1</v>
      </c>
    </row>
  </sheetData>
  <autoFilter ref="A2:F374" xr:uid="{00000000-0009-0000-0000-000003000000}"/>
  <hyperlinks>
    <hyperlink ref="A4" r:id="rId1" display="https://huggingface.co/01-ai/Yi-34B/discussions/8" xr:uid="{00000000-0004-0000-0300-000000000000}"/>
    <hyperlink ref="A5" r:id="rId2" display="https://huggingface.co/Abirate/gpt_3_finetuned_multi_x_science/discussions/1" xr:uid="{00000000-0004-0000-0300-000001000000}"/>
    <hyperlink ref="A6" r:id="rId3" display="https://huggingface.co/adept/fuyu-8b/discussions/35" xr:uid="{00000000-0004-0000-0300-000002000000}"/>
    <hyperlink ref="A7" r:id="rId4" display="https://huggingface.co/adept/fuyu-8b/discussions/46" xr:uid="{00000000-0004-0000-0300-000003000000}"/>
    <hyperlink ref="A8" r:id="rId5" display="https://huggingface.co/ahmedrachid/FinancialBERT-Sentiment-Analysis/discussions/4" xr:uid="{00000000-0004-0000-0300-000004000000}"/>
    <hyperlink ref="A9" r:id="rId6" display="https://huggingface.co/ai4bharat/indic-bert/discussions/2" xr:uid="{00000000-0004-0000-0300-000005000000}"/>
    <hyperlink ref="A10" r:id="rId7" display="https://huggingface.co/anon8231489123/gpt4-x-alpaca-13b-native-4bit-128g/discussions/12" xr:uid="{00000000-0004-0000-0300-000006000000}"/>
    <hyperlink ref="A11" r:id="rId8" display="https://huggingface.co/anon8231489123/gpt4-x-alpaca-13b-native-4bit-128g/discussions/36" xr:uid="{00000000-0004-0000-0300-000007000000}"/>
    <hyperlink ref="A12" r:id="rId9" display="https://huggingface.co/anon8231489123/vicuna-13b-GPTQ-4bit-128g/discussions/47" xr:uid="{00000000-0004-0000-0300-000008000000}"/>
    <hyperlink ref="A13" r:id="rId10" display="https://huggingface.co/artificialguybr/OpenHermesV2-PTBR/discussions/2" xr:uid="{00000000-0004-0000-0300-000009000000}"/>
    <hyperlink ref="A14" r:id="rId11" display="https://huggingface.co/athirdpath/Iambe-20b-DARE/discussions/1" xr:uid="{00000000-0004-0000-0300-00000A000000}"/>
    <hyperlink ref="A15" r:id="rId12" display="https://huggingface.co/BAAI/bge-reranker-large/discussions/7" xr:uid="{00000000-0004-0000-0300-00000B000000}"/>
    <hyperlink ref="A16" r:id="rId13" display="https://huggingface.co/baichuan-inc/Baichuan2-13B-Chat/discussions/26" xr:uid="{00000000-0004-0000-0300-00000C000000}"/>
    <hyperlink ref="A17" r:id="rId14" display="https://huggingface.co/benjamin/roberta-base-wechsel-german/discussions/1" xr:uid="{00000000-0004-0000-0300-00000D000000}"/>
    <hyperlink ref="A18" r:id="rId15" display="https://huggingface.co/berkeley-nest/Starling-LM-7B-alpha/discussions/26" xr:uid="{00000000-0004-0000-0300-00000E000000}"/>
    <hyperlink ref="A19" r:id="rId16" display="https://huggingface.co/berker/vicuna-13B-1.1-GPTQ-3bit-128g-v2/discussions/1" xr:uid="{00000000-0004-0000-0300-00000F000000}"/>
    <hyperlink ref="A20" r:id="rId17" display="https://huggingface.co/bert-base-uncased/discussions/6" xr:uid="{00000000-0004-0000-0300-000010000000}"/>
    <hyperlink ref="A21" r:id="rId18" display="https://huggingface.co/BertChristiaens/controlnet-seg-room/discussions/5" xr:uid="{00000000-0004-0000-0300-000011000000}"/>
    <hyperlink ref="A22" r:id="rId19" display="https://huggingface.co/bhenrym14/airoboros-33b-gpt4-1.4.1-PI-8192-GPTQ/discussions/2" xr:uid="{00000000-0004-0000-0300-000012000000}"/>
    <hyperlink ref="A23" r:id="rId20" display="https://huggingface.co/bigcode/santacoder/discussions/10" xr:uid="{00000000-0004-0000-0300-000013000000}"/>
    <hyperlink ref="A24" r:id="rId21" display="https://huggingface.co/bigcode/starcoder/discussions/102" xr:uid="{00000000-0004-0000-0300-000014000000}"/>
    <hyperlink ref="A25" r:id="rId22" display="https://huggingface.co/bigcode/starcoder/discussions/43" xr:uid="{00000000-0004-0000-0300-000015000000}"/>
    <hyperlink ref="A26" r:id="rId23" display="https://huggingface.co/bigcode/starcoder/discussions/49" xr:uid="{00000000-0004-0000-0300-000016000000}"/>
    <hyperlink ref="A27" r:id="rId24" display="https://huggingface.co/bigcode/starcoder/discussions/74" xr:uid="{00000000-0004-0000-0300-000017000000}"/>
    <hyperlink ref="A28" r:id="rId25" display="https://huggingface.co/bigcode/starcoder/discussions/79" xr:uid="{00000000-0004-0000-0300-000018000000}"/>
    <hyperlink ref="A29" r:id="rId26" display="https://huggingface.co/bigcode/starcoder/discussions/80" xr:uid="{00000000-0004-0000-0300-000019000000}"/>
    <hyperlink ref="A30" r:id="rId27" display="https://huggingface.co/bigcode/starcoderbase/discussions/10" xr:uid="{00000000-0004-0000-0300-00001A000000}"/>
    <hyperlink ref="A31" r:id="rId28" display="https://huggingface.co/bigscience/bloom-1b7/discussions/37" xr:uid="{00000000-0004-0000-0300-00001B000000}"/>
    <hyperlink ref="A32" r:id="rId29" display="https://huggingface.co/bigscience/bloom-560m/discussions/13" xr:uid="{00000000-0004-0000-0300-00001C000000}"/>
    <hyperlink ref="A33" r:id="rId30" display="https://huggingface.co/bigscience/bloom/discussions/209" xr:uid="{00000000-0004-0000-0300-00001D000000}"/>
    <hyperlink ref="A34" r:id="rId31" display="https://huggingface.co/bigscience/bloom/discussions/80" xr:uid="{00000000-0004-0000-0300-00001E000000}"/>
    <hyperlink ref="A35" r:id="rId32" display="https://huggingface.co/bigscience/bloom/discussions/83" xr:uid="{00000000-0004-0000-0300-00001F000000}"/>
    <hyperlink ref="A36" r:id="rId33" display="https://huggingface.co/bigscience/bloom/discussions/91" xr:uid="{00000000-0004-0000-0300-000020000000}"/>
    <hyperlink ref="A37" r:id="rId34" display="https://huggingface.co/bigscience/bloomz/discussions/38" xr:uid="{00000000-0004-0000-0300-000021000000}"/>
    <hyperlink ref="A38" r:id="rId35" display="https://huggingface.co/bigscience/bloomz/discussions/42" xr:uid="{00000000-0004-0000-0300-000022000000}"/>
    <hyperlink ref="A39" r:id="rId36" display="https://huggingface.co/bigscience/bloomz/discussions/44" xr:uid="{00000000-0004-0000-0300-000023000000}"/>
    <hyperlink ref="A40" r:id="rId37" display="https://huggingface.co/bigscience/mt0-small/discussions/5" xr:uid="{00000000-0004-0000-0300-000024000000}"/>
    <hyperlink ref="A41" r:id="rId38" display="https://huggingface.co/camenduru/potat1/discussions/6" xr:uid="{00000000-0004-0000-0300-000025000000}"/>
    <hyperlink ref="A42" r:id="rId39" display="https://huggingface.co/CausalLM/72B-preview-llamafied-qwen-llamafy/discussions/1" xr:uid="{00000000-0004-0000-0300-000026000000}"/>
    <hyperlink ref="A43" r:id="rId40" display="https://huggingface.co/cerspense/zeroscope_v2_576w/discussions/3" xr:uid="{00000000-0004-0000-0300-000027000000}"/>
    <hyperlink ref="A44" r:id="rId41" display="https://huggingface.co/cerspense/zeroscope_v2_XL/discussions/11" xr:uid="{00000000-0004-0000-0300-000028000000}"/>
    <hyperlink ref="A45" r:id="rId42" display="https://huggingface.co/cloudyu/Mixtral_7Bx4_MOE_24B/discussions/1" xr:uid="{00000000-0004-0000-0300-000029000000}"/>
    <hyperlink ref="A46" r:id="rId43" display="https://huggingface.co/CobraMamba/mamba-gpt-3b-v3/discussions/4" xr:uid="{00000000-0004-0000-0300-00002A000000}"/>
    <hyperlink ref="A47" r:id="rId44" display="https://huggingface.co/codellama/CodeLlama-34b-Instruct-hf/discussions/12" xr:uid="{00000000-0004-0000-0300-00002B000000}"/>
    <hyperlink ref="A48" r:id="rId45" display="https://huggingface.co/codellama/CodeLlama-34b-Instruct-hf/discussions/16" xr:uid="{00000000-0004-0000-0300-00002C000000}"/>
    <hyperlink ref="A49" r:id="rId46" display="https://huggingface.co/CodeNLP/pdn2_v08_kpwr_ner_n82/discussions/1" xr:uid="{00000000-0004-0000-0300-00002D000000}"/>
    <hyperlink ref="A50" r:id="rId47" display="https://huggingface.co/cognitivecomputations/dolphin-2.2-mistral-7b/discussions/1" xr:uid="{00000000-0004-0000-0300-00002E000000}"/>
    <hyperlink ref="A51" r:id="rId48" display="https://huggingface.co/cognitivecomputations/dolphin-2.5-mixtral-8x7b/discussions/10" xr:uid="{00000000-0004-0000-0300-00002F000000}"/>
    <hyperlink ref="A52" r:id="rId49" display="https://huggingface.co/cognitivecomputations/WizardLM-7B-Uncensored/discussions/15" xr:uid="{00000000-0004-0000-0300-000030000000}"/>
    <hyperlink ref="A53" r:id="rId50" display="https://huggingface.co/CompVis/stable-diffusion-v1-4/discussions/19" xr:uid="{00000000-0004-0000-0300-000031000000}"/>
    <hyperlink ref="A54" r:id="rId51" display="https://huggingface.co/CompVis/stable-diffusion-v1-4/discussions/26" xr:uid="{00000000-0004-0000-0300-000032000000}"/>
    <hyperlink ref="A55" r:id="rId52" display="https://huggingface.co/CompVis/stable-diffusion-v1-4/discussions/86" xr:uid="{00000000-0004-0000-0300-000033000000}"/>
    <hyperlink ref="A56" r:id="rId53" display="https://huggingface.co/coqui/XTTS-v2/discussions/27" xr:uid="{00000000-0004-0000-0300-000034000000}"/>
    <hyperlink ref="A57" r:id="rId54" display="https://huggingface.co/core42/jais-13b-chat/discussions/11" xr:uid="{00000000-0004-0000-0300-000035000000}"/>
    <hyperlink ref="A58" r:id="rId55" display="https://huggingface.co/coreml-projects/Llama-2-7b-chat-coreml/discussions/6" xr:uid="{00000000-0004-0000-0300-000036000000}"/>
    <hyperlink ref="A59" r:id="rId56" display="https://huggingface.co/ctheodoris/Geneformer/discussions/101" xr:uid="{00000000-0004-0000-0300-000037000000}"/>
    <hyperlink ref="A60" r:id="rId57" display="https://huggingface.co/ctheodoris/Geneformer/discussions/207" xr:uid="{00000000-0004-0000-0300-000038000000}"/>
    <hyperlink ref="A61" r:id="rId58" display="https://huggingface.co/ctheodoris/Geneformer/discussions/232" xr:uid="{00000000-0004-0000-0300-000039000000}"/>
    <hyperlink ref="A62" r:id="rId59" display="https://huggingface.co/ctheodoris/Geneformer/discussions/25" xr:uid="{00000000-0004-0000-0300-00003A000000}"/>
    <hyperlink ref="A63" r:id="rId60" display="https://huggingface.co/ctheodoris/Geneformer/discussions/35" xr:uid="{00000000-0004-0000-0300-00003B000000}"/>
    <hyperlink ref="A64" r:id="rId61" display="https://huggingface.co/ctheodoris/Geneformer/discussions/59" xr:uid="{00000000-0004-0000-0300-00003C000000}"/>
    <hyperlink ref="A65" r:id="rId62" display="https://huggingface.co/ctheodoris/Geneformer/discussions/91" xr:uid="{00000000-0004-0000-0300-00003D000000}"/>
    <hyperlink ref="A66" r:id="rId63" display="https://huggingface.co/d4data/biomedical-ner-all/discussions/6" xr:uid="{00000000-0004-0000-0300-00003E000000}"/>
    <hyperlink ref="A67" r:id="rId64" display="https://huggingface.co/dandelin/vilt-b32-finetuned-nlvr2/discussions/1" xr:uid="{00000000-0004-0000-0300-00003F000000}"/>
    <hyperlink ref="A68" r:id="rId65" display="https://huggingface.co/darkstorm2150/Protogen_v2.2_Official_Release/discussions/14" xr:uid="{00000000-0004-0000-0300-000040000000}"/>
    <hyperlink ref="A69" r:id="rId66" display="https://huggingface.co/darkstorm2150/Protogen_x3.4_Official_Release/discussions/13" xr:uid="{00000000-0004-0000-0300-000041000000}"/>
    <hyperlink ref="A70" r:id="rId67" display="https://huggingface.co/databricks/dolly-v2-12b/discussions/24" xr:uid="{00000000-0004-0000-0300-000042000000}"/>
    <hyperlink ref="A71" r:id="rId68" display="https://huggingface.co/databricks/dolly-v2-3b/discussions/15" xr:uid="{00000000-0004-0000-0300-000043000000}"/>
    <hyperlink ref="A72" r:id="rId69" display="https://huggingface.co/databricks/dolly-v2-7b/discussions/5" xr:uid="{00000000-0004-0000-0300-000044000000}"/>
    <hyperlink ref="A73" r:id="rId70" display="https://huggingface.co/davidkim205/komt-mistral-7b-v1-dpo/discussions/2" xr:uid="{00000000-0004-0000-0300-000045000000}"/>
    <hyperlink ref="A74" r:id="rId71" display="https://huggingface.co/Davlan/bert-base-multilingual-cased-ner-hrl/discussions/4" xr:uid="{00000000-0004-0000-0300-000046000000}"/>
    <hyperlink ref="A75" r:id="rId72" display="https://huggingface.co/deepseek-ai/deepseek-coder-33b-instruct/discussions/4" xr:uid="{00000000-0004-0000-0300-000047000000}"/>
    <hyperlink ref="A76" r:id="rId73" display="https://huggingface.co/deepseek-ai/deepseek-llm-67b-chat/discussions/3" xr:uid="{00000000-0004-0000-0300-000048000000}"/>
    <hyperlink ref="A77" r:id="rId74" display="https://huggingface.co/deepset/xlm-roberta-large-squad2/discussions/6" xr:uid="{00000000-0004-0000-0300-000049000000}"/>
    <hyperlink ref="A78" r:id="rId75" display="https://huggingface.co/dennlinger/bert-wiki-paragraphs/discussions/1" xr:uid="{00000000-0004-0000-0300-00004A000000}"/>
    <hyperlink ref="A79" r:id="rId76" display="https://huggingface.co/diffusers/controlnet-canny-sdxl-1.0/discussions/21" xr:uid="{00000000-0004-0000-0300-00004B000000}"/>
    <hyperlink ref="A80" r:id="rId77" display="https://huggingface.co/diffusers/controlnet-canny-sdxl-1.0/discussions/30" xr:uid="{00000000-0004-0000-0300-00004C000000}"/>
    <hyperlink ref="A81" r:id="rId78" display="https://huggingface.co/distilbert-base-uncased/discussions/2" xr:uid="{00000000-0004-0000-0300-00004D000000}"/>
    <hyperlink ref="A82" r:id="rId79" display="https://huggingface.co/dmis-lab/biobert-v1.1/discussions/6" xr:uid="{00000000-0004-0000-0300-00004E000000}"/>
    <hyperlink ref="A83" r:id="rId80" display="https://huggingface.co/dominguesm/positive-reframing-ptbr/discussions/1" xr:uid="{00000000-0004-0000-0300-00004F000000}"/>
    <hyperlink ref="A84" r:id="rId81" display="https://huggingface.co/DucHaiten/DucHaitenAIart/discussions/15" xr:uid="{00000000-0004-0000-0300-000050000000}"/>
    <hyperlink ref="A85" r:id="rId82" display="https://huggingface.co/Edresson/wav2vec2-large-xlsr-coraa-portuguese/discussions/1" xr:uid="{00000000-0004-0000-0300-000051000000}"/>
    <hyperlink ref="A86" r:id="rId83" display="https://huggingface.co/ehcalabres/wav2vec2-lg-xlsr-en-speech-emotion-recognition/discussions/4" xr:uid="{00000000-0004-0000-0300-000052000000}"/>
    <hyperlink ref="A87" r:id="rId84" display="https://huggingface.co/EleutherAI/gpt-neox-20b/discussions/11" xr:uid="{00000000-0004-0000-0300-000053000000}"/>
    <hyperlink ref="A88" r:id="rId85" display="https://huggingface.co/EleutherAI/gpt-neox-20b/discussions/15" xr:uid="{00000000-0004-0000-0300-000054000000}"/>
    <hyperlink ref="A89" r:id="rId86" display="https://huggingface.co/EleutherAI/polyglot-ko-1.3b/discussions/2" xr:uid="{00000000-0004-0000-0300-000055000000}"/>
    <hyperlink ref="A90" r:id="rId87" display="https://huggingface.co/elinas/chronos-13b-v2/discussions/2" xr:uid="{00000000-0004-0000-0300-000056000000}"/>
    <hyperlink ref="A91" r:id="rId88" display="https://huggingface.co/emre/llama-2-13b-code-122k/discussions/1" xr:uid="{00000000-0004-0000-0300-000057000000}"/>
    <hyperlink ref="A92" r:id="rId89" display="https://huggingface.co/emre/whisper-medium-turkish-2/discussions/5" xr:uid="{00000000-0004-0000-0300-000058000000}"/>
    <hyperlink ref="A93" r:id="rId90" display="https://huggingface.co/facebook/bart-large-mnli/discussions/1" xr:uid="{00000000-0004-0000-0300-000059000000}"/>
    <hyperlink ref="A94" r:id="rId91" display="https://huggingface.co/facebook/encodec_48khz/discussions/3" xr:uid="{00000000-0004-0000-0300-00005A000000}"/>
    <hyperlink ref="A95" r:id="rId92" display="https://huggingface.co/facebook/fastspeech2-en-ljspeech/discussions/18" xr:uid="{00000000-0004-0000-0300-00005B000000}"/>
    <hyperlink ref="A96" r:id="rId93" display="https://huggingface.co/facebook/galactica-30b/discussions/9" xr:uid="{00000000-0004-0000-0300-00005C000000}"/>
    <hyperlink ref="A97" r:id="rId94" display="https://huggingface.co/facebook/galactica-6.7b/discussions/6" xr:uid="{00000000-0004-0000-0300-00005D000000}"/>
    <hyperlink ref="A98" r:id="rId95" display="https://huggingface.co/facebook/maskformer-swin-large-coco/discussions/1" xr:uid="{00000000-0004-0000-0300-00005E000000}"/>
    <hyperlink ref="A99" r:id="rId96" display="https://huggingface.co/facebook/mms-1b-all/discussions/4" xr:uid="{00000000-0004-0000-0300-00005F000000}"/>
    <hyperlink ref="A100" r:id="rId97" display="https://huggingface.co/facebook/rag-token-nq/discussions/2" xr:uid="{00000000-0004-0000-0300-000060000000}"/>
    <hyperlink ref="A101" r:id="rId98" display="https://huggingface.co/facebook/roberta-hate-speech-dynabench-r4-target/discussions/2" xr:uid="{00000000-0004-0000-0300-000061000000}"/>
    <hyperlink ref="A102" r:id="rId99" display="https://huggingface.co/facebook/xm_transformer_s2ut_hk-en/discussions/1" xr:uid="{00000000-0004-0000-0300-000062000000}"/>
    <hyperlink ref="A103" r:id="rId100" display="https://huggingface.co/FlagAlpha/Llama2-Chinese-13b-Chat/discussions/5" xr:uid="{00000000-0004-0000-0300-000063000000}"/>
    <hyperlink ref="A104" r:id="rId101" display="https://huggingface.co/flashvenom/Airoboros-13B-SuperHOT-8K-4bit-GPTQ/discussions/2" xr:uid="{00000000-0004-0000-0300-000064000000}"/>
    <hyperlink ref="A105" r:id="rId102" display="https://huggingface.co/flax-community/papuGaPT2/discussions/2" xr:uid="{00000000-0004-0000-0300-000065000000}"/>
    <hyperlink ref="A106" r:id="rId103" display="https://huggingface.co/flax-community/t5-recipe-generation/discussions/2" xr:uid="{00000000-0004-0000-0300-000066000000}"/>
    <hyperlink ref="A107" r:id="rId104" display="https://huggingface.co/FredZhang7/distilgpt2-stable-diffusion-v2/discussions/2" xr:uid="{00000000-0004-0000-0300-000067000000}"/>
    <hyperlink ref="A108" r:id="rId105" display="https://huggingface.co/google/ddpm-ema-bedroom-256/discussions/3" xr:uid="{00000000-0004-0000-0300-000068000000}"/>
    <hyperlink ref="A109" r:id="rId106" display="https://huggingface.co/google/deplot/discussions/12" xr:uid="{00000000-0004-0000-0300-000069000000}"/>
    <hyperlink ref="A110" r:id="rId107" display="https://huggingface.co/google/flan-t5-large/discussions/16" xr:uid="{00000000-0004-0000-0300-00006A000000}"/>
    <hyperlink ref="A111" r:id="rId108" display="https://huggingface.co/google/flan-t5-xl/discussions/14" xr:uid="{00000000-0004-0000-0300-00006B000000}"/>
    <hyperlink ref="A112" r:id="rId109" display="https://huggingface.co/google/flan-t5-xxl/discussions/67" xr:uid="{00000000-0004-0000-0300-00006C000000}"/>
    <hyperlink ref="A113" r:id="rId110" display="https://huggingface.co/google/pix2struct-docvqa-base/discussions/1" xr:uid="{00000000-0004-0000-0300-00006D000000}"/>
    <hyperlink ref="A114" r:id="rId111" display="https://huggingface.co/google/tapas-base-finetuned-wtq/discussions/4" xr:uid="{00000000-0004-0000-0300-00006E000000}"/>
    <hyperlink ref="A115" r:id="rId112" display="https://huggingface.co/Gryphe/MythoLogic-13b/discussions/2" xr:uid="{00000000-0004-0000-0300-00006F000000}"/>
    <hyperlink ref="A116" r:id="rId113" display="https://huggingface.co/Gryphe/MythoMax-L2-13b/discussions/19" xr:uid="{00000000-0004-0000-0300-000070000000}"/>
    <hyperlink ref="A117" r:id="rId114" display="https://huggingface.co/gsdf/Counterfeit-V2.5/discussions/7" xr:uid="{00000000-0004-0000-0300-000071000000}"/>
    <hyperlink ref="A118" r:id="rId115" display="https://huggingface.co/Gustavosta/MagicPrompt-Stable-Diffusion/discussions/2" xr:uid="{00000000-0004-0000-0300-000072000000}"/>
    <hyperlink ref="A119" r:id="rId116" display="https://huggingface.co/h2oai/h2ogpt-gm-oasst1-en-2048-falcon-40b-v2/discussions/1" xr:uid="{00000000-0004-0000-0300-000073000000}"/>
    <hyperlink ref="A120" r:id="rId117" display="https://huggingface.co/h94/IP-Adapter-FaceID/discussions/20" xr:uid="{00000000-0004-0000-0300-000074000000}"/>
    <hyperlink ref="A121" r:id="rId118" display="https://huggingface.co/hakurei/waifu-diffusion/discussions/115" xr:uid="{00000000-0004-0000-0300-000075000000}"/>
    <hyperlink ref="A122" r:id="rId119" display="https://huggingface.co/hakurei/waifu-diffusion/discussions/28" xr:uid="{00000000-0004-0000-0300-000076000000}"/>
    <hyperlink ref="A123" r:id="rId120" display="https://huggingface.co/hearmeneigh/e621-rising-v3/discussions/1" xr:uid="{00000000-0004-0000-0300-000077000000}"/>
    <hyperlink ref="A124" r:id="rId121" display="https://huggingface.co/Helsinki-NLP/opus-mt-ROMANCE-en/discussions/3" xr:uid="{00000000-0004-0000-0300-000078000000}"/>
    <hyperlink ref="A125" r:id="rId122" display="https://huggingface.co/Helsinki-NLP/opus-mt-zh-en/discussions/11" xr:uid="{00000000-0004-0000-0300-000079000000}"/>
    <hyperlink ref="A126" r:id="rId123" display="https://huggingface.co/Henk717/chronoboros-33B/discussions/1" xr:uid="{00000000-0004-0000-0300-00007A000000}"/>
    <hyperlink ref="A127" r:id="rId124" display="https://huggingface.co/hivemind/gpt-j-6B-8bit/discussions/5" xr:uid="{00000000-0004-0000-0300-00007B000000}"/>
    <hyperlink ref="A128" r:id="rId125" display="https://huggingface.co/hkunlp/instructor-xl/discussions/23" xr:uid="{00000000-0004-0000-0300-00007C000000}"/>
    <hyperlink ref="A129" r:id="rId126" display="https://huggingface.co/hkunlp/instructor-xl/discussions/8" xr:uid="{00000000-0004-0000-0300-00007D000000}"/>
    <hyperlink ref="A130" r:id="rId127" display="https://huggingface.co/HuggingFaceH4/starchat-alpha/discussions/8" xr:uid="{00000000-0004-0000-0300-00007E000000}"/>
    <hyperlink ref="A131" r:id="rId128" display="https://huggingface.co/HuggingFaceH4/starchat-beta/discussions/15" xr:uid="{00000000-0004-0000-0300-00007F000000}"/>
    <hyperlink ref="A132" r:id="rId129" display="https://huggingface.co/HuggingFaceM4/idefics-9b-instruct/discussions/7" xr:uid="{00000000-0004-0000-0300-000080000000}"/>
    <hyperlink ref="A133" r:id="rId130" display="https://huggingface.co/iambestfeed/open_llama_3b_4bit_128g/discussions/1" xr:uid="{00000000-0004-0000-0300-000081000000}"/>
    <hyperlink ref="A134" r:id="rId131" display="https://huggingface.co/internlm/internlm-chat-20b-4bit/discussions/1" xr:uid="{00000000-0004-0000-0300-000082000000}"/>
    <hyperlink ref="A135" r:id="rId132" display="https://huggingface.co/intfloat/e5-large-v2/discussions/13" xr:uid="{00000000-0004-0000-0300-000083000000}"/>
    <hyperlink ref="A136" r:id="rId133" display="https://huggingface.co/ise-uiuc/Magicoder-S-DS-6.7B/discussions/4" xr:uid="{00000000-0004-0000-0300-000084000000}"/>
    <hyperlink ref="A137" r:id="rId134" display="https://huggingface.co/j-hartmann/emotion-english-distilroberta-base/discussions/8" xr:uid="{00000000-0004-0000-0300-000085000000}"/>
    <hyperlink ref="A138" r:id="rId135" display="https://huggingface.co/j-hartmann/emotion-english-roberta-large/discussions/1" xr:uid="{00000000-0004-0000-0300-000086000000}"/>
    <hyperlink ref="A139" r:id="rId136" display="https://huggingface.co/jarradh/llama2_70b_chat_uncensored/discussions/8" xr:uid="{00000000-0004-0000-0300-000087000000}"/>
    <hyperlink ref="A140" r:id="rId137" display="https://huggingface.co/joaoalvarenga/bloom-8bit/discussions/3" xr:uid="{00000000-0004-0000-0300-000088000000}"/>
    <hyperlink ref="A141" r:id="rId138" display="https://huggingface.co/jonatasgrosman/wav2vec2-xls-r-1b-english/discussions/2" xr:uid="{00000000-0004-0000-0300-000089000000}"/>
    <hyperlink ref="A142" r:id="rId139" display="https://huggingface.co/jondurbin/airoboros-13b/discussions/5" xr:uid="{00000000-0004-0000-0300-00008A000000}"/>
    <hyperlink ref="A143" r:id="rId140" display="https://huggingface.co/jondurbin/airoboros-l2-70b-2.1/discussions/2" xr:uid="{00000000-0004-0000-0300-00008B000000}"/>
    <hyperlink ref="A144" r:id="rId141" display="https://huggingface.co/jondurbin/airoboros-l2-7b-gpt4-1.4.1/discussions/1" xr:uid="{00000000-0004-0000-0300-00008C000000}"/>
    <hyperlink ref="A145" r:id="rId142" display="https://huggingface.co/jondurbin/airoboros-m-7b-3.1.2/discussions/1" xr:uid="{00000000-0004-0000-0300-00008D000000}"/>
    <hyperlink ref="A146" r:id="rId143" display="https://huggingface.co/jondurbin/airocoder-34b-2.1/discussions/1" xr:uid="{00000000-0004-0000-0300-00008E000000}"/>
    <hyperlink ref="A147" r:id="rId144" display="https://huggingface.co/kalpeshk2011/rankgen-t5-xl-pg19/discussions/2" xr:uid="{00000000-0004-0000-0300-00008F000000}"/>
    <hyperlink ref="A148" r:id="rId145" display="https://huggingface.co/keras-io/structured-data-classification-grn-vsn/discussions/1" xr:uid="{00000000-0004-0000-0300-000090000000}"/>
    <hyperlink ref="A149" r:id="rId146" display="https://huggingface.co/keremberke/yolov8s-table-extraction/discussions/3" xr:uid="{00000000-0004-0000-0300-000091000000}"/>
    <hyperlink ref="A150" r:id="rId147" display="https://huggingface.co/knkarthick/MEETING_SUMMARY/discussions/15" xr:uid="{00000000-0004-0000-0300-000092000000}"/>
    <hyperlink ref="A151" r:id="rId148" display="https://huggingface.co/KoboldAI/OPT-30B-Erebus/discussions/1" xr:uid="{00000000-0004-0000-0300-000093000000}"/>
    <hyperlink ref="A152" r:id="rId149" display="https://huggingface.co/ku-nlp/deberta-v2-base-japanese/discussions/1" xr:uid="{00000000-0004-0000-0300-000094000000}"/>
    <hyperlink ref="A153" r:id="rId150" display="https://huggingface.co/laion/CLIP-ViT-B-32-xlm-roberta-base-laion5B-s13B-b90k/discussions/2" xr:uid="{00000000-0004-0000-0300-000095000000}"/>
    <hyperlink ref="A154" r:id="rId151" display="https://huggingface.co/Langboat/mengzi-gpt-neo-base/discussions/2" xr:uid="{00000000-0004-0000-0300-000096000000}"/>
    <hyperlink ref="A155" r:id="rId152" display="https://huggingface.co/latent-consistency/lcm-lora-sdxl/discussions/11" xr:uid="{00000000-0004-0000-0300-000097000000}"/>
    <hyperlink ref="A156" r:id="rId153" display="https://huggingface.co/lgaalves/tinyllama-1.1b-chat-v0.3_platypus/discussions/2" xr:uid="{00000000-0004-0000-0300-000098000000}"/>
    <hyperlink ref="A157" r:id="rId154" display="https://huggingface.co/llm-agents/tora-70b-v1.0/discussions/1" xr:uid="{00000000-0004-0000-0300-000099000000}"/>
    <hyperlink ref="A158" r:id="rId155" display="https://huggingface.co/llmware/bling-sheared-llama-2.7b-0.1/discussions/1" xr:uid="{00000000-0004-0000-0300-00009A000000}"/>
    <hyperlink ref="A159" r:id="rId156" display="https://huggingface.co/lmsys/vicuna-33b-v1.3/discussions/3" xr:uid="{00000000-0004-0000-0300-00009B000000}"/>
    <hyperlink ref="A160" r:id="rId157" display="https://huggingface.co/lmsys/vicuna-7b-v1.1/discussions/6" xr:uid="{00000000-0004-0000-0300-00009C000000}"/>
    <hyperlink ref="A161" r:id="rId158" display="https://huggingface.co/LoneStriker/Yi-34B-200K-4.65bpw-h6-exl2/discussions/2" xr:uid="{00000000-0004-0000-0300-00009D000000}"/>
    <hyperlink ref="A162" r:id="rId159" display="https://huggingface.co/machinists/Mistral-7B-SQL/discussions/3" xr:uid="{00000000-0004-0000-0300-00009E000000}"/>
    <hyperlink ref="A163" r:id="rId160" display="https://huggingface.co/madebyollin/sdxl-vae-fp16-fix/discussions/9" xr:uid="{00000000-0004-0000-0300-00009F000000}"/>
    <hyperlink ref="A164" r:id="rId161" display="https://huggingface.co/mayaeary/pygmalion-6b_dev-4bit-128g/discussions/6" xr:uid="{00000000-0004-0000-0300-0000A0000000}"/>
    <hyperlink ref="A165" r:id="rId162" display="https://huggingface.co/MBZUAI/LaMini-GPT-1.5B/discussions/10" xr:uid="{00000000-0004-0000-0300-0000A1000000}"/>
    <hyperlink ref="A166" r:id="rId163" display="https://huggingface.co/MetaIX/Alpaca-30B-Int4/discussions/1" xr:uid="{00000000-0004-0000-0300-0000A2000000}"/>
    <hyperlink ref="A167" r:id="rId164" display="https://huggingface.co/michaelfeil/ct2fast-Llama-2-7b-chat-hf/discussions/2" xr:uid="{00000000-0004-0000-0300-0000A3000000}"/>
    <hyperlink ref="A168" r:id="rId165" display="https://huggingface.co/microsoft/biogpt/discussions/6" xr:uid="{00000000-0004-0000-0300-0000A4000000}"/>
    <hyperlink ref="A169" r:id="rId166" display="https://huggingface.co/microsoft/dit-base-finetuned-rvlcdip/discussions/1" xr:uid="{00000000-0004-0000-0300-0000A5000000}"/>
    <hyperlink ref="A170" r:id="rId167" display="https://huggingface.co/microsoft/git-base/discussions/1" xr:uid="{00000000-0004-0000-0300-0000A6000000}"/>
    <hyperlink ref="A171" r:id="rId168" display="https://huggingface.co/microsoft/layoutlmv2-large-uncased/discussions/2" xr:uid="{00000000-0004-0000-0300-0000A7000000}"/>
    <hyperlink ref="A172" r:id="rId169" display="https://huggingface.co/microsoft/phi-1_5/discussions/39" xr:uid="{00000000-0004-0000-0300-0000A8000000}"/>
    <hyperlink ref="A173" r:id="rId170" display="https://huggingface.co/microsoft/phi-1_5/discussions/55" xr:uid="{00000000-0004-0000-0300-0000A9000000}"/>
    <hyperlink ref="A174" r:id="rId171" display="https://huggingface.co/microsoft/phi-2/discussions/43" xr:uid="{00000000-0004-0000-0300-0000AA000000}"/>
    <hyperlink ref="A175" r:id="rId172" display="https://huggingface.co/microsoft/phi-2/discussions/52" xr:uid="{00000000-0004-0000-0300-0000AB000000}"/>
    <hyperlink ref="A176" r:id="rId173" display="https://huggingface.co/microsoft/phi-2/discussions/81" xr:uid="{00000000-0004-0000-0300-0000AC000000}"/>
    <hyperlink ref="A177" r:id="rId174" display="https://huggingface.co/microsoft/phi-2/discussions/83" xr:uid="{00000000-0004-0000-0300-0000AD000000}"/>
    <hyperlink ref="A178" r:id="rId175" display="https://huggingface.co/microsoft/phi-2/discussions/93" xr:uid="{00000000-0004-0000-0300-0000AE000000}"/>
    <hyperlink ref="A179" r:id="rId176" display="https://huggingface.co/microsoft/swin-large-patch4-window12-384-in22k/discussions/1" xr:uid="{00000000-0004-0000-0300-0000AF000000}"/>
    <hyperlink ref="A180" r:id="rId177" display="https://huggingface.co/microsoft/tapex-large-finetuned-wtq/discussions/2" xr:uid="{00000000-0004-0000-0300-0000B0000000}"/>
    <hyperlink ref="A181" r:id="rId178" display="https://huggingface.co/microsoft/trocr-small-printed/discussions/3" xr:uid="{00000000-0004-0000-0300-0000B1000000}"/>
    <hyperlink ref="A182" r:id="rId179" display="https://huggingface.co/MingZhong/DialogLED-base-16384/discussions/2" xr:uid="{00000000-0004-0000-0300-0000B2000000}"/>
    <hyperlink ref="A183" r:id="rId180" display="https://huggingface.co/minhtoan/gpt3-small-finetune-cnndaily-news/discussions/3" xr:uid="{00000000-0004-0000-0300-0000B3000000}"/>
    <hyperlink ref="A184" r:id="rId181" display="https://huggingface.co/mistralai/Mistral-7B-Instruct-v0.1/discussions/12" xr:uid="{00000000-0004-0000-0300-0000B4000000}"/>
    <hyperlink ref="A185" r:id="rId182" display="https://huggingface.co/mistralai/Mistral-7B-Instruct-v0.1/discussions/64" xr:uid="{00000000-0004-0000-0300-0000B5000000}"/>
    <hyperlink ref="A186" r:id="rId183" display="https://huggingface.co/mistralai/Mistral-7B-v0.1/discussions/37" xr:uid="{00000000-0004-0000-0300-0000B6000000}"/>
    <hyperlink ref="A187" r:id="rId184" display="https://huggingface.co/mistralai/Mistral-7B-v0.1/discussions/4" xr:uid="{00000000-0004-0000-0300-0000B7000000}"/>
    <hyperlink ref="A188" r:id="rId185" display="https://huggingface.co/mistralai/Mistral-7B-v0.1/discussions/53" xr:uid="{00000000-0004-0000-0300-0000B8000000}"/>
    <hyperlink ref="A189" r:id="rId186" display="https://huggingface.co/mistralai/Mixtral-8x7B-Instruct-v0.1/discussions/28" xr:uid="{00000000-0004-0000-0300-0000B9000000}"/>
    <hyperlink ref="A190" r:id="rId187" display="https://huggingface.co/mistralai/Mixtral-8x7B-Instruct-v0.1/discussions/94" xr:uid="{00000000-0004-0000-0300-0000BA000000}"/>
    <hyperlink ref="A191" r:id="rId188" display="https://huggingface.co/Mitsua/mitsua-diffusion-one/discussions/3" xr:uid="{00000000-0004-0000-0300-0000BB000000}"/>
    <hyperlink ref="A192" r:id="rId189" display="https://huggingface.co/moonlightnexus/wonder-anime/discussions/1" xr:uid="{00000000-0004-0000-0300-0000BC000000}"/>
    <hyperlink ref="A193" r:id="rId190" display="https://huggingface.co/mosaicml/mpt-30b-chat/discussions/2" xr:uid="{00000000-0004-0000-0300-0000BD000000}"/>
    <hyperlink ref="A194" r:id="rId191" display="https://huggingface.co/mosaicml/mpt-7b/discussions/21" xr:uid="{00000000-0004-0000-0300-0000BE000000}"/>
    <hyperlink ref="A195" r:id="rId192" display="https://huggingface.co/mosaicml/mpt-7b/discussions/67" xr:uid="{00000000-0004-0000-0300-0000BF000000}"/>
    <hyperlink ref="A196" r:id="rId193" display="https://huggingface.co/mostafaamiri/persian_llama_7B_merged/discussions/1" xr:uid="{00000000-0004-0000-0300-0000C0000000}"/>
    <hyperlink ref="A197" r:id="rId194" display="https://huggingface.co/mrm8488/llama-2-coder-7b/discussions/1" xr:uid="{00000000-0004-0000-0300-0000C1000000}"/>
    <hyperlink ref="A198" r:id="rId195" display="https://huggingface.co/Nacholmo/controlnet-qr-pattern-sdxl/discussions/1" xr:uid="{00000000-0004-0000-0300-0000C2000000}"/>
    <hyperlink ref="A199" r:id="rId196" display="https://huggingface.co/naclbit/trinart_characters_19.2m_stable_diffusion_v1/discussions/5" xr:uid="{00000000-0004-0000-0300-0000C3000000}"/>
    <hyperlink ref="A200" r:id="rId197" display="https://huggingface.co/neulab/codebert-python/discussions/2" xr:uid="{00000000-0004-0000-0300-0000C4000000}"/>
    <hyperlink ref="A201" r:id="rId198" display="https://huggingface.co/nev/dalle-mini-pytorch/discussions/1" xr:uid="{00000000-0004-0000-0300-0000C5000000}"/>
    <hyperlink ref="A202" r:id="rId199" display="https://huggingface.co/Nexusflow/NexusRaven-13B/discussions/3" xr:uid="{00000000-0004-0000-0300-0000C6000000}"/>
    <hyperlink ref="A203" r:id="rId200" display="https://huggingface.co/nferruz/ProtGPT2/discussions/17" xr:uid="{00000000-0004-0000-0300-0000C7000000}"/>
    <hyperlink ref="A204" r:id="rId201" display="https://huggingface.co/nferruz/ProtGPT2/discussions/3" xr:uid="{00000000-0004-0000-0300-0000C8000000}"/>
    <hyperlink ref="A205" r:id="rId202" display="https://huggingface.co/nitrosocke/mo-di-diffusion/discussions/10" xr:uid="{00000000-0004-0000-0300-0000C9000000}"/>
    <hyperlink ref="A206" r:id="rId203" display="https://huggingface.co/nitrosocke/redshift-diffusion-768/discussions/3" xr:uid="{00000000-0004-0000-0300-0000CA000000}"/>
    <hyperlink ref="A207" r:id="rId204" display="https://huggingface.co/Nondzu/Mistral-7B-code-16k-qlora/discussions/2" xr:uid="{00000000-0004-0000-0300-0000CB000000}"/>
    <hyperlink ref="A208" r:id="rId205" display="https://huggingface.co/NousResearch/Nous-Capybara-34B/discussions/2" xr:uid="{00000000-0004-0000-0300-0000CC000000}"/>
    <hyperlink ref="A209" r:id="rId206" display="https://huggingface.co/NousResearch/Nous-Hermes-Llama2-13b/discussions/6" xr:uid="{00000000-0004-0000-0300-0000CD000000}"/>
    <hyperlink ref="A210" r:id="rId207" display="https://huggingface.co/NousResearch/Yarn-Mistral-7b-128k/discussions/13" xr:uid="{00000000-0004-0000-0300-0000CE000000}"/>
    <hyperlink ref="A211" r:id="rId208" display="https://huggingface.co/nsfwthrowitaway69/Venus-120b-v1.1/discussions/2" xr:uid="{00000000-0004-0000-0300-0000CF000000}"/>
    <hyperlink ref="A212" r:id="rId209" display="https://huggingface.co/nuigurumi/basil_mix/discussions/23" xr:uid="{00000000-0004-0000-0300-0000D0000000}"/>
    <hyperlink ref="A213" r:id="rId210" display="https://huggingface.co/nvidia/nemotron-3-8b-chat-4k-rlhf/discussions/2" xr:uid="{00000000-0004-0000-0300-0000D1000000}"/>
    <hyperlink ref="A214" r:id="rId211" display="https://huggingface.co/nvidia/segformer-b0-finetuned-ade-512-512/discussions/8" xr:uid="{00000000-0004-0000-0300-0000D2000000}"/>
    <hyperlink ref="A215" r:id="rId212" display="https://huggingface.co/nvidia/stt_fr_conformer_transducer_large/discussions/1" xr:uid="{00000000-0004-0000-0300-0000D3000000}"/>
    <hyperlink ref="A216" r:id="rId213" display="https://huggingface.co/OFA-Sys/expertllama-7b-delta/discussions/1" xr:uid="{00000000-0004-0000-0300-0000D4000000}"/>
    <hyperlink ref="A217" r:id="rId214" display="https://huggingface.co/oliverguhr/fullstop-punctuation-multilang-large/discussions/3" xr:uid="{00000000-0004-0000-0300-0000D5000000}"/>
    <hyperlink ref="A218" r:id="rId215" display="https://huggingface.co/Open-Orca/Mistral-7B-OpenOrca/discussions/14" xr:uid="{00000000-0004-0000-0300-0000D6000000}"/>
    <hyperlink ref="A219" r:id="rId216" display="https://huggingface.co/Open-Orca/OpenOrca-Preview1-13B/discussions/1" xr:uid="{00000000-0004-0000-0300-0000D7000000}"/>
    <hyperlink ref="A220" r:id="rId217" display="https://huggingface.co/openai-community/openai-gpt/discussions/2" xr:uid="{00000000-0004-0000-0300-0000D8000000}"/>
    <hyperlink ref="A221" r:id="rId218" display="https://huggingface.co/openai/whisper-large-v2/discussions/47" xr:uid="{00000000-0004-0000-0300-0000D9000000}"/>
    <hyperlink ref="A222" r:id="rId219" display="https://huggingface.co/openai/whisper-large-v3/discussions/60" xr:uid="{00000000-0004-0000-0300-0000DA000000}"/>
    <hyperlink ref="A223" r:id="rId220" display="https://huggingface.co/OpenBuddy/openbuddy-falcon-7b-v6-bf16/discussions/2" xr:uid="{00000000-0004-0000-0300-0000DB000000}"/>
    <hyperlink ref="A224" r:id="rId221" display="https://huggingface.co/openchat/openchat_8192/discussions/2" xr:uid="{00000000-0004-0000-0300-0000DC000000}"/>
    <hyperlink ref="A225" r:id="rId222" display="https://huggingface.co/openlm-research/open_llama_7b/discussions/3" xr:uid="{00000000-0004-0000-0300-0000DD000000}"/>
    <hyperlink ref="A226" r:id="rId223" display="https://huggingface.co/openthaigpt/openthaigpt-0.1.0-beta/discussions/2" xr:uid="{00000000-0004-0000-0300-0000DE000000}"/>
    <hyperlink ref="A227" r:id="rId224" display="https://huggingface.co/p1atdev/pvc-v3/discussions/1" xr:uid="{00000000-0004-0000-0300-0000DF000000}"/>
    <hyperlink ref="A228" r:id="rId225" display="https://huggingface.co/pankajmathur/orca_mini_3b/discussions/1" xr:uid="{00000000-0004-0000-0300-0000E0000000}"/>
    <hyperlink ref="A229" r:id="rId226" display="https://huggingface.co/patrickjohncyh/fashion-clip/discussions/12" xr:uid="{00000000-0004-0000-0300-0000E1000000}"/>
    <hyperlink ref="A230" r:id="rId227" display="https://huggingface.co/Pclanglais/MonadGPT/discussions/1" xr:uid="{00000000-0004-0000-0300-0000E2000000}"/>
    <hyperlink ref="A231" r:id="rId228" display="https://huggingface.co/Phind/Phind-CodeLlama-34B-v2/discussions/6" xr:uid="{00000000-0004-0000-0300-0000E3000000}"/>
    <hyperlink ref="A232" r:id="rId229" display="https://huggingface.co/princeton-nlp/Sheared-LLaMA-1.3B/discussions/5" xr:uid="{00000000-0004-0000-0300-0000E4000000}"/>
    <hyperlink ref="A233" r:id="rId230" display="https://huggingface.co/prompthero/openjourney/discussions/52" xr:uid="{00000000-0004-0000-0300-0000E5000000}"/>
    <hyperlink ref="A234" r:id="rId231" display="https://huggingface.co/PygmalionAI/pygmalion-6b/discussions/40" xr:uid="{00000000-0004-0000-0300-0000E6000000}"/>
    <hyperlink ref="A235" r:id="rId232" display="https://huggingface.co/Qwen/Qwen-7B-Chat/discussions/28" xr:uid="{00000000-0004-0000-0300-0000E7000000}"/>
    <hyperlink ref="A236" r:id="rId233" display="https://huggingface.co/Qwen/Qwen-7B-Chat/discussions/38" xr:uid="{00000000-0004-0000-0300-0000E8000000}"/>
    <hyperlink ref="A237" r:id="rId234" display="https://huggingface.co/Qwen/Qwen-VL-Chat/discussions/9" xr:uid="{00000000-0004-0000-0300-0000E9000000}"/>
    <hyperlink ref="A238" r:id="rId235" display="https://huggingface.co/Rajaram1996/Hubert_emotion/discussions/3" xr:uid="{00000000-0004-0000-0300-0000EA000000}"/>
    <hyperlink ref="A239" r:id="rId236" display="https://huggingface.co/replit/replit-code-v1-3b/discussions/6" xr:uid="{00000000-0004-0000-0300-0000EB000000}"/>
    <hyperlink ref="A240" r:id="rId237" display="https://huggingface.co/rickRossie/hermes-limarp-13b-merged/discussions/1" xr:uid="{00000000-0004-0000-0300-0000EC000000}"/>
    <hyperlink ref="A241" r:id="rId238" display="https://huggingface.co/RJuro/SciNERTopic/discussions/2" xr:uid="{00000000-0004-0000-0300-0000ED000000}"/>
    <hyperlink ref="A242" r:id="rId239" display="https://huggingface.co/royallab/Rose-20B-exl2/discussions/1" xr:uid="{00000000-0004-0000-0300-0000EE000000}"/>
    <hyperlink ref="A243" r:id="rId240" display="https://huggingface.co/runwayml/stable-diffusion-v1-5/discussions/128" xr:uid="{00000000-0004-0000-0300-0000EF000000}"/>
    <hyperlink ref="A244" r:id="rId241" display="https://huggingface.co/runwayml/stable-diffusion-v1-5/discussions/24" xr:uid="{00000000-0004-0000-0300-0000F0000000}"/>
    <hyperlink ref="A245" r:id="rId242" display="https://huggingface.co/rustformers/mpt-7b-ggml/discussions/3" xr:uid="{00000000-0004-0000-0300-0000F1000000}"/>
    <hyperlink ref="A246" r:id="rId243" display="https://huggingface.co/Salesforce/codegen2-7B/discussions/1" xr:uid="{00000000-0004-0000-0300-0000F2000000}"/>
    <hyperlink ref="A247" r:id="rId244" display="https://huggingface.co/Salesforce/codegen25-7b-multi/discussions/5" xr:uid="{00000000-0004-0000-0300-0000F3000000}"/>
    <hyperlink ref="A248" r:id="rId245" display="https://huggingface.co/sanchit-gandhi/whisper-medium-fleurs-lang-id/discussions/4" xr:uid="{00000000-0004-0000-0300-0000F4000000}"/>
    <hyperlink ref="A249" r:id="rId246" display="https://huggingface.co/SanjiWatsuki/Sonya-7B/discussions/1" xr:uid="{00000000-0004-0000-0300-0000F5000000}"/>
    <hyperlink ref="A250" r:id="rId247" display="https://huggingface.co/Sao10K/Frostwind-10.7B-v1/discussions/1" xr:uid="{00000000-0004-0000-0300-0000F6000000}"/>
    <hyperlink ref="A251" r:id="rId248" display="https://huggingface.co/sayakpaul/sd-model-finetuned-lora-t4/discussions/1" xr:uid="{00000000-0004-0000-0300-0000F7000000}"/>
    <hyperlink ref="A252" r:id="rId249" display="https://huggingface.co/sd-dreambooth-library/disco-diffusion-style/discussions/1" xr:uid="{00000000-0004-0000-0300-0000F8000000}"/>
    <hyperlink ref="A253" r:id="rId250" display="https://huggingface.co/sdadas/polish-longformer-base-4096/discussions/1" xr:uid="{00000000-0004-0000-0300-0000F9000000}"/>
    <hyperlink ref="A254" r:id="rId251" display="https://huggingface.co/SeaLLMs/SeaLLM-7B-Hybrid/discussions/1" xr:uid="{00000000-0004-0000-0300-0000FA000000}"/>
    <hyperlink ref="A255" r:id="rId252" display="https://huggingface.co/segmind/SSD-1B/discussions/10" xr:uid="{00000000-0004-0000-0300-0000FB000000}"/>
    <hyperlink ref="A256" r:id="rId253" display="https://huggingface.co/segmind/SSD-1B/discussions/38" xr:uid="{00000000-0004-0000-0300-0000FC000000}"/>
    <hyperlink ref="A257" r:id="rId254" display="https://huggingface.co/senseable/WestLake-7B-v2/discussions/4" xr:uid="{00000000-0004-0000-0300-0000FD000000}"/>
    <hyperlink ref="A258" r:id="rId255" display="https://huggingface.co/sensenova/piccolo-base-zh/discussions/1" xr:uid="{00000000-0004-0000-0300-0000FE000000}"/>
    <hyperlink ref="A259" r:id="rId256" display="https://huggingface.co/SG161222/Realistic_Vision_V5.1_noVAE/discussions/1" xr:uid="{00000000-0004-0000-0300-0000FF000000}"/>
    <hyperlink ref="A260" r:id="rId257" display="https://huggingface.co/SG161222/RealVisXL_V3.0/discussions/2" xr:uid="{00000000-0004-0000-0300-000000010000}"/>
    <hyperlink ref="A261" r:id="rId258" display="https://huggingface.co/ShadoWxShinigamI/MidJourney-PaperCut/discussions/7" xr:uid="{00000000-0004-0000-0300-000001010000}"/>
    <hyperlink ref="A262" r:id="rId259" display="https://huggingface.co/sophosympatheia/Rogue-Rose-103b-v0.2/discussions/4" xr:uid="{00000000-0004-0000-0300-000002010000}"/>
    <hyperlink ref="A263" r:id="rId260" display="https://huggingface.co/sshleifer/distilbart-cnn-12-6/discussions/11" xr:uid="{00000000-0004-0000-0300-000003010000}"/>
    <hyperlink ref="A264" r:id="rId261" display="https://huggingface.co/stabilityai/sd-x2-latent-upscaler/discussions/2" xr:uid="{00000000-0004-0000-0300-000004010000}"/>
    <hyperlink ref="A265" r:id="rId262" display="https://huggingface.co/stabilityai/sdxl-turbo/discussions/6" xr:uid="{00000000-0004-0000-0300-000005010000}"/>
    <hyperlink ref="A266" r:id="rId263" display="https://huggingface.co/stabilityai/stable-diffusion-2-depth/discussions/6" xr:uid="{00000000-0004-0000-0300-000006010000}"/>
    <hyperlink ref="A267" r:id="rId264" display="https://huggingface.co/stabilityai/stable-diffusion-2/discussions/65" xr:uid="{00000000-0004-0000-0300-000007010000}"/>
    <hyperlink ref="A268" r:id="rId265" display="https://huggingface.co/stabilityai/stable-diffusion-xl-base-1.0/discussions/106" xr:uid="{00000000-0004-0000-0300-000008010000}"/>
    <hyperlink ref="A269" r:id="rId266" display="https://huggingface.co/stabilityai/stable-diffusion-xl-base-1.0/discussions/119" xr:uid="{00000000-0004-0000-0300-000009010000}"/>
    <hyperlink ref="A270" r:id="rId267" display="https://huggingface.co/stabilityai/stable-diffusion-xl-base-1.0/discussions/136" xr:uid="{00000000-0004-0000-0300-00000A010000}"/>
    <hyperlink ref="A271" r:id="rId268" display="https://huggingface.co/stabilityai/stable-diffusion-xl-base-1.0/discussions/32" xr:uid="{00000000-0004-0000-0300-00000B010000}"/>
    <hyperlink ref="A272" r:id="rId269" display="https://huggingface.co/stabilityai/stable-diffusion-xl-refiner-1.0/discussions/18" xr:uid="{00000000-0004-0000-0300-00000C010000}"/>
    <hyperlink ref="A273" r:id="rId270" display="https://huggingface.co/stabilityai/StableBeluga-13B/discussions/4" xr:uid="{00000000-0004-0000-0300-00000D010000}"/>
    <hyperlink ref="A274" r:id="rId271" display="https://huggingface.co/stabilityai/StableBeluga2/discussions/30" xr:uid="{00000000-0004-0000-0300-00000E010000}"/>
    <hyperlink ref="A275" r:id="rId272" display="https://huggingface.co/stabilityai/stablecode-instruct-alpha-3b/discussions/13" xr:uid="{00000000-0004-0000-0300-00000F010000}"/>
    <hyperlink ref="A276" r:id="rId273" display="https://huggingface.co/stabilityai/stablelm-zephyr-3b/discussions/12" xr:uid="{00000000-0004-0000-0300-000010010000}"/>
    <hyperlink ref="A277" r:id="rId274" display="https://huggingface.co/starmpcc/Asclepius-13B/discussions/1" xr:uid="{00000000-0004-0000-0300-000011010000}"/>
    <hyperlink ref="A278" r:id="rId275" display="https://huggingface.co/state-spaces/mamba-2.8b/discussions/1" xr:uid="{00000000-0004-0000-0300-000012010000}"/>
    <hyperlink ref="A279" r:id="rId276" display="https://huggingface.co/suno/bark-small/discussions/7" xr:uid="{00000000-0004-0000-0300-000013010000}"/>
    <hyperlink ref="A280" r:id="rId277" display="https://huggingface.co/suno/bark/discussions/30" xr:uid="{00000000-0004-0000-0300-000014010000}"/>
    <hyperlink ref="A281" r:id="rId278" display="https://huggingface.co/t5-base/discussions/14" xr:uid="{00000000-0004-0000-0300-000015010000}"/>
    <hyperlink ref="A282" r:id="rId279" display="https://huggingface.co/t5-base/discussions/21" xr:uid="{00000000-0004-0000-0300-000016010000}"/>
    <hyperlink ref="A283" r:id="rId280" display="https://huggingface.co/taozi555/MythoMax-Kimiko-Mix/discussions/1" xr:uid="{00000000-0004-0000-0300-000017010000}"/>
    <hyperlink ref="A284" r:id="rId281" display="https://huggingface.co/TehVenom/Pygmalion-Vicuna-1.1-7b/discussions/5" xr:uid="{00000000-0004-0000-0300-000018010000}"/>
    <hyperlink ref="A285" r:id="rId282" display="https://huggingface.co/TheBloke/airoboros-l2-70B-gpt4-1.4.1-GPTQ/discussions/3" xr:uid="{00000000-0004-0000-0300-000019010000}"/>
    <hyperlink ref="A286" r:id="rId283" display="https://huggingface.co/TheBloke/Capybara-Tess-Yi-34B-200K-GGUF/discussions/1" xr:uid="{00000000-0004-0000-0300-00001A010000}"/>
    <hyperlink ref="A287" r:id="rId284" display="https://huggingface.co/TheBloke/CodeLlama-13B-Instruct-GGUF/discussions/1" xr:uid="{00000000-0004-0000-0300-00001B010000}"/>
    <hyperlink ref="A288" r:id="rId285" display="https://huggingface.co/TheBloke/DiscoLM-mixtral-8x7b-v2-GPTQ/discussions/1" xr:uid="{00000000-0004-0000-0300-00001C010000}"/>
    <hyperlink ref="A289" r:id="rId286" display="https://huggingface.co/TheBloke/Falcon-180B-Chat-GGUF/discussions/8" xr:uid="{00000000-0004-0000-0300-00001D010000}"/>
    <hyperlink ref="A290" r:id="rId287" display="https://huggingface.co/TheBloke/falcon-40b-instruct-GPTQ/discussions/1" xr:uid="{00000000-0004-0000-0300-00001E010000}"/>
    <hyperlink ref="A291" r:id="rId288" display="https://huggingface.co/TheBloke/Falcon-7B-Instruct-GGML/discussions/4" xr:uid="{00000000-0004-0000-0300-00001F010000}"/>
    <hyperlink ref="A292" r:id="rId289" display="https://huggingface.co/TheBloke/guanaco-33B-GPTQ/discussions/6" xr:uid="{00000000-0004-0000-0300-000020010000}"/>
    <hyperlink ref="A293" r:id="rId290" display="https://huggingface.co/TheBloke/koala-7B-GPTQ/discussions/5" xr:uid="{00000000-0004-0000-0300-000021010000}"/>
    <hyperlink ref="A294" r:id="rId291" display="https://huggingface.co/TheBloke/leo-hessianai-13B-chat-bilingual-GPTQ/discussions/1" xr:uid="{00000000-0004-0000-0300-000022010000}"/>
    <hyperlink ref="A295" r:id="rId292" display="https://huggingface.co/TheBloke/Llama-2-13B-chat-GPTQ/discussions/18" xr:uid="{00000000-0004-0000-0300-000023010000}"/>
    <hyperlink ref="A296" r:id="rId293" display="https://huggingface.co/TheBloke/Llama-2-13B-chat-GPTQ/discussions/23" xr:uid="{00000000-0004-0000-0300-000024010000}"/>
    <hyperlink ref="A297" r:id="rId294" display="https://huggingface.co/TheBloke/Llama-2-70B-Chat-AWQ/discussions/1" xr:uid="{00000000-0004-0000-0300-000025010000}"/>
    <hyperlink ref="A298" r:id="rId295" display="https://huggingface.co/TheBloke/Llama-2-70B-Chat-GPTQ/discussions/5" xr:uid="{00000000-0004-0000-0300-000026010000}"/>
    <hyperlink ref="A299" r:id="rId296" display="https://huggingface.co/TheBloke/Llama-2-7B-Chat-GPTQ/discussions/29" xr:uid="{00000000-0004-0000-0300-000027010000}"/>
    <hyperlink ref="A300" r:id="rId297" display="https://huggingface.co/TheBloke/llama2-22B-daydreamer-v2-GGML/discussions/2" xr:uid="{00000000-0004-0000-0300-000028010000}"/>
    <hyperlink ref="A301" r:id="rId298" display="https://huggingface.co/TheBloke/LLongMA-2-7B-GPTQ/discussions/2" xr:uid="{00000000-0004-0000-0300-000029010000}"/>
    <hyperlink ref="A302" r:id="rId299" display="https://huggingface.co/TheBloke/Mistral-7B-Instruct-v0.2-GGUF/discussions/6" xr:uid="{00000000-0004-0000-0300-00002A010000}"/>
    <hyperlink ref="A303" r:id="rId300" display="https://huggingface.co/TheBloke/Mistral-7B-v0.1-GGUF/discussions/2" xr:uid="{00000000-0004-0000-0300-00002B010000}"/>
    <hyperlink ref="A304" r:id="rId301" display="https://huggingface.co/TheBloke/Mixtral-8x7B-v0.1-GGUF/discussions/18" xr:uid="{00000000-0004-0000-0300-00002C010000}"/>
    <hyperlink ref="A305" r:id="rId302" display="https://huggingface.co/TheBloke/MPT-7B-Storywriter-GGML/discussions/5" xr:uid="{00000000-0004-0000-0300-00002D010000}"/>
    <hyperlink ref="A306" r:id="rId303" display="https://huggingface.co/TheBloke/Nous-Hermes-Llama2-GGML/discussions/4" xr:uid="{00000000-0004-0000-0300-00002E010000}"/>
    <hyperlink ref="A307" r:id="rId304" display="https://huggingface.co/TheBloke/Open_Gpt4_8x7B-GPTQ/discussions/1" xr:uid="{00000000-0004-0000-0300-00002F010000}"/>
    <hyperlink ref="A308" r:id="rId305" display="https://huggingface.co/TheBloke/SOLAR-10.7B-Instruct-v1.0-GGUF/discussions/3" xr:uid="{00000000-0004-0000-0300-000030010000}"/>
    <hyperlink ref="A309" r:id="rId306" display="https://huggingface.co/TheBloke/SOLARC-MOE-10.7Bx4-GGUF/discussions/1" xr:uid="{00000000-0004-0000-0300-000031010000}"/>
    <hyperlink ref="A310" r:id="rId307" display="https://huggingface.co/TheBloke/StableBeluga2-70B-GPTQ/discussions/12" xr:uid="{00000000-0004-0000-0300-000032010000}"/>
    <hyperlink ref="A311" r:id="rId308" display="https://huggingface.co/TheBloke/Synthia-MoE-v3-Mixtral-8x7B-GPTQ/discussions/2" xr:uid="{00000000-0004-0000-0300-000033010000}"/>
    <hyperlink ref="A312" r:id="rId309" display="https://huggingface.co/TheBloke/tulu-7B-GPTQ/discussions/1" xr:uid="{00000000-0004-0000-0300-000034010000}"/>
    <hyperlink ref="A313" r:id="rId310" display="https://huggingface.co/TheBloke/Vicuna-13B-1.1-GPTQ/discussions/11" xr:uid="{00000000-0004-0000-0300-000035010000}"/>
    <hyperlink ref="A314" r:id="rId311" display="https://huggingface.co/TheBloke/vicuna-13B-v1.5-16K-GPTQ/discussions/1" xr:uid="{00000000-0004-0000-0300-000036010000}"/>
    <hyperlink ref="A315" r:id="rId312" display="https://huggingface.co/TheBloke/vicuna-7B-v0-GPTQ/discussions/3" xr:uid="{00000000-0004-0000-0300-000037010000}"/>
    <hyperlink ref="A316" r:id="rId313" display="https://huggingface.co/TheBloke/Wizard-Vicuna-13B-Uncensored-GGUF/discussions/1" xr:uid="{00000000-0004-0000-0300-000038010000}"/>
    <hyperlink ref="A317" r:id="rId314" display="https://huggingface.co/TheBloke/Wizard-Vicuna-13B-Uncensored-GPTQ/discussions/10" xr:uid="{00000000-0004-0000-0300-000039010000}"/>
    <hyperlink ref="A318" r:id="rId315" display="https://huggingface.co/TheBloke/Wizard-Vicuna-30B-Uncensored-GPTQ/discussions/15" xr:uid="{00000000-0004-0000-0300-00003A010000}"/>
    <hyperlink ref="A319" r:id="rId316" display="https://huggingface.co/TheBloke/WizardCoder-15B-1.0-GGML/discussions/8" xr:uid="{00000000-0004-0000-0300-00003B010000}"/>
    <hyperlink ref="A320" r:id="rId317" display="https://huggingface.co/TheBloke/WizardCoder-15B-1.0-GPTQ/discussions/14" xr:uid="{00000000-0004-0000-0300-00003C010000}"/>
    <hyperlink ref="A321" r:id="rId318" display="https://huggingface.co/TheBloke/WizardCoder-Python-34B-V1.0-GGUF/discussions/5" xr:uid="{00000000-0004-0000-0300-00003D010000}"/>
    <hyperlink ref="A322" r:id="rId319" display="https://huggingface.co/TheBloke/WizardLM-1.0-Uncensored-Llama2-13B-GGML/discussions/1" xr:uid="{00000000-0004-0000-0300-00003E010000}"/>
    <hyperlink ref="A323" r:id="rId320" display="https://huggingface.co/TheBloke/WizardLM-13B-V1.2-GPTQ/discussions/1" xr:uid="{00000000-0004-0000-0300-00003F010000}"/>
    <hyperlink ref="A324" r:id="rId321" display="https://huggingface.co/TheBloke/Yi-6B-GGUF/discussions/1" xr:uid="{00000000-0004-0000-0300-000040010000}"/>
    <hyperlink ref="A325" r:id="rId322" display="https://huggingface.co/TheLastBen/William_Eggleston_Style_SDXL/discussions/2" xr:uid="{00000000-0004-0000-0300-000041010000}"/>
    <hyperlink ref="A326" r:id="rId323" display="https://huggingface.co/thibaud/controlnet-openpose-sdxl-1.0/discussions/4" xr:uid="{00000000-0004-0000-0300-000042010000}"/>
    <hyperlink ref="A327" r:id="rId324" display="https://huggingface.co/thibaud/controlnet-sd21-openposev2-diffusers/discussions/1" xr:uid="{00000000-0004-0000-0300-000043010000}"/>
    <hyperlink ref="A328" r:id="rId325" display="https://huggingface.co/thibaud/controlnet-sd21/discussions/36" xr:uid="{00000000-0004-0000-0300-000044010000}"/>
    <hyperlink ref="A329" r:id="rId326" display="https://huggingface.co/thibaud/controlnet-sd21/discussions/41" xr:uid="{00000000-0004-0000-0300-000045010000}"/>
    <hyperlink ref="A330" r:id="rId327" display="https://huggingface.co/THUDM/cogagent-vqa-hf/discussions/1" xr:uid="{00000000-0004-0000-0300-000046010000}"/>
    <hyperlink ref="A331" r:id="rId328" display="https://huggingface.co/THUDM/cogagent-vqa-hf/discussions/2" xr:uid="{00000000-0004-0000-0300-000047010000}"/>
    <hyperlink ref="A332" r:id="rId329" display="https://huggingface.co/THUDM/cogvlm-grounding-generalist-hf/discussions/3" xr:uid="{00000000-0004-0000-0300-000048010000}"/>
    <hyperlink ref="A333" r:id="rId330" display="https://huggingface.co/THUDM/visualglm-6b/discussions/1" xr:uid="{00000000-0004-0000-0300-000049010000}"/>
    <hyperlink ref="A334" r:id="rId331" display="https://huggingface.co/tiiuae/falcon-180B-chat/discussions/10" xr:uid="{00000000-0004-0000-0300-00004A010000}"/>
    <hyperlink ref="A335" r:id="rId332" display="https://huggingface.co/tiiuae/falcon-180B/discussions/12" xr:uid="{00000000-0004-0000-0300-00004B010000}"/>
    <hyperlink ref="A336" r:id="rId333" display="https://huggingface.co/tiiuae/falcon-40b-instruct/discussions/87" xr:uid="{00000000-0004-0000-0300-00004C010000}"/>
    <hyperlink ref="A337" r:id="rId334" display="https://huggingface.co/tiiuae/falcon-40b/discussions/103" xr:uid="{00000000-0004-0000-0300-00004D010000}"/>
    <hyperlink ref="A338" r:id="rId335" display="https://huggingface.co/tiiuae/falcon-7b-instruct/discussions/15" xr:uid="{00000000-0004-0000-0300-00004E010000}"/>
    <hyperlink ref="A339" r:id="rId336" display="https://huggingface.co/tiiuae/falcon-7b/discussions/42" xr:uid="{00000000-0004-0000-0300-00004F010000}"/>
    <hyperlink ref="A340" r:id="rId337" display="https://huggingface.co/tiiuae/falcon-rw-1b/discussions/8" xr:uid="{00000000-0004-0000-0300-000050010000}"/>
    <hyperlink ref="A341" r:id="rId338" display="https://huggingface.co/timm/eva02_large_patch14_clip_224.merged2b_s4b_b131k/discussions/2" xr:uid="{00000000-0004-0000-0300-000051010000}"/>
    <hyperlink ref="A342" r:id="rId339" display="https://huggingface.co/TinyLlama/TinyLlama-1.1B-Chat-v1.0/discussions/9" xr:uid="{00000000-0004-0000-0300-000052010000}"/>
    <hyperlink ref="A343" r:id="rId340" display="https://huggingface.co/TinyLlama/TinyLlama-1.1B-step-50K-105b/discussions/5" xr:uid="{00000000-0004-0000-0300-000053010000}"/>
    <hyperlink ref="A344" r:id="rId341" display="https://huggingface.co/togethercomputer/GPT-JT-6B-v1/discussions/17" xr:uid="{00000000-0004-0000-0300-000054010000}"/>
    <hyperlink ref="A345" r:id="rId342" display="https://huggingface.co/togethercomputer/GPT-JT-6B-v1/discussions/26" xr:uid="{00000000-0004-0000-0300-000055010000}"/>
    <hyperlink ref="A346" r:id="rId343" display="https://huggingface.co/togethercomputer/m2-bert-80M-8k-retrieval/discussions/6" xr:uid="{00000000-0004-0000-0300-000056010000}"/>
    <hyperlink ref="A347" r:id="rId344" display="https://huggingface.co/togethercomputer/RedPajama-INCITE-7B-Base/discussions/6" xr:uid="{00000000-0004-0000-0300-000057010000}"/>
    <hyperlink ref="A348" r:id="rId345" display="https://huggingface.co/Tonic/mistralmed/discussions/4" xr:uid="{00000000-0004-0000-0300-000058010000}"/>
    <hyperlink ref="A349" r:id="rId346" display="https://huggingface.co/Trelis/Llama-2-7b-chat-hf-hosted-inference-8bit/discussions/3" xr:uid="{00000000-0004-0000-0300-000059010000}"/>
    <hyperlink ref="A350" r:id="rId347" display="https://huggingface.co/TriadParty/Deepsword-34B-Base/discussions/4" xr:uid="{00000000-0004-0000-0300-00005A010000}"/>
    <hyperlink ref="A351" r:id="rId348" display="https://huggingface.co/tuner007/pegasus_paraphrase/discussions/12" xr:uid="{00000000-0004-0000-0300-00005B010000}"/>
    <hyperlink ref="A352" r:id="rId349" display="https://huggingface.co/TurkuNLP/gpt3-finnish-13B/discussions/1" xr:uid="{00000000-0004-0000-0300-00005C010000}"/>
    <hyperlink ref="A353" r:id="rId350" display="https://huggingface.co/uklfr/gottbert-base/discussions/2" xr:uid="{00000000-0004-0000-0300-00005D010000}"/>
    <hyperlink ref="A354" r:id="rId351" display="https://huggingface.co/Undi95/ReMM-L2-13B-v1/discussions/1" xr:uid="{00000000-0004-0000-0300-00005E010000}"/>
    <hyperlink ref="A355" r:id="rId352" display="https://huggingface.co/Undi95/Unholy-v2-13B/discussions/1" xr:uid="{00000000-0004-0000-0300-00005F010000}"/>
    <hyperlink ref="A356" r:id="rId353" display="https://huggingface.co/unitary/toxic-bert/discussions/3" xr:uid="{00000000-0004-0000-0300-000060010000}"/>
    <hyperlink ref="A357" r:id="rId354" display="https://huggingface.co/upstage/llama-30b-instruct-2048/discussions/6" xr:uid="{00000000-0004-0000-0300-000061010000}"/>
    <hyperlink ref="A358" r:id="rId355" display="https://huggingface.co/uukuguy/speechless-llama2-hermes-orca-platypus-wizardlm-13b/discussions/1" xr:uid="{00000000-0004-0000-0300-000062010000}"/>
    <hyperlink ref="A359" r:id="rId356" display="https://huggingface.co/VAGOsolutions/SauerkrautLM-SOLAR-Instruct/discussions/1" xr:uid="{00000000-0004-0000-0300-000063010000}"/>
    <hyperlink ref="A360" r:id="rId357" display="https://huggingface.co/VietnamAIHub/LLaMA2_Vietnamese_Medical_SFT_13B/discussions/1" xr:uid="{00000000-0004-0000-0300-000064010000}"/>
    <hyperlink ref="A361" r:id="rId358" display="https://huggingface.co/vllab/controlnet-hands/discussions/3" xr:uid="{00000000-0004-0000-0300-000065010000}"/>
    <hyperlink ref="A362" r:id="rId359" display="https://huggingface.co/WarriorMama777/OrangeMixs/discussions/32" xr:uid="{00000000-0004-0000-0300-000066010000}"/>
    <hyperlink ref="A363" r:id="rId360" display="https://huggingface.co/WarriorMama777/OrangeMixs/discussions/68" xr:uid="{00000000-0004-0000-0300-000067010000}"/>
    <hyperlink ref="A364" r:id="rId361" display="https://huggingface.co/WarriorMama777/OrangeMixs/discussions/7" xr:uid="{00000000-0004-0000-0300-000068010000}"/>
    <hyperlink ref="A365" r:id="rId362" display="https://huggingface.co/WarriorMama777/OrangeMixs/discussions/81" xr:uid="{00000000-0004-0000-0300-000069010000}"/>
    <hyperlink ref="A366" r:id="rId363" display="https://huggingface.co/WizardLM/WizardCoder-15B-V1.0/discussions/4" xr:uid="{00000000-0004-0000-0300-00006A010000}"/>
    <hyperlink ref="A367" r:id="rId364" display="https://huggingface.co/WizardLM/WizardCoder-Python-34B-V1.0/discussions/25" xr:uid="{00000000-0004-0000-0300-00006B010000}"/>
    <hyperlink ref="A368" r:id="rId365" display="https://huggingface.co/WizardLM/WizardLM-30B-V1.0/discussions/2" xr:uid="{00000000-0004-0000-0300-00006C010000}"/>
    <hyperlink ref="A369" r:id="rId366" display="https://huggingface.co/wojtab/llava-7b-v0-4bit-128g/discussions/2" xr:uid="{00000000-0004-0000-0300-00006D010000}"/>
    <hyperlink ref="A370" r:id="rId367" display="https://huggingface.co/wukevin/tcr-bert/discussions/2" xr:uid="{00000000-0004-0000-0300-00006E010000}"/>
    <hyperlink ref="A371" r:id="rId368" display="https://huggingface.co/ycros/airoboros-65b-gpt4-1.4.1-PI-8192-4bit-32g-actorder/discussions/1" xr:uid="{00000000-0004-0000-0300-00006F010000}"/>
    <hyperlink ref="A372" r:id="rId369" display="https://huggingface.co/Yukang/Llama-2-70b-chat-longlora-32k-sft/discussions/2" xr:uid="{00000000-0004-0000-0300-000070010000}"/>
    <hyperlink ref="A373" r:id="rId370" display="https://huggingface.co/zaq-hack/Noromaid-v0.4-Mixtral-Instruct-8x7b-Zloss-bpw300-h6-exl2/discussions/2" xr:uid="{00000000-0004-0000-0300-000071010000}"/>
    <hyperlink ref="A374" r:id="rId371" display="https://huggingface.co/zarakiquemparte/zarablend-1.1-l2-7b/discussions/1" xr:uid="{00000000-0004-0000-0300-000072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6"/>
  <sheetViews>
    <sheetView workbookViewId="0">
      <selection activeCell="B1" sqref="B1"/>
    </sheetView>
  </sheetViews>
  <sheetFormatPr defaultColWidth="12.6640625" defaultRowHeight="15" customHeight="1" x14ac:dyDescent="0.3"/>
  <cols>
    <col min="1" max="1" width="26.6640625" customWidth="1"/>
  </cols>
  <sheetData>
    <row r="1" spans="1:3" x14ac:dyDescent="0.3">
      <c r="A1" s="2" t="s">
        <v>1149</v>
      </c>
      <c r="B1" s="2">
        <f>COUNTIF(author1_labels!E2:E433, "how to use")</f>
        <v>92</v>
      </c>
    </row>
    <row r="2" spans="1:3" x14ac:dyDescent="0.3">
      <c r="A2" s="2" t="s">
        <v>86</v>
      </c>
      <c r="B2" s="2">
        <f>COUNTIF(author1_labels!E2:E433, "memory_hardware requirement")</f>
        <v>18</v>
      </c>
      <c r="C2" s="2"/>
    </row>
    <row r="3" spans="1:3" x14ac:dyDescent="0.3">
      <c r="A3" s="2" t="s">
        <v>104</v>
      </c>
      <c r="B3" s="2">
        <f>COUNTIF(author1_labels!E2:E433, "error")</f>
        <v>37</v>
      </c>
    </row>
    <row r="4" spans="1:3" x14ac:dyDescent="0.3">
      <c r="A4" s="2" t="s">
        <v>55</v>
      </c>
      <c r="B4" s="2">
        <f>COUNTIF(author1_labels!E2:E433, "finetune")</f>
        <v>17</v>
      </c>
    </row>
    <row r="5" spans="1:3" x14ac:dyDescent="0.3">
      <c r="A5" s="2" t="s">
        <v>1018</v>
      </c>
      <c r="B5" s="2">
        <f>COUNTIF(author1_labels!E2:E433, "model variant inquiry or request")</f>
        <v>36</v>
      </c>
      <c r="C5" s="3"/>
    </row>
    <row r="6" spans="1:3" x14ac:dyDescent="0.3">
      <c r="A6" s="1" t="s">
        <v>186</v>
      </c>
      <c r="B6" s="2">
        <f>COUNTIF(author1_labels!E2:E433, "training instruction")</f>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7"/>
  <sheetViews>
    <sheetView workbookViewId="0">
      <selection activeCell="C18" sqref="C18"/>
    </sheetView>
  </sheetViews>
  <sheetFormatPr defaultColWidth="12.6640625" defaultRowHeight="15" customHeight="1" x14ac:dyDescent="0.3"/>
  <cols>
    <col min="1" max="1" width="27.109375" customWidth="1"/>
    <col min="2" max="2" width="35.77734375" customWidth="1"/>
    <col min="3" max="3" width="47.33203125" customWidth="1"/>
  </cols>
  <sheetData>
    <row r="1" spans="1:4" x14ac:dyDescent="0.3">
      <c r="A1" s="2" t="s">
        <v>1093</v>
      </c>
      <c r="B1" s="2" t="s">
        <v>1094</v>
      </c>
      <c r="C1" s="1" t="str">
        <f>CONCATENATE(A1, "/", B1)</f>
        <v>Model Details/Personal or organization developing model</v>
      </c>
      <c r="D1" s="2" t="s">
        <v>1095</v>
      </c>
    </row>
    <row r="2" spans="1:4" x14ac:dyDescent="0.3">
      <c r="B2" s="2" t="s">
        <v>1096</v>
      </c>
      <c r="C2" s="1" t="str">
        <f>CONCATENATE(A1, "/", B2)</f>
        <v>Model Details/Model date</v>
      </c>
      <c r="D2" s="1" t="s">
        <v>1097</v>
      </c>
    </row>
    <row r="3" spans="1:4" x14ac:dyDescent="0.3">
      <c r="B3" s="2" t="s">
        <v>1098</v>
      </c>
      <c r="C3" s="1" t="str">
        <f>CONCATENATE(A1, "/", B3)</f>
        <v>Model Details/Model version</v>
      </c>
      <c r="D3" s="2" t="s">
        <v>1099</v>
      </c>
    </row>
    <row r="4" spans="1:4" x14ac:dyDescent="0.3">
      <c r="B4" s="4" t="s">
        <v>1100</v>
      </c>
      <c r="C4" s="1" t="str">
        <f>CONCATENATE(A1, "/", B4)</f>
        <v>Model Details/Model type</v>
      </c>
      <c r="D4" s="2" t="s">
        <v>1101</v>
      </c>
    </row>
    <row r="5" spans="1:4" x14ac:dyDescent="0.3">
      <c r="B5" s="4" t="s">
        <v>1102</v>
      </c>
      <c r="C5" s="1" t="str">
        <f>CONCATENATE(A1, "/", B5)</f>
        <v>Model Details/Training detail</v>
      </c>
      <c r="D5" s="2" t="s">
        <v>1103</v>
      </c>
    </row>
    <row r="6" spans="1:4" x14ac:dyDescent="0.3">
      <c r="B6" s="4" t="s">
        <v>1104</v>
      </c>
      <c r="C6" s="1" t="str">
        <f>CONCATENATE(A1, "/", B6)</f>
        <v>Model Details/Paper or other resource</v>
      </c>
      <c r="D6" s="2" t="s">
        <v>1105</v>
      </c>
    </row>
    <row r="7" spans="1:4" x14ac:dyDescent="0.3">
      <c r="B7" s="4" t="s">
        <v>1106</v>
      </c>
      <c r="C7" s="1" t="str">
        <f>CONCATENATE(A1, "/", B7)</f>
        <v>Model Details/Citation details</v>
      </c>
      <c r="D7" s="2" t="s">
        <v>1107</v>
      </c>
    </row>
    <row r="8" spans="1:4" x14ac:dyDescent="0.3">
      <c r="B8" s="4" t="s">
        <v>1108</v>
      </c>
      <c r="C8" s="1" t="str">
        <f>CONCATENATE(A1, "/", B8)</f>
        <v>Model Details/License</v>
      </c>
      <c r="D8" s="2" t="s">
        <v>1109</v>
      </c>
    </row>
    <row r="9" spans="1:4" x14ac:dyDescent="0.3">
      <c r="B9" s="2" t="s">
        <v>1110</v>
      </c>
      <c r="C9" s="1" t="str">
        <f>CONCATENATE(A1, "/", B9)</f>
        <v>Model Details/Where to communicate</v>
      </c>
      <c r="D9" s="2" t="s">
        <v>1111</v>
      </c>
    </row>
    <row r="10" spans="1:4" x14ac:dyDescent="0.3">
      <c r="A10" s="2" t="s">
        <v>1112</v>
      </c>
      <c r="B10" s="4" t="s">
        <v>1113</v>
      </c>
      <c r="C10" s="1" t="str">
        <f>CONCATENATE(A10, "/", B10)</f>
        <v>Intended Use/Primary intended uses</v>
      </c>
      <c r="D10" s="2" t="s">
        <v>1114</v>
      </c>
    </row>
    <row r="11" spans="1:4" x14ac:dyDescent="0.3">
      <c r="B11" s="2" t="s">
        <v>1115</v>
      </c>
      <c r="C11" s="1" t="str">
        <f>CONCATENATE(A10, "/", B11)</f>
        <v>Intended Use/Primary intended users</v>
      </c>
      <c r="D11" s="2" t="s">
        <v>1116</v>
      </c>
    </row>
    <row r="12" spans="1:4" x14ac:dyDescent="0.3">
      <c r="B12" s="4" t="s">
        <v>1117</v>
      </c>
      <c r="C12" s="1" t="str">
        <f>CONCATENATE(A10, "/", B12)</f>
        <v>Intended Use/Out-of-scope use cases</v>
      </c>
      <c r="D12" s="2" t="s">
        <v>1118</v>
      </c>
    </row>
    <row r="13" spans="1:4" x14ac:dyDescent="0.3">
      <c r="A13" s="2" t="s">
        <v>1119</v>
      </c>
      <c r="B13" s="2" t="s">
        <v>1120</v>
      </c>
      <c r="C13" s="1" t="str">
        <f>CONCATENATE(A13, "/", B13)</f>
        <v>Factors/Relevant factors</v>
      </c>
      <c r="D13" s="2" t="s">
        <v>1121</v>
      </c>
    </row>
    <row r="14" spans="1:4" x14ac:dyDescent="0.3">
      <c r="B14" s="2" t="s">
        <v>1122</v>
      </c>
      <c r="C14" s="1" t="str">
        <f>CONCATENATE(A13, "/", B14)</f>
        <v>Factors/Evaluation factors</v>
      </c>
      <c r="D14" s="2" t="s">
        <v>1123</v>
      </c>
    </row>
    <row r="15" spans="1:4" x14ac:dyDescent="0.3">
      <c r="A15" s="2" t="s">
        <v>1124</v>
      </c>
      <c r="B15" s="4" t="s">
        <v>1125</v>
      </c>
      <c r="C15" s="1" t="str">
        <f>CONCATENATE(A15, "/", B15)</f>
        <v>Metrics/Model performance measures</v>
      </c>
      <c r="D15" s="2" t="s">
        <v>1126</v>
      </c>
    </row>
    <row r="16" spans="1:4" x14ac:dyDescent="0.3">
      <c r="B16" s="2" t="s">
        <v>1127</v>
      </c>
      <c r="C16" s="1" t="str">
        <f>CONCATENATE(A15, "/", B16)</f>
        <v>Metrics/Decision thresholds</v>
      </c>
      <c r="D16" s="2" t="s">
        <v>1128</v>
      </c>
    </row>
    <row r="17" spans="1:4" x14ac:dyDescent="0.3">
      <c r="B17" s="4" t="s">
        <v>1129</v>
      </c>
      <c r="C17" s="1" t="str">
        <f>CONCATENATE(A15, "/", B17)</f>
        <v>Metrics/Variation approaches</v>
      </c>
      <c r="D17" s="2" t="s">
        <v>1130</v>
      </c>
    </row>
    <row r="18" spans="1:4" x14ac:dyDescent="0.3">
      <c r="A18" s="2" t="s">
        <v>1131</v>
      </c>
      <c r="B18" s="4" t="s">
        <v>1132</v>
      </c>
      <c r="C18" s="1" t="str">
        <f>CONCATENATE(A18, "/", B18)</f>
        <v>Evaluation Data/Datasets</v>
      </c>
      <c r="D18" s="1" t="s">
        <v>1133</v>
      </c>
    </row>
    <row r="19" spans="1:4" x14ac:dyDescent="0.3">
      <c r="B19" s="2" t="s">
        <v>1134</v>
      </c>
      <c r="C19" s="1" t="str">
        <f>CONCATENATE(A18, "/", B19)</f>
        <v>Evaluation Data/Motivation</v>
      </c>
      <c r="D19" s="1" t="s">
        <v>1135</v>
      </c>
    </row>
    <row r="20" spans="1:4" x14ac:dyDescent="0.3">
      <c r="B20" s="4" t="s">
        <v>1136</v>
      </c>
      <c r="C20" s="1" t="str">
        <f>CONCATENATE(A18, "/", B20)</f>
        <v>Evaluation Data/Preprocessing</v>
      </c>
      <c r="D20" s="2" t="s">
        <v>1137</v>
      </c>
    </row>
    <row r="21" spans="1:4" x14ac:dyDescent="0.3">
      <c r="A21" s="2" t="s">
        <v>1138</v>
      </c>
      <c r="B21" s="4" t="s">
        <v>1132</v>
      </c>
      <c r="C21" s="1" t="str">
        <f>CONCATENATE(A21, "/", B21)</f>
        <v>Training Data/Datasets</v>
      </c>
      <c r="D21" s="2" t="s">
        <v>1139</v>
      </c>
    </row>
    <row r="22" spans="1:4" x14ac:dyDescent="0.3">
      <c r="A22" s="2"/>
      <c r="B22" s="2" t="s">
        <v>1134</v>
      </c>
      <c r="C22" s="1" t="str">
        <f>CONCATENATE(A21, "/", B22)</f>
        <v>Training Data/Motivation</v>
      </c>
      <c r="D22" s="1" t="s">
        <v>1135</v>
      </c>
    </row>
    <row r="23" spans="1:4" x14ac:dyDescent="0.3">
      <c r="A23" s="2"/>
      <c r="B23" s="4" t="s">
        <v>1136</v>
      </c>
      <c r="C23" s="1" t="str">
        <f>CONCATENATE(A21, "/", B23)</f>
        <v>Training Data/Preprocessing</v>
      </c>
      <c r="D23" s="2" t="s">
        <v>1140</v>
      </c>
    </row>
    <row r="24" spans="1:4" x14ac:dyDescent="0.3">
      <c r="A24" s="2" t="s">
        <v>1141</v>
      </c>
      <c r="B24" s="4" t="s">
        <v>1142</v>
      </c>
      <c r="C24" s="1" t="str">
        <f>CONCATENATE(A24, "/", B24)</f>
        <v>Quantitative Analyses/Unitary results</v>
      </c>
      <c r="D24" s="2" t="s">
        <v>1143</v>
      </c>
    </row>
    <row r="25" spans="1:4" x14ac:dyDescent="0.3">
      <c r="B25" s="4" t="s">
        <v>1144</v>
      </c>
      <c r="C25" s="1" t="str">
        <f>CONCATENATE(A24, "/", B25)</f>
        <v>Quantitative Analyses/Intersectional results</v>
      </c>
      <c r="D25" s="2" t="s">
        <v>1145</v>
      </c>
    </row>
    <row r="26" spans="1:4" x14ac:dyDescent="0.3">
      <c r="A26" s="2" t="s">
        <v>1146</v>
      </c>
      <c r="C26" s="1" t="str">
        <f t="shared" ref="C26:C27" si="0">CONCATENATE(A26, "/", B26)</f>
        <v>Ethical Considerations/</v>
      </c>
    </row>
    <row r="27" spans="1:4" x14ac:dyDescent="0.3">
      <c r="A27" s="2" t="s">
        <v>1147</v>
      </c>
      <c r="C27" s="1" t="str">
        <f t="shared" si="0"/>
        <v>Caveats and Recommendations/</v>
      </c>
      <c r="D27" s="2" t="s">
        <v>1148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author1_labels</vt:lpstr>
      <vt:lpstr>author2_labels</vt:lpstr>
      <vt:lpstr>statistics</vt:lpstr>
      <vt:lpstr>unmapped</vt:lpstr>
      <vt:lpstr>model_card_sections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Tajkia Rahman Toma</cp:lastModifiedBy>
  <dcterms:modified xsi:type="dcterms:W3CDTF">2024-08-04T05:18:26Z</dcterms:modified>
</cp:coreProperties>
</file>